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0" documentId="13_ncr:1_{9AED7B8C-666B-488D-A615-5072897325C0}" xr6:coauthVersionLast="47" xr6:coauthVersionMax="47" xr10:uidLastSave="{00000000-0000-0000-0000-000000000000}"/>
  <bookViews>
    <workbookView xWindow="4520" yWindow="4520" windowWidth="28800" windowHeight="154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iterateCount="10000"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<sst xmlns="http://schemas.openxmlformats.org/spreadsheetml/2006/main" count="277" uniqueCount="205">
  <si>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</si>
  <si>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</si>
  <si>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</si>
  <si>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</si>
  <si>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</si>
  <si>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</si>
  <si>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</si>
  <si>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</si>
  <si>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</si>
  <si>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</si>
  <si>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</si>
  <si>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</si>
  <si>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</si>
  <si>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</si>
  <si>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</si>
  <si>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</si>
  <si>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</si>
  <si>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</si>
  <si>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</si>
  <si>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</si>
  <si>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</si>
  <si>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</si>
  <si>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</si>
  <si>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</si>
  <si>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</si>
  <si>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</si>
  <si>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</si>
  <si>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</si>
  <si>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</si>
  <si>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</si>
  <si>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</si>
  <si>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</si>
  <si>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</si>
  <si>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</si>
  <si>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</si>
  <si>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</si>
  <si>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</si>
  <si>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</si>
  <si>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</si>
  <si>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</si>
  <si>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</si>
  <si>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</si>
  <si>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</si>
  <si>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</si>
  <si>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</si>
  <si>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</si>
  <si>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</si>
  <si>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</si>
  <si>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</si>
  <si>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</si>
  <si>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</si>
  <si>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</si>
  <si>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</si>
  <si>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</si>
  <si>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</si>
  <si>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</si>
  <si>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</si>
  <si>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</si>
  <si>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</si>
  <si>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</si>
  <si>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</si>
  <si>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</si>
  <si>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</si>
  <si>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</si>
  <si>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</si>
  <si>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</si>
  <si>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</si>
  <si>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</si>
  <si>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</si>
  <si>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</si>
  <si>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</si>
  <si>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</si>
  <si>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</si>
  <si>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</si>
  <si>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</si>
  <si>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</si>
  <si>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</si>
  <si>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</si>
  <si>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</si>
  <si>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</si>
  <si>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</si>
  <si>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</si>
  <si>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</si>
  <si>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</si>
  <si>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</si>
  <si>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</si>
  <si>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</si>
  <si>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</si>
  <si>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</si>
  <si>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</si>
  <si>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</si>
  <si>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</si>
  <si>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</si>
  <si>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</si>
  <si>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</si>
  <si>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</si>
  <si>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</si>
  <si>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</si>
  <si>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</si>
  <si>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</si>
  <si>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</si>
  <si>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</si>
  <si>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</si>
  <si>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</si>
  <si>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</si>
  <si>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</si>
  <si>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</si>
  <si>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</si>
  <si>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</si>
  <si>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</si>
  <si>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</si>
  <si>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</si>
  <si>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</si>
  <si>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</si>
  <si>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</si>
  <si>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</si>
  <si>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</si>
  <si>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</si>
  <si>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</si>
  <si>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</si>
  <si>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</si>
  <si>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</si>
  <si>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</si>
  <si>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</si>
  <si>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</si>
  <si>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</si>
  <si>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</si>
  <si>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</si>
  <si>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</si>
  <si>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</si>
  <si>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</si>
  <si>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</si>
  <si>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</si>
  <si>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</si>
  <si>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</si>
  <si>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</si>
  <si>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</si>
  <si>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</si>
  <si>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</si>
  <si>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</si>
  <si>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</si>
  <si>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</si>
  <si>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</si>
  <si>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</si>
  <si>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</si>
  <si>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</si>
  <si>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</si>
  <si>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</si>
  <si>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</si>
  <si>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</si>
  <si>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</si>
  <si>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</si>
  <si>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</si>
  <si>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</si>
  <si>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</si>
  <si>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</si>
  <si>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</si>
  <si>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</si>
  <si>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</si>
  <si>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</si>
  <si>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</si>
  <si>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</si>
  <si>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</si>
  <si>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</si>
  <si>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</si>
  <si>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</si>
  <si>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</si>
  <si>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</si>
  <si>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</si>
  <si>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</si>
  <si>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</si>
  <si>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</si>
  <si>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</si>
  <si>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</si>
  <si>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</si>
  <si>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</si>
  <si>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</si>
  <si>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</si>
  <si>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</si>
  <si>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</si>
  <si>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</si>
  <si>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</si>
  <si>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</si>
  <si>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</si>
  <si>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</si>
  <si>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</si>
  <si>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</si>
  <si>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</si>
  <si>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</si>
  <si>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</si>
  <si>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</si>
  <si>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</si>
  <si>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</si>
  <si>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</si>
  <si>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</si>
  <si>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</si>
  <si>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Ruapehu Stand-alone Council</t>
  </si>
  <si>
    <t>RFI Table F10; Lines F10.62 + F10.70 - F10.61</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</si>
  <si>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</si>
  <si>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</si>
  <si>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</si>
  <si>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</si>
  <si>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</si>
  <si>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</si>
  <si>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Council reported growth investment expenditure, but did not provide new properties connected. In this case, the average growth rate across the councils in New Zealand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</si>
</sst>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Alignment="1">
      <alignment horizontal="right" vertical="center"/>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0" fontId="0" fillId="0" borderId="0" xfId="0" applyAlignment="1">
      <alignment horizontal="righ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WFinance\GLC\RRennie\JOURNALS\08-09\P2\080531-87516%20-%20%23%23%20SW%20SCi%20Mileage%20Accrual%20To%20Budget%20P2%20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178820000</v>
      </c>
      <c r="C6" s="12">
        <f ca="1">B6+Depreciation!C18+'Cash Flow'!C13</f>
        <v>182210180.02002299</v>
      </c>
      <c r="D6" s="1">
        <f ca="1">C6+Depreciation!D18</f>
        <v>205377663.4842824</v>
      </c>
      <c r="E6" s="1">
        <f ca="1">D6+Depreciation!E18</f>
        <v>229769672.87541091</v>
      </c>
      <c r="F6" s="1">
        <f ca="1">E6+Depreciation!F18</f>
        <v>255440854.34966075</v>
      </c>
      <c r="G6" s="1">
        <f ca="1">F6+Depreciation!G18</f>
        <v>282448097.50273514</v>
      </c>
      <c r="H6" s="1">
        <f ca="1">G6+Depreciation!H18</f>
        <v>310850622.99224925</v>
      </c>
      <c r="I6" s="1">
        <f ca="1">H6+Depreciation!I18</f>
        <v>340710073.47074646</v>
      </c>
      <c r="J6" s="1">
        <f ca="1">I6+Depreciation!J18</f>
        <v>372090607.95142043</v>
      </c>
      <c r="K6" s="1">
        <f ca="1">J6+Depreciation!K18</f>
        <v>405058999.7331205</v>
      </c>
      <c r="L6" s="1">
        <f ca="1">K6+Depreciation!L18</f>
        <v>439684738.01580411</v>
      </c>
      <c r="M6" s="1">
        <f ca="1">L6+Depreciation!M18</f>
        <v>476040133.34234977</v>
      </c>
      <c r="N6" s="1">
        <f ca="1">M6+Depreciation!N18</f>
        <v>514200427.00756317</v>
      </c>
      <c r="O6" s="1">
        <f ca="1">N6+Depreciation!O18</f>
        <v>554243904.58030462</v>
      </c>
      <c r="P6" s="1">
        <f ca="1">O6+Depreciation!P18</f>
        <v>596252013.68994284</v>
      </c>
      <c r="Q6" s="1">
        <f ca="1">P6+Depreciation!Q18</f>
        <v>640309486.2338047</v>
      </c>
      <c r="R6" s="1">
        <f ca="1">Q6+Depreciation!R18</f>
        <v>686504465.16795218</v>
      </c>
      <c r="S6" s="1">
        <f ca="1">R6+Depreciation!S18</f>
        <v>734928636.04947865</v>
      </c>
      <c r="T6" s="1">
        <f ca="1">S6+Depreciation!T18</f>
        <v>785677363.50458789</v>
      </c>
      <c r="U6" s="1">
        <f ca="1">T6+Depreciation!U18</f>
        <v>838849832.80300641</v>
      </c>
      <c r="V6" s="1">
        <f ca="1">U6+Depreciation!V18</f>
        <v>894549196.72579205</v>
      </c>
      <c r="W6" s="1">
        <f ca="1">V6+Depreciation!W18</f>
        <v>952882727.92034268</v>
      </c>
      <c r="X6" s="1">
        <f ca="1">W6+Depreciation!X18</f>
        <v>1013961976.9433944</v>
      </c>
      <c r="Y6" s="1">
        <f ca="1">X6+Depreciation!Y18</f>
        <v>1077902936.2000279</v>
      </c>
      <c r="Z6" s="1">
        <f ca="1">Y6+Depreciation!Z18</f>
        <v>1144826209.9941931</v>
      </c>
      <c r="AA6" s="1">
        <f ca="1">Z6+Depreciation!AA18</f>
        <v>1214857190.9140129</v>
      </c>
      <c r="AB6" s="1">
        <f ca="1">AA6+Depreciation!AB18</f>
        <v>1288126242.783164</v>
      </c>
      <c r="AC6" s="1">
        <f ca="1">AB6+Depreciation!AC18</f>
        <v>1364768890.417942</v>
      </c>
      <c r="AD6" s="1">
        <f ca="1">AC6+Depreciation!AD18</f>
        <v>1444926016.4382329</v>
      </c>
      <c r="AE6" s="1">
        <f ca="1">AD6+Depreciation!AE18</f>
        <v>1528744065.3895314</v>
      </c>
      <c r="AF6" s="1"/>
      <c r="AG6" s="1"/>
      <c r="AH6" s="1"/>
      <c r="AI6" s="1"/>
      <c r="AJ6" s="1"/>
      <c r="AK6" s="1"/>
      <c r="AL6" s="1"/>
      <c r="AM6" s="1"/>
      <c r="AN6" s="1"/>
      <c r="AO6" s="1"/>
      <c r="AP6" s="1"/>
    </row>
    <row r="7" spans="1:42" x14ac:dyDescent="0.35">
      <c r="A7" t="s">
        <v>12</v>
      </c>
      <c r="B7" s="1">
        <f>Depreciation!C12</f>
        <v>92502644.683972299</v>
      </c>
      <c r="C7" s="1">
        <f>Depreciation!D12</f>
        <v>96162438.548231706</v>
      </c>
      <c r="D7" s="1">
        <f>Depreciation!E12</f>
        <v>100422512.27216022</v>
      </c>
      <c r="E7" s="1">
        <f>Depreciation!F12</f>
        <v>105317536.13785964</v>
      </c>
      <c r="F7" s="1">
        <f>Depreciation!G12</f>
        <v>110883784.63891004</v>
      </c>
      <c r="G7" s="1">
        <f>Depreciation!H12</f>
        <v>117159203.64753538</v>
      </c>
      <c r="H7" s="1">
        <f>Depreciation!I12</f>
        <v>124183480.23775539</v>
      </c>
      <c r="I7" s="1">
        <f>Depreciation!J12</f>
        <v>131998115.26572727</v>
      </c>
      <c r="J7" s="1">
        <f>Depreciation!K12</f>
        <v>140646498.81223878</v>
      </c>
      <c r="K7" s="1">
        <f>Depreciation!L12</f>
        <v>150173988.5962078</v>
      </c>
      <c r="L7" s="1">
        <f>Depreciation!M12</f>
        <v>160627991.47207999</v>
      </c>
      <c r="M7" s="1">
        <f>Depreciation!N12</f>
        <v>172058048.12819839</v>
      </c>
      <c r="N7" s="1">
        <f>Depreciation!O12</f>
        <v>184515921.10755384</v>
      </c>
      <c r="O7" s="1">
        <f>Depreciation!P12</f>
        <v>198055686.27681765</v>
      </c>
      <c r="P7" s="1">
        <f>Depreciation!Q12</f>
        <v>212733827.8742131</v>
      </c>
      <c r="Q7" s="1">
        <f>Depreciation!R12</f>
        <v>228609337.27160728</v>
      </c>
      <c r="R7" s="1">
        <f>Depreciation!S12</f>
        <v>245743815.59120438</v>
      </c>
      <c r="S7" s="1">
        <f>Depreciation!T12</f>
        <v>264201580.32240245</v>
      </c>
      <c r="T7" s="1">
        <f>Depreciation!U12</f>
        <v>284049776.08974469</v>
      </c>
      <c r="U7" s="1">
        <f>Depreciation!V12</f>
        <v>305358489.7284596</v>
      </c>
      <c r="V7" s="1">
        <f>Depreciation!W12</f>
        <v>328200869.82984924</v>
      </c>
      <c r="W7" s="1">
        <f>Depreciation!X12</f>
        <v>352653250.92475873</v>
      </c>
      <c r="X7" s="1">
        <f>Depreciation!Y12</f>
        <v>378795282.47954959</v>
      </c>
      <c r="Y7" s="1">
        <f>Depreciation!Z12</f>
        <v>406710062.88541299</v>
      </c>
      <c r="Z7" s="1">
        <f>Depreciation!AA12</f>
        <v>436484278.62850547</v>
      </c>
      <c r="AA7" s="1">
        <f>Depreciation!AB12</f>
        <v>468208348.83527404</v>
      </c>
      <c r="AB7" s="1">
        <f>Depreciation!AC12</f>
        <v>501976575.39447314</v>
      </c>
      <c r="AC7" s="1">
        <f>Depreciation!AD12</f>
        <v>537887298.86476648</v>
      </c>
      <c r="AD7" s="1">
        <f>Depreciation!AE12</f>
        <v>576043060.3844676</v>
      </c>
      <c r="AE7" s="1">
        <f>Depreciation!AF12</f>
        <v>616550769.80790496</v>
      </c>
      <c r="AF7" s="1"/>
      <c r="AG7" s="1"/>
      <c r="AH7" s="1"/>
      <c r="AI7" s="1"/>
      <c r="AJ7" s="1"/>
      <c r="AK7" s="1"/>
      <c r="AL7" s="1"/>
      <c r="AM7" s="1"/>
      <c r="AN7" s="1"/>
      <c r="AO7" s="1"/>
      <c r="AP7" s="1"/>
    </row>
    <row r="8" spans="1:42" x14ac:dyDescent="0.35">
      <c r="A8" t="s">
        <v>190</v>
      </c>
      <c r="B8" s="1">
        <f t="shared" ref="B8:AE8" si="1">B6-B7</f>
        <v>86317355.316027701</v>
      </c>
      <c r="C8" s="1">
        <f t="shared" ca="1" si="1"/>
        <v>86047741.471791282</v>
      </c>
      <c r="D8" s="1">
        <f ca="1">D6-D7</f>
        <v>104955151.21212219</v>
      </c>
      <c r="E8" s="1">
        <f t="shared" ca="1" si="1"/>
        <v>124452136.73755127</v>
      </c>
      <c r="F8" s="1">
        <f t="shared" ca="1" si="1"/>
        <v>144557069.7107507</v>
      </c>
      <c r="G8" s="1">
        <f t="shared" ca="1" si="1"/>
        <v>165288893.85519975</v>
      </c>
      <c r="H8" s="1">
        <f t="shared" ca="1" si="1"/>
        <v>186667142.75449386</v>
      </c>
      <c r="I8" s="1">
        <f t="shared" ca="1" si="1"/>
        <v>208711958.20501918</v>
      </c>
      <c r="J8" s="1">
        <f t="shared" ca="1" si="1"/>
        <v>231444109.13918164</v>
      </c>
      <c r="K8" s="1">
        <f t="shared" ca="1" si="1"/>
        <v>254885011.1369127</v>
      </c>
      <c r="L8" s="1">
        <f t="shared" ca="1" si="1"/>
        <v>279056746.54372412</v>
      </c>
      <c r="M8" s="1">
        <f t="shared" ca="1" si="1"/>
        <v>303982085.21415138</v>
      </c>
      <c r="N8" s="1">
        <f t="shared" ca="1" si="1"/>
        <v>329684505.90000933</v>
      </c>
      <c r="O8" s="1">
        <f t="shared" ca="1" si="1"/>
        <v>356188218.30348694</v>
      </c>
      <c r="P8" s="1">
        <f t="shared" ca="1" si="1"/>
        <v>383518185.81572974</v>
      </c>
      <c r="Q8" s="1">
        <f t="shared" ca="1" si="1"/>
        <v>411700148.96219742</v>
      </c>
      <c r="R8" s="1">
        <f t="shared" ca="1" si="1"/>
        <v>440760649.57674778</v>
      </c>
      <c r="S8" s="1">
        <f t="shared" ca="1" si="1"/>
        <v>470727055.72707617</v>
      </c>
      <c r="T8" s="1">
        <f t="shared" ca="1" si="1"/>
        <v>501627587.4148432</v>
      </c>
      <c r="U8" s="1">
        <f t="shared" ca="1" si="1"/>
        <v>533491343.07454681</v>
      </c>
      <c r="V8" s="1">
        <f t="shared" ca="1" si="1"/>
        <v>566348326.89594281</v>
      </c>
      <c r="W8" s="1">
        <f t="shared" ca="1" si="1"/>
        <v>600229476.99558401</v>
      </c>
      <c r="X8" s="1">
        <f t="shared" ca="1" si="1"/>
        <v>635166694.46384478</v>
      </c>
      <c r="Y8" s="1">
        <f t="shared" ca="1" si="1"/>
        <v>671192873.31461501</v>
      </c>
      <c r="Z8" s="1">
        <f t="shared" ca="1" si="1"/>
        <v>708341931.36568761</v>
      </c>
      <c r="AA8" s="1">
        <f t="shared" ca="1" si="1"/>
        <v>746648842.07873893</v>
      </c>
      <c r="AB8" s="1">
        <f t="shared" ca="1" si="1"/>
        <v>786149667.38869095</v>
      </c>
      <c r="AC8" s="1">
        <f t="shared" ca="1" si="1"/>
        <v>826881591.55317557</v>
      </c>
      <c r="AD8" s="1">
        <f t="shared" ca="1" si="1"/>
        <v>868882956.0537653</v>
      </c>
      <c r="AE8" s="1">
        <f t="shared" ca="1" si="1"/>
        <v>912193295.58162642</v>
      </c>
      <c r="AF8" s="1"/>
      <c r="AG8" s="1"/>
      <c r="AH8" s="1"/>
      <c r="AI8" s="1"/>
      <c r="AJ8" s="1"/>
      <c r="AK8" s="1"/>
      <c r="AL8" s="1"/>
      <c r="AM8" s="1"/>
      <c r="AN8" s="1"/>
      <c r="AO8" s="1"/>
      <c r="AP8" s="1"/>
    </row>
    <row r="10" spans="1:42" x14ac:dyDescent="0.35">
      <c r="A10" t="s">
        <v>17</v>
      </c>
      <c r="B10" s="1">
        <f>B8-B11</f>
        <v>79130355.316027701</v>
      </c>
      <c r="C10" s="1">
        <f ca="1">C8-C11</f>
        <v>60255476.807841972</v>
      </c>
      <c r="D10" s="1">
        <f ca="1">D8-D11</f>
        <v>62074681.680896468</v>
      </c>
      <c r="E10" s="1">
        <f t="shared" ref="E10:AE10" ca="1" si="2">E8-E11</f>
        <v>66298927.379633516</v>
      </c>
      <c r="F10" s="1">
        <f t="shared" ca="1" si="2"/>
        <v>74370250.805064768</v>
      </c>
      <c r="G10" s="1">
        <f ca="1">G8-G11</f>
        <v>85236469.797335386</v>
      </c>
      <c r="H10" s="1">
        <f t="shared" ca="1" si="2"/>
        <v>98063996.281031951</v>
      </c>
      <c r="I10" s="1">
        <f t="shared" ca="1" si="2"/>
        <v>112008996.78465384</v>
      </c>
      <c r="J10" s="1">
        <f t="shared" ca="1" si="2"/>
        <v>127315469.02069023</v>
      </c>
      <c r="K10" s="1">
        <f t="shared" ca="1" si="2"/>
        <v>143852009.67526087</v>
      </c>
      <c r="L10" s="1">
        <f t="shared" ca="1" si="2"/>
        <v>160955140.55047736</v>
      </c>
      <c r="M10" s="1">
        <f t="shared" ca="1" si="2"/>
        <v>178476932.00913605</v>
      </c>
      <c r="N10" s="1">
        <f t="shared" ca="1" si="2"/>
        <v>196479521.02876246</v>
      </c>
      <c r="O10" s="1">
        <f t="shared" ca="1" si="2"/>
        <v>215033118.99215379</v>
      </c>
      <c r="P10" s="1">
        <f t="shared" ca="1" si="2"/>
        <v>234216777.6046401</v>
      </c>
      <c r="Q10" s="1">
        <f t="shared" ca="1" si="2"/>
        <v>254119215.79847795</v>
      </c>
      <c r="R10" s="1">
        <f t="shared" ca="1" si="2"/>
        <v>274839712.01692253</v>
      </c>
      <c r="S10" s="1">
        <f t="shared" ca="1" si="2"/>
        <v>296489066.56826174</v>
      </c>
      <c r="T10" s="1">
        <f t="shared" ca="1" si="2"/>
        <v>319190639.05726433</v>
      </c>
      <c r="U10" s="1">
        <f t="shared" ca="1" si="2"/>
        <v>343081466.23932874</v>
      </c>
      <c r="V10" s="1">
        <f t="shared" ca="1" si="2"/>
        <v>367908922.22992557</v>
      </c>
      <c r="W10" s="1">
        <f t="shared" ca="1" si="2"/>
        <v>393779183.84682703</v>
      </c>
      <c r="X10" s="1">
        <f t="shared" ca="1" si="2"/>
        <v>420809613.49092084</v>
      </c>
      <c r="Y10" s="1">
        <f t="shared" ca="1" si="2"/>
        <v>448177327.13606656</v>
      </c>
      <c r="Z10" s="1">
        <f t="shared" ca="1" si="2"/>
        <v>475893700.96849442</v>
      </c>
      <c r="AA10" s="1">
        <f t="shared" ca="1" si="2"/>
        <v>503139057.89407325</v>
      </c>
      <c r="AB10" s="1">
        <f t="shared" ca="1" si="2"/>
        <v>529829560.19164312</v>
      </c>
      <c r="AC10" s="1">
        <f t="shared" ca="1" si="2"/>
        <v>555875958.30749893</v>
      </c>
      <c r="AD10" s="1">
        <f t="shared" ca="1" si="2"/>
        <v>581183319.24905849</v>
      </c>
      <c r="AE10" s="1">
        <f t="shared" ca="1" si="2"/>
        <v>605650742.92738688</v>
      </c>
      <c r="AF10" s="1"/>
      <c r="AG10" s="1"/>
      <c r="AH10" s="1"/>
      <c r="AI10" s="1"/>
      <c r="AJ10" s="1"/>
      <c r="AK10" s="1"/>
      <c r="AL10" s="1"/>
      <c r="AM10" s="1"/>
      <c r="AN10" s="1"/>
      <c r="AO10" s="1"/>
    </row>
    <row r="11" spans="1:42" x14ac:dyDescent="0.35">
      <c r="A11" t="s">
        <v>9</v>
      </c>
      <c r="B11" s="1">
        <f>Assumptions!$C$20</f>
        <v>7187000</v>
      </c>
      <c r="C11" s="1">
        <f ca="1">'Debt worksheet'!D5</f>
        <v>25792264.663949315</v>
      </c>
      <c r="D11" s="1">
        <f ca="1">'Debt worksheet'!E5</f>
        <v>42880469.531225719</v>
      </c>
      <c r="E11" s="1">
        <f ca="1">'Debt worksheet'!F5</f>
        <v>58153209.357917756</v>
      </c>
      <c r="F11" s="1">
        <f ca="1">'Debt worksheet'!G5</f>
        <v>70186818.905685931</v>
      </c>
      <c r="G11" s="1">
        <f ca="1">'Debt worksheet'!H5</f>
        <v>80052424.057864368</v>
      </c>
      <c r="H11" s="1">
        <f ca="1">'Debt worksheet'!I5</f>
        <v>88603146.473461911</v>
      </c>
      <c r="I11" s="1">
        <f ca="1">'Debt worksheet'!J5</f>
        <v>96702961.420365334</v>
      </c>
      <c r="J11" s="1">
        <f ca="1">'Debt worksheet'!K5</f>
        <v>104128640.11849141</v>
      </c>
      <c r="K11" s="1">
        <f ca="1">'Debt worksheet'!L5</f>
        <v>111033001.46165183</v>
      </c>
      <c r="L11" s="1">
        <f ca="1">'Debt worksheet'!M5</f>
        <v>118101605.99324676</v>
      </c>
      <c r="M11" s="1">
        <f ca="1">'Debt worksheet'!N5</f>
        <v>125505153.20501533</v>
      </c>
      <c r="N11" s="1">
        <f ca="1">'Debt worksheet'!O5</f>
        <v>133204984.87124686</v>
      </c>
      <c r="O11" s="1">
        <f ca="1">'Debt worksheet'!P5</f>
        <v>141155099.31133315</v>
      </c>
      <c r="P11" s="1">
        <f ca="1">'Debt worksheet'!Q5</f>
        <v>149301408.21108964</v>
      </c>
      <c r="Q11" s="1">
        <f ca="1">'Debt worksheet'!R5</f>
        <v>157580933.16371948</v>
      </c>
      <c r="R11" s="1">
        <f ca="1">'Debt worksheet'!S5</f>
        <v>165920937.55982524</v>
      </c>
      <c r="S11" s="1">
        <f ca="1">'Debt worksheet'!T5</f>
        <v>174237989.15881443</v>
      </c>
      <c r="T11" s="1">
        <f ca="1">'Debt worksheet'!U5</f>
        <v>182436948.35757887</v>
      </c>
      <c r="U11" s="1">
        <f ca="1">'Debt worksheet'!V5</f>
        <v>190409876.8352181</v>
      </c>
      <c r="V11" s="1">
        <f ca="1">'Debt worksheet'!W5</f>
        <v>198439404.66601723</v>
      </c>
      <c r="W11" s="1">
        <f ca="1">'Debt worksheet'!X5</f>
        <v>206450293.14875701</v>
      </c>
      <c r="X11" s="1">
        <f ca="1">'Debt worksheet'!Y5</f>
        <v>214357080.97292393</v>
      </c>
      <c r="Y11" s="1">
        <f ca="1">'Debt worksheet'!Z5</f>
        <v>223015546.17854846</v>
      </c>
      <c r="Z11" s="1">
        <f ca="1">'Debt worksheet'!AA5</f>
        <v>232448230.39719319</v>
      </c>
      <c r="AA11" s="1">
        <f ca="1">'Debt worksheet'!AB5</f>
        <v>243509784.18466565</v>
      </c>
      <c r="AB11" s="1">
        <f ca="1">'Debt worksheet'!AC5</f>
        <v>256320107.1970478</v>
      </c>
      <c r="AC11" s="1">
        <f ca="1">'Debt worksheet'!AD5</f>
        <v>271005633.24567664</v>
      </c>
      <c r="AD11" s="1">
        <f ca="1">'Debt worksheet'!AE5</f>
        <v>287699636.80470687</v>
      </c>
      <c r="AE11" s="1">
        <f ca="1">'Debt worksheet'!AF5</f>
        <v>306542552.65423954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297535.3360506855</v>
      </c>
      <c r="D5" s="4">
        <f ca="1">'Profit and Loss'!D9</f>
        <v>2419484.7327235956</v>
      </c>
      <c r="E5" s="4">
        <f ca="1">'Profit and Loss'!E9</f>
        <v>4859195.8405079693</v>
      </c>
      <c r="F5" s="4">
        <f ca="1">'Profit and Loss'!F9</f>
        <v>8742548.0607822277</v>
      </c>
      <c r="G5" s="4">
        <f ca="1">'Profit and Loss'!G9</f>
        <v>11575389.499845583</v>
      </c>
      <c r="H5" s="4">
        <f ca="1">'Profit and Loss'!H9</f>
        <v>13576384.065291233</v>
      </c>
      <c r="I5" s="4">
        <f ca="1">'Profit and Loss'!I9</f>
        <v>14735358.941373795</v>
      </c>
      <c r="J5" s="4">
        <f ca="1">'Profit and Loss'!J9</f>
        <v>16140220.754576012</v>
      </c>
      <c r="K5" s="4">
        <f ca="1">'Profit and Loss'!K9</f>
        <v>17415646.892028149</v>
      </c>
      <c r="L5" s="4">
        <f ca="1">'Profit and Loss'!L9</f>
        <v>18029643.967119664</v>
      </c>
      <c r="M5" s="4">
        <f ca="1">'Profit and Loss'!M9</f>
        <v>18497845.238904893</v>
      </c>
      <c r="N5" s="4">
        <f ca="1">'Profit and Loss'!N9</f>
        <v>19030405.342863481</v>
      </c>
      <c r="O5" s="4">
        <f ca="1">'Profit and Loss'!O9</f>
        <v>19635490.153299771</v>
      </c>
      <c r="P5" s="4">
        <f ca="1">'Profit and Loss'!P9</f>
        <v>20322035.04061792</v>
      </c>
      <c r="Q5" s="4">
        <f ca="1">'Profit and Loss'!Q9</f>
        <v>21099805.99383653</v>
      </c>
      <c r="R5" s="4">
        <f ca="1">'Profit and Loss'!R9</f>
        <v>21979465.140647523</v>
      </c>
      <c r="S5" s="4">
        <f ca="1">'Profit and Loss'!S9</f>
        <v>22972640.962940231</v>
      </c>
      <c r="T5" s="4">
        <f ca="1">'Profit and Loss'!T9</f>
        <v>24092003.525146723</v>
      </c>
      <c r="U5" s="4">
        <f ca="1">'Profit and Loss'!U9</f>
        <v>25351345.053437077</v>
      </c>
      <c r="V5" s="4">
        <f ca="1">'Profit and Loss'!V9</f>
        <v>26361122.453271627</v>
      </c>
      <c r="W5" s="4">
        <f ca="1">'Profit and Loss'!W9</f>
        <v>27480262.610421248</v>
      </c>
      <c r="X5" s="4">
        <f ca="1">'Profit and Loss'!X9</f>
        <v>28720080.103975266</v>
      </c>
      <c r="Y5" s="4">
        <f ca="1">'Profit and Loss'!Y9</f>
        <v>29140462.49621819</v>
      </c>
      <c r="Z5" s="4">
        <f ca="1">'Profit and Loss'!Z9</f>
        <v>29575809.169656951</v>
      </c>
      <c r="AA5" s="4">
        <f ca="1">'Profit and Loss'!AA9</f>
        <v>29195211.389254902</v>
      </c>
      <c r="AB5" s="4">
        <f ca="1">'Profit and Loss'!AB9</f>
        <v>28734658.650000483</v>
      </c>
      <c r="AC5" s="4">
        <f ca="1">'Profit and Loss'!AC9</f>
        <v>28188895.026950028</v>
      </c>
      <c r="AD5" s="4">
        <f ca="1">'Profit and Loss'!AD9</f>
        <v>27552398.990967162</v>
      </c>
      <c r="AE5" s="4">
        <f ca="1">'Profit and Loss'!AE9</f>
        <v>26819371.582064629</v>
      </c>
      <c r="AF5" s="4">
        <f ca="1">'Profit and Loss'!AF9</f>
        <v>25983724.095736418</v>
      </c>
      <c r="AG5" s="4"/>
      <c r="AH5" s="4"/>
      <c r="AI5" s="4"/>
      <c r="AJ5" s="4"/>
      <c r="AK5" s="4"/>
      <c r="AL5" s="4"/>
      <c r="AM5" s="4"/>
      <c r="AN5" s="4"/>
      <c r="AO5" s="4"/>
      <c r="AP5" s="4"/>
    </row>
    <row r="6" spans="1:42" x14ac:dyDescent="0.35">
      <c r="A6" t="s">
        <v>21</v>
      </c>
      <c r="C6" s="4">
        <f>Depreciation!C8+Depreciation!C9</f>
        <v>3092644.6839722944</v>
      </c>
      <c r="D6" s="4">
        <f>Depreciation!D8+Depreciation!D9</f>
        <v>3659793.8642594079</v>
      </c>
      <c r="E6" s="4">
        <f>Depreciation!E8+Depreciation!E9</f>
        <v>4260073.7239285083</v>
      </c>
      <c r="F6" s="4">
        <f>Depreciation!F8+Depreciation!F9</f>
        <v>4895023.86569943</v>
      </c>
      <c r="G6" s="4">
        <f>Depreciation!G8+Depreciation!G9</f>
        <v>5566248.5010503894</v>
      </c>
      <c r="H6" s="4">
        <f>Depreciation!H8+Depreciation!H9</f>
        <v>6275419.0086253323</v>
      </c>
      <c r="I6" s="4">
        <f>Depreciation!I8+Depreciation!I9</f>
        <v>7024276.590219995</v>
      </c>
      <c r="J6" s="4">
        <f>Depreciation!J8+Depreciation!J9</f>
        <v>7814635.0279718842</v>
      </c>
      <c r="K6" s="4">
        <f>Depreciation!K8+Depreciation!K9</f>
        <v>8648383.5465115122</v>
      </c>
      <c r="L6" s="4">
        <f>Depreciation!L8+Depreciation!L9</f>
        <v>9527489.7839690298</v>
      </c>
      <c r="M6" s="4">
        <f>Depreciation!M8+Depreciation!M9</f>
        <v>10454002.875872198</v>
      </c>
      <c r="N6" s="4">
        <f>Depreciation!N8+Depreciation!N9</f>
        <v>11430056.656118391</v>
      </c>
      <c r="O6" s="4">
        <f>Depreciation!O8+Depreciation!O9</f>
        <v>12457872.979355443</v>
      </c>
      <c r="P6" s="4">
        <f>Depreciation!P8+Depreciation!P9</f>
        <v>13539765.169263802</v>
      </c>
      <c r="Q6" s="4">
        <f>Depreciation!Q8+Depreciation!Q9</f>
        <v>14678141.597395435</v>
      </c>
      <c r="R6" s="4">
        <f>Depreciation!R8+Depreciation!R9</f>
        <v>15875509.397394169</v>
      </c>
      <c r="S6" s="4">
        <f>Depreciation!S8+Depreciation!S9</f>
        <v>17134478.319597092</v>
      </c>
      <c r="T6" s="4">
        <f>Depreciation!T8+Depreciation!T9</f>
        <v>18457764.731198065</v>
      </c>
      <c r="U6" s="4">
        <f>Depreciation!U8+Depreciation!U9</f>
        <v>19848195.767342232</v>
      </c>
      <c r="V6" s="4">
        <f>Depreciation!V8+Depreciation!V9</f>
        <v>21308713.638714887</v>
      </c>
      <c r="W6" s="4">
        <f>Depreciation!W8+Depreciation!W9</f>
        <v>22842380.101389635</v>
      </c>
      <c r="X6" s="4">
        <f>Depreciation!X8+Depreciation!X9</f>
        <v>24452381.094909508</v>
      </c>
      <c r="Y6" s="4">
        <f>Depreciation!Y8+Depreciation!Y9</f>
        <v>26142031.55479084</v>
      </c>
      <c r="Z6" s="4">
        <f>Depreciation!Z8+Depreciation!Z9</f>
        <v>27914780.405863382</v>
      </c>
      <c r="AA6" s="4">
        <f>Depreciation!AA8+Depreciation!AA9</f>
        <v>29774215.743092477</v>
      </c>
      <c r="AB6" s="4">
        <f>Depreciation!AB8+Depreciation!AB9</f>
        <v>31724070.20676861</v>
      </c>
      <c r="AC6" s="4">
        <f>Depreciation!AC8+Depreciation!AC9</f>
        <v>33768226.559199102</v>
      </c>
      <c r="AD6" s="4">
        <f>Depreciation!AD8+Depreciation!AD9</f>
        <v>35910723.470293418</v>
      </c>
      <c r="AE6" s="4">
        <f>Depreciation!AE8+Depreciation!AE9</f>
        <v>38155761.519701138</v>
      </c>
      <c r="AF6" s="4">
        <f>Depreciation!AF8+Depreciation!AF9</f>
        <v>40507709.423437372</v>
      </c>
      <c r="AG6" s="4"/>
      <c r="AH6" s="4"/>
      <c r="AI6" s="4"/>
      <c r="AJ6" s="4"/>
      <c r="AK6" s="4"/>
      <c r="AL6" s="4"/>
      <c r="AM6" s="4"/>
      <c r="AN6" s="4"/>
      <c r="AO6" s="4"/>
      <c r="AP6" s="4"/>
    </row>
    <row r="7" spans="1:42" x14ac:dyDescent="0.35">
      <c r="A7" t="s">
        <v>23</v>
      </c>
      <c r="C7" s="4">
        <f ca="1">C6+C5</f>
        <v>3390180.0200229799</v>
      </c>
      <c r="D7" s="4">
        <f ca="1">D6+D5</f>
        <v>6079278.5969830034</v>
      </c>
      <c r="E7" s="4">
        <f t="shared" ref="E7:AF7" ca="1" si="1">E6+E5</f>
        <v>9119269.5644364767</v>
      </c>
      <c r="F7" s="4">
        <f t="shared" ca="1" si="1"/>
        <v>13637571.926481657</v>
      </c>
      <c r="G7" s="4">
        <f ca="1">G6+G5</f>
        <v>17141638.000895973</v>
      </c>
      <c r="H7" s="4">
        <f t="shared" ca="1" si="1"/>
        <v>19851803.073916566</v>
      </c>
      <c r="I7" s="4">
        <f t="shared" ca="1" si="1"/>
        <v>21759635.531593792</v>
      </c>
      <c r="J7" s="4">
        <f t="shared" ca="1" si="1"/>
        <v>23954855.782547899</v>
      </c>
      <c r="K7" s="4">
        <f t="shared" ca="1" si="1"/>
        <v>26064030.438539661</v>
      </c>
      <c r="L7" s="4">
        <f t="shared" ca="1" si="1"/>
        <v>27557133.751088694</v>
      </c>
      <c r="M7" s="4">
        <f t="shared" ca="1" si="1"/>
        <v>28951848.114777092</v>
      </c>
      <c r="N7" s="4">
        <f t="shared" ca="1" si="1"/>
        <v>30460461.998981871</v>
      </c>
      <c r="O7" s="4">
        <f t="shared" ca="1" si="1"/>
        <v>32093363.132655215</v>
      </c>
      <c r="P7" s="4">
        <f t="shared" ca="1" si="1"/>
        <v>33861800.209881723</v>
      </c>
      <c r="Q7" s="4">
        <f t="shared" ca="1" si="1"/>
        <v>35777947.591231965</v>
      </c>
      <c r="R7" s="4">
        <f t="shared" ca="1" si="1"/>
        <v>37854974.538041696</v>
      </c>
      <c r="S7" s="4">
        <f t="shared" ca="1" si="1"/>
        <v>40107119.282537326</v>
      </c>
      <c r="T7" s="4">
        <f t="shared" ca="1" si="1"/>
        <v>42549768.256344788</v>
      </c>
      <c r="U7" s="4">
        <f t="shared" ca="1" si="1"/>
        <v>45199540.820779309</v>
      </c>
      <c r="V7" s="4">
        <f t="shared" ca="1" si="1"/>
        <v>47669836.091986515</v>
      </c>
      <c r="W7" s="4">
        <f t="shared" ca="1" si="1"/>
        <v>50322642.711810887</v>
      </c>
      <c r="X7" s="4">
        <f t="shared" ca="1" si="1"/>
        <v>53172461.19888477</v>
      </c>
      <c r="Y7" s="4">
        <f t="shared" ca="1" si="1"/>
        <v>55282494.051009029</v>
      </c>
      <c r="Z7" s="4">
        <f t="shared" ca="1" si="1"/>
        <v>57490589.575520337</v>
      </c>
      <c r="AA7" s="4">
        <f t="shared" ca="1" si="1"/>
        <v>58969427.132347375</v>
      </c>
      <c r="AB7" s="4">
        <f t="shared" ca="1" si="1"/>
        <v>60458728.856769092</v>
      </c>
      <c r="AC7" s="4">
        <f t="shared" ca="1" si="1"/>
        <v>61957121.586149126</v>
      </c>
      <c r="AD7" s="4">
        <f t="shared" ca="1" si="1"/>
        <v>63463122.46126058</v>
      </c>
      <c r="AE7" s="4">
        <f t="shared" ca="1" si="1"/>
        <v>64975133.101765767</v>
      </c>
      <c r="AF7" s="4">
        <f t="shared" ca="1" si="1"/>
        <v>66491433.519173786</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21995444.683972295</v>
      </c>
      <c r="D10" s="9">
        <f>Investment!D25</f>
        <v>23167483.464259408</v>
      </c>
      <c r="E10" s="9">
        <f>Investment!E25</f>
        <v>24392009.39112851</v>
      </c>
      <c r="F10" s="9">
        <f>Investment!F25</f>
        <v>25671181.474249829</v>
      </c>
      <c r="G10" s="9">
        <f>Investment!G25</f>
        <v>27007243.153074402</v>
      </c>
      <c r="H10" s="9">
        <f>Investment!H25</f>
        <v>28402525.489514112</v>
      </c>
      <c r="I10" s="9">
        <f>Investment!I25</f>
        <v>29859450.478497211</v>
      </c>
      <c r="J10" s="9">
        <f>Investment!J25</f>
        <v>31380534.480673976</v>
      </c>
      <c r="K10" s="9">
        <f>Investment!K25</f>
        <v>32968391.781700075</v>
      </c>
      <c r="L10" s="9">
        <f>Investment!L25</f>
        <v>34625738.282683626</v>
      </c>
      <c r="M10" s="9">
        <f>Investment!M25</f>
        <v>36355395.326545656</v>
      </c>
      <c r="N10" s="9">
        <f>Investment!N25</f>
        <v>38160293.665213399</v>
      </c>
      <c r="O10" s="9">
        <f>Investment!O25</f>
        <v>40043477.572741501</v>
      </c>
      <c r="P10" s="9">
        <f>Investment!P25</f>
        <v>42008109.109638207</v>
      </c>
      <c r="Q10" s="9">
        <f>Investment!Q25</f>
        <v>44057472.543861814</v>
      </c>
      <c r="R10" s="9">
        <f>Investment!R25</f>
        <v>46194978.934147477</v>
      </c>
      <c r="S10" s="9">
        <f>Investment!S25</f>
        <v>48424170.881526507</v>
      </c>
      <c r="T10" s="9">
        <f>Investment!T25</f>
        <v>50748727.455109224</v>
      </c>
      <c r="U10" s="9">
        <f>Investment!U25</f>
        <v>53172469.298418544</v>
      </c>
      <c r="V10" s="9">
        <f>Investment!V25</f>
        <v>55699363.92278564</v>
      </c>
      <c r="W10" s="9">
        <f>Investment!W25</f>
        <v>58333531.194550656</v>
      </c>
      <c r="X10" s="9">
        <f>Investment!X25</f>
        <v>61079249.023051679</v>
      </c>
      <c r="Y10" s="9">
        <f>Investment!Y25</f>
        <v>63940959.25663355</v>
      </c>
      <c r="Z10" s="9">
        <f>Investment!Z25</f>
        <v>66923273.794165075</v>
      </c>
      <c r="AA10" s="9">
        <f>Investment!AA25</f>
        <v>70030980.919819832</v>
      </c>
      <c r="AB10" s="9">
        <f>Investment!AB25</f>
        <v>73269051.869151235</v>
      </c>
      <c r="AC10" s="9">
        <f>Investment!AC25</f>
        <v>76642647.634777963</v>
      </c>
      <c r="AD10" s="9">
        <f>Investment!AD25</f>
        <v>80157126.020290807</v>
      </c>
      <c r="AE10" s="9">
        <f>Investment!AE25</f>
        <v>83818048.951298431</v>
      </c>
      <c r="AF10" s="9">
        <f>Investment!AF25</f>
        <v>87631190.052845776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-18605264.663949315</v>
      </c>
      <c r="D12" s="1">
        <f t="shared" ref="D12:AF12" ca="1" si="2">D7-D9-D10</f>
        <v>-17088204.867276404</v>
      </c>
      <c r="E12" s="1">
        <f ca="1">E7-E9-E10</f>
        <v>-15272739.826692034</v>
      </c>
      <c r="F12" s="1">
        <f t="shared" ca="1" si="2"/>
        <v>-12033609.547768172</v>
      </c>
      <c r="G12" s="1">
        <f ca="1">G7-G9-G10</f>
        <v>-9865605.1521784291</v>
      </c>
      <c r="H12" s="1">
        <f t="shared" ca="1" si="2"/>
        <v>-8550722.4155975468</v>
      </c>
      <c r="I12" s="1">
        <f t="shared" ca="1" si="2"/>
        <v>-8099814.9469034187</v>
      </c>
      <c r="J12" s="1">
        <f t="shared" ca="1" si="2"/>
        <v>-7425678.6981260777</v>
      </c>
      <c r="K12" s="1">
        <f t="shared" ca="1" si="2"/>
        <v>-6904361.3431604132</v>
      </c>
      <c r="L12" s="1">
        <f t="shared" ca="1" si="2"/>
        <v>-7068604.5315949321</v>
      </c>
      <c r="M12" s="1">
        <f t="shared" ca="1" si="2"/>
        <v>-7403547.2117685638</v>
      </c>
      <c r="N12" s="1">
        <f t="shared" ca="1" si="2"/>
        <v>-7699831.6662315279</v>
      </c>
      <c r="O12" s="1">
        <f t="shared" ca="1" si="2"/>
        <v>-7950114.4400862865</v>
      </c>
      <c r="P12" s="1">
        <f t="shared" ca="1" si="2"/>
        <v>-8146308.8997564837</v>
      </c>
      <c r="Q12" s="1">
        <f t="shared" ca="1" si="2"/>
        <v>-8279524.9526298493</v>
      </c>
      <c r="R12" s="1">
        <f t="shared" ca="1" si="2"/>
        <v>-8340004.3961057812</v>
      </c>
      <c r="S12" s="1">
        <f t="shared" ca="1" si="2"/>
        <v>-8317051.5989891812</v>
      </c>
      <c r="T12" s="1">
        <f t="shared" ca="1" si="2"/>
        <v>-8198959.1987644359</v>
      </c>
      <c r="U12" s="1">
        <f t="shared" ca="1" si="2"/>
        <v>-7972928.4776392356</v>
      </c>
      <c r="V12" s="1">
        <f t="shared" ca="1" si="2"/>
        <v>-8029527.8307991251</v>
      </c>
      <c r="W12" s="1">
        <f t="shared" ca="1" si="2"/>
        <v>-8010888.4827397689</v>
      </c>
      <c r="X12" s="1">
        <f t="shared" ca="1" si="2"/>
        <v>-7906787.8241669089</v>
      </c>
      <c r="Y12" s="1">
        <f t="shared" ca="1" si="2"/>
        <v>-8658465.2056245208</v>
      </c>
      <c r="Z12" s="1">
        <f t="shared" ca="1" si="2"/>
        <v>-9432684.2186447382</v>
      </c>
      <c r="AA12" s="1">
        <f t="shared" ca="1" si="2"/>
        <v>-11061553.787472457</v>
      </c>
      <c r="AB12" s="1">
        <f t="shared" ca="1" si="2"/>
        <v>-12810323.012382142</v>
      </c>
      <c r="AC12" s="1">
        <f t="shared" ca="1" si="2"/>
        <v>-14685526.048628837</v>
      </c>
      <c r="AD12" s="1">
        <f t="shared" ca="1" si="2"/>
        <v>-16694003.559030227</v>
      </c>
      <c r="AE12" s="1">
        <f t="shared" ca="1" si="2"/>
        <v>-18842915.849532664</v>
      </c>
      <c r="AF12" s="1">
        <f t="shared" ca="1" si="2"/>
        <v>-21139756.53367199</v>
      </c>
      <c r="AG12" s="1"/>
      <c r="AH12" s="1"/>
      <c r="AI12" s="1"/>
      <c r="AJ12" s="1"/>
      <c r="AK12" s="1"/>
      <c r="AL12" s="1"/>
      <c r="AM12" s="1"/>
      <c r="AN12" s="1"/>
      <c r="AO12" s="1"/>
      <c r="AP12" s="1"/>
    </row>
    <row r="13" spans="1:42" x14ac:dyDescent="0.35">
      <c r="A13" t="s">
        <v>19</v>
      </c>
      <c r="C13" s="1">
        <f ca="1">C12</f>
        <v>-18605264.663949315</v>
      </c>
      <c r="D13" s="1">
        <f ca="1">D12</f>
        <v>-17088204.867276404</v>
      </c>
      <c r="E13" s="1">
        <f ca="1">E12</f>
        <v>-15272739.826692034</v>
      </c>
      <c r="F13" s="1">
        <f t="shared" ref="F13:AF13" ca="1" si="3">F12</f>
        <v>-12033609.547768172</v>
      </c>
      <c r="G13" s="1">
        <f ca="1">G12</f>
        <v>-9865605.1521784291</v>
      </c>
      <c r="H13" s="1">
        <f t="shared" ca="1" si="3"/>
        <v>-8550722.4155975468</v>
      </c>
      <c r="I13" s="1">
        <f t="shared" ca="1" si="3"/>
        <v>-8099814.9469034187</v>
      </c>
      <c r="J13" s="1">
        <f t="shared" ca="1" si="3"/>
        <v>-7425678.6981260777</v>
      </c>
      <c r="K13" s="1">
        <f t="shared" ca="1" si="3"/>
        <v>-6904361.3431604132</v>
      </c>
      <c r="L13" s="1">
        <f t="shared" ca="1" si="3"/>
        <v>-7068604.5315949321</v>
      </c>
      <c r="M13" s="1">
        <f t="shared" ca="1" si="3"/>
        <v>-7403547.2117685638</v>
      </c>
      <c r="N13" s="1">
        <f t="shared" ca="1" si="3"/>
        <v>-7699831.6662315279</v>
      </c>
      <c r="O13" s="1">
        <f t="shared" ca="1" si="3"/>
        <v>-7950114.4400862865</v>
      </c>
      <c r="P13" s="1">
        <f t="shared" ca="1" si="3"/>
        <v>-8146308.8997564837</v>
      </c>
      <c r="Q13" s="1">
        <f t="shared" ca="1" si="3"/>
        <v>-8279524.9526298493</v>
      </c>
      <c r="R13" s="1">
        <f t="shared" ca="1" si="3"/>
        <v>-8340004.3961057812</v>
      </c>
      <c r="S13" s="1">
        <f t="shared" ca="1" si="3"/>
        <v>-8317051.5989891812</v>
      </c>
      <c r="T13" s="1">
        <f t="shared" ca="1" si="3"/>
        <v>-8198959.1987644359</v>
      </c>
      <c r="U13" s="1">
        <f t="shared" ca="1" si="3"/>
        <v>-7972928.4776392356</v>
      </c>
      <c r="V13" s="1">
        <f t="shared" ca="1" si="3"/>
        <v>-8029527.8307991251</v>
      </c>
      <c r="W13" s="1">
        <f t="shared" ca="1" si="3"/>
        <v>-8010888.4827397689</v>
      </c>
      <c r="X13" s="1">
        <f t="shared" ca="1" si="3"/>
        <v>-7906787.8241669089</v>
      </c>
      <c r="Y13" s="1">
        <f t="shared" ca="1" si="3"/>
        <v>-8658465.2056245208</v>
      </c>
      <c r="Z13" s="1">
        <f t="shared" ca="1" si="3"/>
        <v>-9432684.2186447382</v>
      </c>
      <c r="AA13" s="1">
        <f t="shared" ca="1" si="3"/>
        <v>-11061553.787472457</v>
      </c>
      <c r="AB13" s="1">
        <f t="shared" ca="1" si="3"/>
        <v>-12810323.012382142</v>
      </c>
      <c r="AC13" s="1">
        <f t="shared" ca="1" si="3"/>
        <v>-14685526.048628837</v>
      </c>
      <c r="AD13" s="1">
        <f t="shared" ca="1" si="3"/>
        <v>-16694003.559030227</v>
      </c>
      <c r="AE13" s="1">
        <f t="shared" ca="1" si="3"/>
        <v>-18842915.849532664</v>
      </c>
      <c r="AF13" s="1">
        <f t="shared" ca="1" si="3"/>
        <v>-21139756.53367199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178820000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89410000</v>
      </c>
      <c r="D7" s="9">
        <f>C12</f>
        <v>92502644.683972299</v>
      </c>
      <c r="E7" s="9">
        <f>D12</f>
        <v>96162438.548231706</v>
      </c>
      <c r="F7" s="9">
        <f t="shared" ref="F7:H7" si="1">E12</f>
        <v>100422512.27216022</v>
      </c>
      <c r="G7" s="9">
        <f t="shared" si="1"/>
        <v>105317536.13785964</v>
      </c>
      <c r="H7" s="9">
        <f t="shared" si="1"/>
        <v>110883784.63891004</v>
      </c>
      <c r="I7" s="9">
        <f t="shared" ref="I7" si="2">H12</f>
        <v>117159203.64753538</v>
      </c>
      <c r="J7" s="9">
        <f t="shared" ref="J7" si="3">I12</f>
        <v>124183480.23775539</v>
      </c>
      <c r="K7" s="9">
        <f t="shared" ref="K7" si="4">J12</f>
        <v>131998115.26572727</v>
      </c>
      <c r="L7" s="9">
        <f t="shared" ref="L7" si="5">K12</f>
        <v>140646498.81223878</v>
      </c>
      <c r="M7" s="9">
        <f t="shared" ref="M7" si="6">L12</f>
        <v>150173988.5962078</v>
      </c>
      <c r="N7" s="9">
        <f t="shared" ref="N7" si="7">M12</f>
        <v>160627991.47207999</v>
      </c>
      <c r="O7" s="9">
        <f t="shared" ref="O7" si="8">N12</f>
        <v>172058048.12819839</v>
      </c>
      <c r="P7" s="9">
        <f t="shared" ref="P7" si="9">O12</f>
        <v>184515921.10755384</v>
      </c>
      <c r="Q7" s="9">
        <f t="shared" ref="Q7" si="10">P12</f>
        <v>198055686.27681765</v>
      </c>
      <c r="R7" s="9">
        <f t="shared" ref="R7" si="11">Q12</f>
        <v>212733827.8742131</v>
      </c>
      <c r="S7" s="9">
        <f t="shared" ref="S7" si="12">R12</f>
        <v>228609337.27160728</v>
      </c>
      <c r="T7" s="9">
        <f t="shared" ref="T7" si="13">S12</f>
        <v>245743815.59120438</v>
      </c>
      <c r="U7" s="9">
        <f t="shared" ref="U7" si="14">T12</f>
        <v>264201580.32240245</v>
      </c>
      <c r="V7" s="9">
        <f t="shared" ref="V7" si="15">U12</f>
        <v>284049776.08974469</v>
      </c>
      <c r="W7" s="9">
        <f t="shared" ref="W7" si="16">V12</f>
        <v>305358489.7284596</v>
      </c>
      <c r="X7" s="9">
        <f t="shared" ref="X7" si="17">W12</f>
        <v>328200869.82984924</v>
      </c>
      <c r="Y7" s="9">
        <f t="shared" ref="Y7" si="18">X12</f>
        <v>352653250.92475873</v>
      </c>
      <c r="Z7" s="9">
        <f t="shared" ref="Z7" si="19">Y12</f>
        <v>378795282.47954959</v>
      </c>
      <c r="AA7" s="9">
        <f t="shared" ref="AA7" si="20">Z12</f>
        <v>406710062.88541299</v>
      </c>
      <c r="AB7" s="9">
        <f t="shared" ref="AB7" si="21">AA12</f>
        <v>436484278.62850547</v>
      </c>
      <c r="AC7" s="9">
        <f t="shared" ref="AC7" si="22">AB12</f>
        <v>468208348.83527404</v>
      </c>
      <c r="AD7" s="9">
        <f t="shared" ref="AD7" si="23">AC12</f>
        <v>501976575.39447314</v>
      </c>
      <c r="AE7" s="9">
        <f t="shared" ref="AE7" si="24">AD12</f>
        <v>537887298.86476648</v>
      </c>
      <c r="AF7" s="9">
        <f t="shared" ref="AF7" si="25">AE12</f>
        <v>576043060.3844676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2638977.4839722943</v>
      </c>
      <c r="D8" s="9">
        <f>Assumptions!E111*Assumptions!E11</f>
        <v>2723424.7634594077</v>
      </c>
      <c r="E8" s="9">
        <f>Assumptions!F111*Assumptions!F11</f>
        <v>2810574.3558901083</v>
      </c>
      <c r="F8" s="9">
        <f>Assumptions!G111*Assumptions!G11</f>
        <v>2900512.735278592</v>
      </c>
      <c r="G8" s="9">
        <f>Assumptions!H111*Assumptions!H11</f>
        <v>2993329.1428075074</v>
      </c>
      <c r="H8" s="9">
        <f>Assumptions!I111*Assumptions!I11</f>
        <v>3089115.675377347</v>
      </c>
      <c r="I8" s="9">
        <f>Assumptions!J111*Assumptions!J11</f>
        <v>3187967.3769894219</v>
      </c>
      <c r="J8" s="9">
        <f>Assumptions!K111*Assumptions!K11</f>
        <v>3289982.3330530836</v>
      </c>
      <c r="K8" s="9">
        <f>Assumptions!L111*Assumptions!L11</f>
        <v>3395261.7677107826</v>
      </c>
      <c r="L8" s="9">
        <f>Assumptions!M111*Assumptions!M11</f>
        <v>3503910.1442775275</v>
      </c>
      <c r="M8" s="9">
        <f>Assumptions!N111*Assumptions!N11</f>
        <v>3616035.2688944079</v>
      </c>
      <c r="N8" s="9">
        <f>Assumptions!O111*Assumptions!O11</f>
        <v>3731748.3974990295</v>
      </c>
      <c r="O8" s="9">
        <f>Assumptions!P111*Assumptions!P11</f>
        <v>3851164.3462189985</v>
      </c>
      <c r="P8" s="9">
        <f>Assumptions!Q111*Assumptions!Q11</f>
        <v>3974401.605298006</v>
      </c>
      <c r="Q8" s="9">
        <f>Assumptions!R111*Assumptions!R11</f>
        <v>4101582.4566675411</v>
      </c>
      <c r="R8" s="9">
        <f>Assumptions!S111*Assumptions!S11</f>
        <v>4232833.0952809034</v>
      </c>
      <c r="S8" s="9">
        <f>Assumptions!T111*Assumptions!T11</f>
        <v>4368283.7543298928</v>
      </c>
      <c r="T8" s="9">
        <f>Assumptions!U111*Assumptions!U11</f>
        <v>4508068.8344684485</v>
      </c>
      <c r="U8" s="9">
        <f>Assumptions!V111*Assumptions!V11</f>
        <v>4652327.0371714383</v>
      </c>
      <c r="V8" s="9">
        <f>Assumptions!W111*Assumptions!W11</f>
        <v>4801201.5023609251</v>
      </c>
      <c r="W8" s="9">
        <f>Assumptions!X111*Assumptions!X11</f>
        <v>4954839.9504364757</v>
      </c>
      <c r="X8" s="9">
        <f>Assumptions!Y111*Assumptions!Y11</f>
        <v>5113394.8288504416</v>
      </c>
      <c r="Y8" s="9">
        <f>Assumptions!Z111*Assumptions!Z11</f>
        <v>5277023.4633736555</v>
      </c>
      <c r="Z8" s="9">
        <f>Assumptions!AA111*Assumptions!AA11</f>
        <v>5445888.2142016124</v>
      </c>
      <c r="AA8" s="9">
        <f>Assumptions!AB111*Assumptions!AB11</f>
        <v>5620156.6370560657</v>
      </c>
      <c r="AB8" s="9">
        <f>Assumptions!AC111*Assumptions!AC11</f>
        <v>5800001.6494418588</v>
      </c>
      <c r="AC8" s="9">
        <f>Assumptions!AD111*Assumptions!AD11</f>
        <v>5985601.7022239976</v>
      </c>
      <c r="AD8" s="9">
        <f>Assumptions!AE111*Assumptions!AE11</f>
        <v>6177140.9566951664</v>
      </c>
      <c r="AE8" s="9">
        <f>Assumptions!AF111*Assumptions!AF11</f>
        <v>6374809.4673094116</v>
      </c>
      <c r="AF8" s="9">
        <f>Assumptions!AG111*Assumptions!AG11</f>
        <v>6578803.370263312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453667.2</v>
      </c>
      <c r="D9" s="9">
        <f>Assumptions!E120*Assumptions!E11</f>
        <v>936369.10080000001</v>
      </c>
      <c r="E9" s="9">
        <f>Assumptions!F120*Assumptions!F11</f>
        <v>1449499.3680383998</v>
      </c>
      <c r="F9" s="9">
        <f>Assumptions!G120*Assumptions!G11</f>
        <v>1994511.1304208382</v>
      </c>
      <c r="G9" s="9">
        <f>Assumptions!H120*Assumptions!H11</f>
        <v>2572919.3582428819</v>
      </c>
      <c r="H9" s="9">
        <f>Assumptions!I120*Assumptions!I11</f>
        <v>3186303.3332479848</v>
      </c>
      <c r="I9" s="9">
        <f>Assumptions!J120*Assumptions!J11</f>
        <v>3836309.2132305736</v>
      </c>
      <c r="J9" s="9">
        <f>Assumptions!K120*Assumptions!K11</f>
        <v>4524652.6949188011</v>
      </c>
      <c r="K9" s="9">
        <f>Assumptions!L120*Assumptions!L11</f>
        <v>5253121.7788007287</v>
      </c>
      <c r="L9" s="9">
        <f>Assumptions!M120*Assumptions!M11</f>
        <v>6023579.6396915019</v>
      </c>
      <c r="M9" s="9">
        <f>Assumptions!N120*Assumptions!N11</f>
        <v>6837967.6069777915</v>
      </c>
      <c r="N9" s="9">
        <f>Assumptions!O120*Assumptions!O11</f>
        <v>7698308.2586193616</v>
      </c>
      <c r="O9" s="9">
        <f>Assumptions!P120*Assumptions!P11</f>
        <v>8606708.6331364457</v>
      </c>
      <c r="P9" s="9">
        <f>Assumptions!Q120*Assumptions!Q11</f>
        <v>9565363.5639657974</v>
      </c>
      <c r="Q9" s="9">
        <f>Assumptions!R120*Assumptions!R11</f>
        <v>10576559.140727894</v>
      </c>
      <c r="R9" s="9">
        <f>Assumptions!S120*Assumptions!S11</f>
        <v>11642676.302113267</v>
      </c>
      <c r="S9" s="9">
        <f>Assumptions!T120*Assumptions!T11</f>
        <v>12766194.5652672</v>
      </c>
      <c r="T9" s="9">
        <f>Assumptions!U120*Assumptions!U11</f>
        <v>13949695.896729618</v>
      </c>
      <c r="U9" s="9">
        <f>Assumptions!V120*Assumptions!V11</f>
        <v>15195868.730170796</v>
      </c>
      <c r="V9" s="9">
        <f>Assumptions!W120*Assumptions!W11</f>
        <v>16507512.136353964</v>
      </c>
      <c r="W9" s="9">
        <f>Assumptions!X120*Assumptions!X11</f>
        <v>17887540.150953159</v>
      </c>
      <c r="X9" s="9">
        <f>Assumptions!Y120*Assumptions!Y11</f>
        <v>19338986.266059067</v>
      </c>
      <c r="Y9" s="9">
        <f>Assumptions!Z120*Assumptions!Z11</f>
        <v>20865008.091417182</v>
      </c>
      <c r="Z9" s="9">
        <f>Assumptions!AA120*Assumptions!AA11</f>
        <v>22468892.191661771</v>
      </c>
      <c r="AA9" s="9">
        <f>Assumptions!AB120*Assumptions!AB11</f>
        <v>24154059.106036413</v>
      </c>
      <c r="AB9" s="9">
        <f>Assumptions!AC120*Assumptions!AC11</f>
        <v>25924068.557326753</v>
      </c>
      <c r="AC9" s="9">
        <f>Assumptions!AD120*Assumptions!AD11</f>
        <v>27782624.856975105</v>
      </c>
      <c r="AD9" s="9">
        <f>Assumptions!AE120*Assumptions!AE11</f>
        <v>29733582.513598252</v>
      </c>
      <c r="AE9" s="9">
        <f>Assumptions!AF120*Assumptions!AF11</f>
        <v>31780952.052391727</v>
      </c>
      <c r="AF9" s="9">
        <f>Assumptions!AG120*Assumptions!AG11</f>
        <v>33928906.053174064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3092644.6839722944</v>
      </c>
      <c r="D10" s="9">
        <f>SUM($C$8:D9)</f>
        <v>6752438.5482317023</v>
      </c>
      <c r="E10" s="9">
        <f>SUM($C$8:E9)</f>
        <v>11012512.27216021</v>
      </c>
      <c r="F10" s="9">
        <f>SUM($C$8:F9)</f>
        <v>15907536.137859639</v>
      </c>
      <c r="G10" s="9">
        <f>SUM($C$8:G9)</f>
        <v>21473784.638910029</v>
      </c>
      <c r="H10" s="9">
        <f>SUM($C$8:H9)</f>
        <v>27749203.647535361</v>
      </c>
      <c r="I10" s="9">
        <f>SUM($C$8:I9)</f>
        <v>34773480.237755358</v>
      </c>
      <c r="J10" s="9">
        <f>SUM($C$8:J9)</f>
        <v>42588115.265727237</v>
      </c>
      <c r="K10" s="9">
        <f>SUM($C$8:K9)</f>
        <v>51236498.812238745</v>
      </c>
      <c r="L10" s="9">
        <f>SUM($C$8:L9)</f>
        <v>60763988.596207783</v>
      </c>
      <c r="M10" s="9">
        <f>SUM($C$8:M9)</f>
        <v>71217991.472079992</v>
      </c>
      <c r="N10" s="9">
        <f>SUM($C$8:N9)</f>
        <v>82648048.128198385</v>
      </c>
      <c r="O10" s="9">
        <f>SUM($C$8:O9)</f>
        <v>95105921.10755384</v>
      </c>
      <c r="P10" s="9">
        <f>SUM($C$8:P9)</f>
        <v>108645686.27681763</v>
      </c>
      <c r="Q10" s="9">
        <f>SUM($C$8:Q9)</f>
        <v>123323827.87421307</v>
      </c>
      <c r="R10" s="9">
        <f>SUM($C$8:R9)</f>
        <v>139199337.27160725</v>
      </c>
      <c r="S10" s="9">
        <f>SUM($C$8:S9)</f>
        <v>156333815.59120435</v>
      </c>
      <c r="T10" s="9">
        <f>SUM($C$8:T9)</f>
        <v>174791580.32240242</v>
      </c>
      <c r="U10" s="9">
        <f>SUM($C$8:U9)</f>
        <v>194639776.08974463</v>
      </c>
      <c r="V10" s="9">
        <f>SUM($C$8:V9)</f>
        <v>215948489.72845951</v>
      </c>
      <c r="W10" s="9">
        <f>SUM($C$8:W9)</f>
        <v>238790869.82984912</v>
      </c>
      <c r="X10" s="9">
        <f>SUM($C$8:X9)</f>
        <v>263243250.92475864</v>
      </c>
      <c r="Y10" s="9">
        <f>SUM($C$8:Y9)</f>
        <v>289385282.47954947</v>
      </c>
      <c r="Z10" s="9">
        <f>SUM($C$8:Z9)</f>
        <v>317300062.88541287</v>
      </c>
      <c r="AA10" s="9">
        <f>SUM($C$8:AA9)</f>
        <v>347074278.62850541</v>
      </c>
      <c r="AB10" s="9">
        <f>SUM($C$8:AB9)</f>
        <v>378798348.83527398</v>
      </c>
      <c r="AC10" s="9">
        <f>SUM($C$8:AC9)</f>
        <v>412566575.39447308</v>
      </c>
      <c r="AD10" s="9">
        <f>SUM($C$8:AD9)</f>
        <v>448477298.86476648</v>
      </c>
      <c r="AE10" s="9">
        <f>SUM($C$8:AE9)</f>
        <v>486633060.3844676</v>
      </c>
      <c r="AF10" s="9">
        <f>SUM($C$8:AF9)</f>
        <v>527140769.80790502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92502644.683972299</v>
      </c>
      <c r="D12" s="9">
        <f>D7+D8+D9</f>
        <v>96162438.548231706</v>
      </c>
      <c r="E12" s="9">
        <f>E7+E8+E9</f>
        <v>100422512.27216022</v>
      </c>
      <c r="F12" s="9">
        <f t="shared" ref="F12:H12" si="26">F7+F8+F9</f>
        <v>105317536.13785964</v>
      </c>
      <c r="G12" s="9">
        <f t="shared" si="26"/>
        <v>110883784.63891004</v>
      </c>
      <c r="H12" s="9">
        <f t="shared" si="26"/>
        <v>117159203.64753538</v>
      </c>
      <c r="I12" s="9">
        <f t="shared" ref="I12:AF12" si="27">I7+I8+I9</f>
        <v>124183480.23775539</v>
      </c>
      <c r="J12" s="9">
        <f t="shared" si="27"/>
        <v>131998115.26572727</v>
      </c>
      <c r="K12" s="9">
        <f t="shared" si="27"/>
        <v>140646498.81223878</v>
      </c>
      <c r="L12" s="9">
        <f t="shared" si="27"/>
        <v>150173988.5962078</v>
      </c>
      <c r="M12" s="9">
        <f t="shared" si="27"/>
        <v>160627991.47207999</v>
      </c>
      <c r="N12" s="9">
        <f t="shared" si="27"/>
        <v>172058048.12819839</v>
      </c>
      <c r="O12" s="9">
        <f t="shared" si="27"/>
        <v>184515921.10755384</v>
      </c>
      <c r="P12" s="9">
        <f t="shared" si="27"/>
        <v>198055686.27681765</v>
      </c>
      <c r="Q12" s="9">
        <f t="shared" si="27"/>
        <v>212733827.8742131</v>
      </c>
      <c r="R12" s="9">
        <f t="shared" si="27"/>
        <v>228609337.27160728</v>
      </c>
      <c r="S12" s="9">
        <f t="shared" si="27"/>
        <v>245743815.59120438</v>
      </c>
      <c r="T12" s="9">
        <f t="shared" si="27"/>
        <v>264201580.32240245</v>
      </c>
      <c r="U12" s="9">
        <f t="shared" si="27"/>
        <v>284049776.08974469</v>
      </c>
      <c r="V12" s="9">
        <f t="shared" si="27"/>
        <v>305358489.7284596</v>
      </c>
      <c r="W12" s="9">
        <f t="shared" si="27"/>
        <v>328200869.82984924</v>
      </c>
      <c r="X12" s="9">
        <f t="shared" si="27"/>
        <v>352653250.92475873</v>
      </c>
      <c r="Y12" s="9">
        <f t="shared" si="27"/>
        <v>378795282.47954959</v>
      </c>
      <c r="Z12" s="9">
        <f t="shared" si="27"/>
        <v>406710062.88541299</v>
      </c>
      <c r="AA12" s="9">
        <f t="shared" si="27"/>
        <v>436484278.62850547</v>
      </c>
      <c r="AB12" s="9">
        <f t="shared" si="27"/>
        <v>468208348.83527404</v>
      </c>
      <c r="AC12" s="9">
        <f t="shared" si="27"/>
        <v>501976575.39447314</v>
      </c>
      <c r="AD12" s="9">
        <f t="shared" si="27"/>
        <v>537887298.86476648</v>
      </c>
      <c r="AE12" s="9">
        <f t="shared" si="27"/>
        <v>576043060.3844676</v>
      </c>
      <c r="AF12" s="9">
        <f t="shared" si="27"/>
        <v>616550769.80790496</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21995444.683972295</v>
      </c>
      <c r="D18" s="9">
        <f>Investment!D25</f>
        <v>23167483.464259408</v>
      </c>
      <c r="E18" s="9">
        <f>Investment!E25</f>
        <v>24392009.39112851</v>
      </c>
      <c r="F18" s="9">
        <f>Investment!F25</f>
        <v>25671181.474249829</v>
      </c>
      <c r="G18" s="9">
        <f>Investment!G25</f>
        <v>27007243.153074402</v>
      </c>
      <c r="H18" s="9">
        <f>Investment!H25</f>
        <v>28402525.489514112</v>
      </c>
      <c r="I18" s="9">
        <f>Investment!I25</f>
        <v>29859450.478497211</v>
      </c>
      <c r="J18" s="9">
        <f>Investment!J25</f>
        <v>31380534.480673976</v>
      </c>
      <c r="K18" s="9">
        <f>Investment!K25</f>
        <v>32968391.781700075</v>
      </c>
      <c r="L18" s="9">
        <f>Investment!L25</f>
        <v>34625738.282683626</v>
      </c>
      <c r="M18" s="9">
        <f>Investment!M25</f>
        <v>36355395.326545656</v>
      </c>
      <c r="N18" s="9">
        <f>Investment!N25</f>
        <v>38160293.665213399</v>
      </c>
      <c r="O18" s="9">
        <f>Investment!O25</f>
        <v>40043477.572741501</v>
      </c>
      <c r="P18" s="9">
        <f>Investment!P25</f>
        <v>42008109.109638207</v>
      </c>
      <c r="Q18" s="9">
        <f>Investment!Q25</f>
        <v>44057472.543861814</v>
      </c>
      <c r="R18" s="9">
        <f>Investment!R25</f>
        <v>46194978.934147477</v>
      </c>
      <c r="S18" s="9">
        <f>Investment!S25</f>
        <v>48424170.881526507</v>
      </c>
      <c r="T18" s="9">
        <f>Investment!T25</f>
        <v>50748727.455109224</v>
      </c>
      <c r="U18" s="9">
        <f>Investment!U25</f>
        <v>53172469.298418544</v>
      </c>
      <c r="V18" s="9">
        <f>Investment!V25</f>
        <v>55699363.92278564</v>
      </c>
      <c r="W18" s="9">
        <f>Investment!W25</f>
        <v>58333531.194550656</v>
      </c>
      <c r="X18" s="9">
        <f>Investment!X25</f>
        <v>61079249.023051679</v>
      </c>
      <c r="Y18" s="9">
        <f>Investment!Y25</f>
        <v>63940959.25663355</v>
      </c>
      <c r="Z18" s="9">
        <f>Investment!Z25</f>
        <v>66923273.794165075</v>
      </c>
      <c r="AA18" s="9">
        <f>Investment!AA25</f>
        <v>70030980.919819832</v>
      </c>
      <c r="AB18" s="9">
        <f>Investment!AB25</f>
        <v>73269051.869151235</v>
      </c>
      <c r="AC18" s="9">
        <f>Investment!AC25</f>
        <v>76642647.634777963</v>
      </c>
      <c r="AD18" s="9">
        <f>Investment!AD25</f>
        <v>80157126.020290807</v>
      </c>
      <c r="AE18" s="9">
        <f>Investment!AE25</f>
        <v>83818048.951298431</v>
      </c>
      <c r="AF18" s="9">
        <f>Investment!AF25</f>
        <v>87631190.052845776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111405444.6839723</v>
      </c>
      <c r="D19" s="9">
        <f>D18+C20</f>
        <v>131480283.46425942</v>
      </c>
      <c r="E19" s="9">
        <f>E18+D20</f>
        <v>152212498.9911285</v>
      </c>
      <c r="F19" s="9">
        <f t="shared" ref="F19:AF19" si="28">F18+E20</f>
        <v>173623606.74144986</v>
      </c>
      <c r="G19" s="9">
        <f t="shared" si="28"/>
        <v>195735826.02882484</v>
      </c>
      <c r="H19" s="9">
        <f t="shared" si="28"/>
        <v>218572103.01728857</v>
      </c>
      <c r="I19" s="9">
        <f t="shared" si="28"/>
        <v>242156134.48716044</v>
      </c>
      <c r="J19" s="9">
        <f t="shared" si="28"/>
        <v>266512392.37761441</v>
      </c>
      <c r="K19" s="9">
        <f t="shared" si="28"/>
        <v>291666149.13134259</v>
      </c>
      <c r="L19" s="9">
        <f t="shared" si="28"/>
        <v>317643503.86751467</v>
      </c>
      <c r="M19" s="9">
        <f t="shared" si="28"/>
        <v>344471409.41009134</v>
      </c>
      <c r="N19" s="9">
        <f t="shared" si="28"/>
        <v>372177700.19943249</v>
      </c>
      <c r="O19" s="9">
        <f t="shared" si="28"/>
        <v>400791121.11605561</v>
      </c>
      <c r="P19" s="9">
        <f t="shared" si="28"/>
        <v>430341357.24633837</v>
      </c>
      <c r="Q19" s="9">
        <f t="shared" si="28"/>
        <v>460859064.62093639</v>
      </c>
      <c r="R19" s="9">
        <f t="shared" si="28"/>
        <v>492375901.95768845</v>
      </c>
      <c r="S19" s="9">
        <f t="shared" si="28"/>
        <v>524924563.4418208</v>
      </c>
      <c r="T19" s="9">
        <f t="shared" si="28"/>
        <v>558538812.57733285</v>
      </c>
      <c r="U19" s="9">
        <f t="shared" si="28"/>
        <v>593253517.1445533</v>
      </c>
      <c r="V19" s="9">
        <f t="shared" si="28"/>
        <v>629104685.29999661</v>
      </c>
      <c r="W19" s="9">
        <f t="shared" si="28"/>
        <v>666129502.85583234</v>
      </c>
      <c r="X19" s="9">
        <f t="shared" si="28"/>
        <v>704366371.77749443</v>
      </c>
      <c r="Y19" s="9">
        <f t="shared" si="28"/>
        <v>743854949.93921852</v>
      </c>
      <c r="Z19" s="9">
        <f t="shared" si="28"/>
        <v>784636192.17859268</v>
      </c>
      <c r="AA19" s="9">
        <f t="shared" si="28"/>
        <v>826752392.69254923</v>
      </c>
      <c r="AB19" s="9">
        <f t="shared" si="28"/>
        <v>870247228.81860793</v>
      </c>
      <c r="AC19" s="9">
        <f t="shared" si="28"/>
        <v>915165806.24661732</v>
      </c>
      <c r="AD19" s="9">
        <f t="shared" si="28"/>
        <v>961554705.70770907</v>
      </c>
      <c r="AE19" s="9">
        <f t="shared" si="28"/>
        <v>1009462031.1887141</v>
      </c>
      <c r="AF19" s="9">
        <f t="shared" si="28"/>
        <v>1058937459.7218587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108312800</v>
      </c>
      <c r="D20" s="9">
        <f>D19-D8-D9</f>
        <v>127820489.60000001</v>
      </c>
      <c r="E20" s="9">
        <f t="shared" ref="E20:AF20" si="29">E19-E8-E9</f>
        <v>147952425.26720002</v>
      </c>
      <c r="F20" s="9">
        <f t="shared" si="29"/>
        <v>168728582.87575042</v>
      </c>
      <c r="G20" s="9">
        <f t="shared" si="29"/>
        <v>190169577.52777445</v>
      </c>
      <c r="H20" s="9">
        <f t="shared" si="29"/>
        <v>212296684.00866324</v>
      </c>
      <c r="I20" s="9">
        <f t="shared" si="29"/>
        <v>235131857.89694044</v>
      </c>
      <c r="J20" s="9">
        <f t="shared" si="29"/>
        <v>258697757.34964252</v>
      </c>
      <c r="K20" s="9">
        <f t="shared" si="29"/>
        <v>283017765.58483106</v>
      </c>
      <c r="L20" s="9">
        <f t="shared" si="29"/>
        <v>308116014.08354568</v>
      </c>
      <c r="M20" s="9">
        <f t="shared" si="29"/>
        <v>334017406.53421909</v>
      </c>
      <c r="N20" s="9">
        <f t="shared" si="29"/>
        <v>360747643.5433141</v>
      </c>
      <c r="O20" s="9">
        <f t="shared" si="29"/>
        <v>388333248.13670015</v>
      </c>
      <c r="P20" s="9">
        <f t="shared" si="29"/>
        <v>416801592.07707459</v>
      </c>
      <c r="Q20" s="9">
        <f t="shared" si="29"/>
        <v>446180923.02354097</v>
      </c>
      <c r="R20" s="9">
        <f t="shared" si="29"/>
        <v>476500392.56029427</v>
      </c>
      <c r="S20" s="9">
        <f t="shared" si="29"/>
        <v>507790085.12222368</v>
      </c>
      <c r="T20" s="9">
        <f t="shared" si="29"/>
        <v>540081047.84613478</v>
      </c>
      <c r="U20" s="9">
        <f t="shared" si="29"/>
        <v>573405321.37721097</v>
      </c>
      <c r="V20" s="9">
        <f t="shared" si="29"/>
        <v>607795971.6612817</v>
      </c>
      <c r="W20" s="9">
        <f t="shared" si="29"/>
        <v>643287122.75444269</v>
      </c>
      <c r="X20" s="9">
        <f t="shared" si="29"/>
        <v>679913990.682585</v>
      </c>
      <c r="Y20" s="9">
        <f t="shared" si="29"/>
        <v>717712918.38442767</v>
      </c>
      <c r="Z20" s="9">
        <f t="shared" si="29"/>
        <v>756721411.7727294</v>
      </c>
      <c r="AA20" s="9">
        <f t="shared" si="29"/>
        <v>796978176.94945669</v>
      </c>
      <c r="AB20" s="9">
        <f t="shared" si="29"/>
        <v>838523158.61183929</v>
      </c>
      <c r="AC20" s="9">
        <f t="shared" si="29"/>
        <v>881397579.68741822</v>
      </c>
      <c r="AD20" s="9">
        <f t="shared" si="29"/>
        <v>925643982.23741567</v>
      </c>
      <c r="AE20" s="9">
        <f t="shared" si="29"/>
        <v>971306269.66901302</v>
      </c>
      <c r="AF20" s="9">
        <f t="shared" si="29"/>
        <v>1018429750.2984214</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7187000</v>
      </c>
      <c r="D22" s="9">
        <f ca="1">'Balance Sheet'!C11</f>
        <v>25792264.663949315</v>
      </c>
      <c r="E22" s="9">
        <f ca="1">'Balance Sheet'!D11</f>
        <v>42880469.531225719</v>
      </c>
      <c r="F22" s="9">
        <f ca="1">'Balance Sheet'!E11</f>
        <v>58153209.357917756</v>
      </c>
      <c r="G22" s="9">
        <f ca="1">'Balance Sheet'!F11</f>
        <v>70186818.905685931</v>
      </c>
      <c r="H22" s="9">
        <f ca="1">'Balance Sheet'!G11</f>
        <v>80052424.057864368</v>
      </c>
      <c r="I22" s="9">
        <f ca="1">'Balance Sheet'!H11</f>
        <v>88603146.473461911</v>
      </c>
      <c r="J22" s="9">
        <f ca="1">'Balance Sheet'!I11</f>
        <v>96702961.420365334</v>
      </c>
      <c r="K22" s="9">
        <f ca="1">'Balance Sheet'!J11</f>
        <v>104128640.11849141</v>
      </c>
      <c r="L22" s="9">
        <f ca="1">'Balance Sheet'!K11</f>
        <v>111033001.46165183</v>
      </c>
      <c r="M22" s="9">
        <f ca="1">'Balance Sheet'!L11</f>
        <v>118101605.99324676</v>
      </c>
      <c r="N22" s="9">
        <f ca="1">'Balance Sheet'!M11</f>
        <v>125505153.20501533</v>
      </c>
      <c r="O22" s="9">
        <f ca="1">'Balance Sheet'!N11</f>
        <v>133204984.87124686</v>
      </c>
      <c r="P22" s="9">
        <f ca="1">'Balance Sheet'!O11</f>
        <v>141155099.31133315</v>
      </c>
      <c r="Q22" s="9">
        <f ca="1">'Balance Sheet'!P11</f>
        <v>149301408.21108964</v>
      </c>
      <c r="R22" s="9">
        <f ca="1">'Balance Sheet'!Q11</f>
        <v>157580933.16371948</v>
      </c>
      <c r="S22" s="9">
        <f ca="1">'Balance Sheet'!R11</f>
        <v>165920937.55982524</v>
      </c>
      <c r="T22" s="9">
        <f ca="1">'Balance Sheet'!S11</f>
        <v>174237989.15881443</v>
      </c>
      <c r="U22" s="9">
        <f ca="1">'Balance Sheet'!T11</f>
        <v>182436948.35757887</v>
      </c>
      <c r="V22" s="9">
        <f ca="1">'Balance Sheet'!U11</f>
        <v>190409876.8352181</v>
      </c>
      <c r="W22" s="9">
        <f ca="1">'Balance Sheet'!V11</f>
        <v>198439404.66601723</v>
      </c>
      <c r="X22" s="9">
        <f ca="1">'Balance Sheet'!W11</f>
        <v>206450293.14875701</v>
      </c>
      <c r="Y22" s="9">
        <f ca="1">'Balance Sheet'!X11</f>
        <v>214357080.97292393</v>
      </c>
      <c r="Z22" s="9">
        <f ca="1">'Balance Sheet'!Y11</f>
        <v>223015546.17854846</v>
      </c>
      <c r="AA22" s="9">
        <f ca="1">'Balance Sheet'!Z11</f>
        <v>232448230.39719319</v>
      </c>
      <c r="AB22" s="9">
        <f ca="1">'Balance Sheet'!AA11</f>
        <v>243509784.18466565</v>
      </c>
      <c r="AC22" s="9">
        <f ca="1">'Balance Sheet'!AB11</f>
        <v>256320107.1970478</v>
      </c>
      <c r="AD22" s="9">
        <f ca="1">'Balance Sheet'!AC11</f>
        <v>271005633.24567664</v>
      </c>
      <c r="AE22" s="9">
        <f ca="1">'Balance Sheet'!AD11</f>
        <v>287699636.80470687</v>
      </c>
      <c r="AF22" s="9">
        <f ca="1">'Balance Sheet'!AE11</f>
        <v>306542552.65423954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101125800</v>
      </c>
      <c r="D23" s="9">
        <f t="shared" ref="D23:AF23" ca="1" si="30">D20-D22</f>
        <v>102028224.9360507</v>
      </c>
      <c r="E23" s="9">
        <f t="shared" ca="1" si="30"/>
        <v>105071955.73597431</v>
      </c>
      <c r="F23" s="9">
        <f t="shared" ca="1" si="30"/>
        <v>110575373.51783267</v>
      </c>
      <c r="G23" s="9">
        <f t="shared" ca="1" si="30"/>
        <v>119982758.62208852</v>
      </c>
      <c r="H23" s="9">
        <f t="shared" ca="1" si="30"/>
        <v>132244259.95079887</v>
      </c>
      <c r="I23" s="9">
        <f t="shared" ca="1" si="30"/>
        <v>146528711.42347854</v>
      </c>
      <c r="J23" s="9">
        <f ca="1">J20-J22</f>
        <v>161994795.92927718</v>
      </c>
      <c r="K23" s="9">
        <f t="shared" ca="1" si="30"/>
        <v>178889125.46633965</v>
      </c>
      <c r="L23" s="9">
        <f t="shared" ca="1" si="30"/>
        <v>197083012.62189385</v>
      </c>
      <c r="M23" s="9">
        <f t="shared" ca="1" si="30"/>
        <v>215915800.54097232</v>
      </c>
      <c r="N23" s="9">
        <f t="shared" ca="1" si="30"/>
        <v>235242490.33829877</v>
      </c>
      <c r="O23" s="9">
        <f t="shared" ca="1" si="30"/>
        <v>255128263.26545328</v>
      </c>
      <c r="P23" s="9">
        <f t="shared" ca="1" si="30"/>
        <v>275646492.76574147</v>
      </c>
      <c r="Q23" s="9">
        <f t="shared" ca="1" si="30"/>
        <v>296879514.81245136</v>
      </c>
      <c r="R23" s="9">
        <f t="shared" ca="1" si="30"/>
        <v>318919459.3965748</v>
      </c>
      <c r="S23" s="9">
        <f t="shared" ca="1" si="30"/>
        <v>341869147.56239843</v>
      </c>
      <c r="T23" s="9">
        <f t="shared" ca="1" si="30"/>
        <v>365843058.68732035</v>
      </c>
      <c r="U23" s="9">
        <f t="shared" ca="1" si="30"/>
        <v>390968373.0196321</v>
      </c>
      <c r="V23" s="9">
        <f t="shared" ca="1" si="30"/>
        <v>417386094.82606363</v>
      </c>
      <c r="W23" s="9">
        <f t="shared" ca="1" si="30"/>
        <v>444847718.08842546</v>
      </c>
      <c r="X23" s="9">
        <f t="shared" ca="1" si="30"/>
        <v>473463697.53382802</v>
      </c>
      <c r="Y23" s="9">
        <f t="shared" ca="1" si="30"/>
        <v>503355837.41150373</v>
      </c>
      <c r="Z23" s="9">
        <f t="shared" ca="1" si="30"/>
        <v>533705865.59418094</v>
      </c>
      <c r="AA23" s="9">
        <f t="shared" ca="1" si="30"/>
        <v>564529946.5522635</v>
      </c>
      <c r="AB23" s="9">
        <f t="shared" ca="1" si="30"/>
        <v>595013374.42717361</v>
      </c>
      <c r="AC23" s="9">
        <f t="shared" ca="1" si="30"/>
        <v>625077472.49037039</v>
      </c>
      <c r="AD23" s="9">
        <f t="shared" ca="1" si="30"/>
        <v>654638348.99173903</v>
      </c>
      <c r="AE23" s="9">
        <f t="shared" ca="1" si="30"/>
        <v>683606632.86430621</v>
      </c>
      <c r="AF23" s="9">
        <f t="shared" ca="1" si="30"/>
        <v>711887197.64418185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7187000</v>
      </c>
      <c r="D5" s="1">
        <f ca="1">C5+C6</f>
        <v>25792264.663949315</v>
      </c>
      <c r="E5" s="1">
        <f t="shared" ref="E5:AF5" ca="1" si="1">D5+D6</f>
        <v>42880469.531225719</v>
      </c>
      <c r="F5" s="1">
        <f t="shared" ca="1" si="1"/>
        <v>58153209.357917756</v>
      </c>
      <c r="G5" s="1">
        <f t="shared" ca="1" si="1"/>
        <v>70186818.905685931</v>
      </c>
      <c r="H5" s="1">
        <f t="shared" ca="1" si="1"/>
        <v>80052424.057864368</v>
      </c>
      <c r="I5" s="1">
        <f t="shared" ca="1" si="1"/>
        <v>88603146.473461911</v>
      </c>
      <c r="J5" s="1">
        <f t="shared" ca="1" si="1"/>
        <v>96702961.420365334</v>
      </c>
      <c r="K5" s="1">
        <f t="shared" ca="1" si="1"/>
        <v>104128640.11849141</v>
      </c>
      <c r="L5" s="1">
        <f t="shared" ca="1" si="1"/>
        <v>111033001.46165183</v>
      </c>
      <c r="M5" s="1">
        <f t="shared" ca="1" si="1"/>
        <v>118101605.99324676</v>
      </c>
      <c r="N5" s="1">
        <f t="shared" ca="1" si="1"/>
        <v>125505153.20501533</v>
      </c>
      <c r="O5" s="1">
        <f t="shared" ca="1" si="1"/>
        <v>133204984.87124686</v>
      </c>
      <c r="P5" s="1">
        <f t="shared" ca="1" si="1"/>
        <v>141155099.31133315</v>
      </c>
      <c r="Q5" s="1">
        <f t="shared" ca="1" si="1"/>
        <v>149301408.21108964</v>
      </c>
      <c r="R5" s="1">
        <f t="shared" ca="1" si="1"/>
        <v>157580933.16371948</v>
      </c>
      <c r="S5" s="1">
        <f t="shared" ca="1" si="1"/>
        <v>165920937.55982524</v>
      </c>
      <c r="T5" s="1">
        <f t="shared" ca="1" si="1"/>
        <v>174237989.15881443</v>
      </c>
      <c r="U5" s="1">
        <f t="shared" ca="1" si="1"/>
        <v>182436948.35757887</v>
      </c>
      <c r="V5" s="1">
        <f t="shared" ca="1" si="1"/>
        <v>190409876.8352181</v>
      </c>
      <c r="W5" s="1">
        <f t="shared" ca="1" si="1"/>
        <v>198439404.66601723</v>
      </c>
      <c r="X5" s="1">
        <f t="shared" ca="1" si="1"/>
        <v>206450293.14875701</v>
      </c>
      <c r="Y5" s="1">
        <f t="shared" ca="1" si="1"/>
        <v>214357080.97292393</v>
      </c>
      <c r="Z5" s="1">
        <f t="shared" ca="1" si="1"/>
        <v>223015546.17854846</v>
      </c>
      <c r="AA5" s="1">
        <f t="shared" ca="1" si="1"/>
        <v>232448230.39719319</v>
      </c>
      <c r="AB5" s="1">
        <f t="shared" ca="1" si="1"/>
        <v>243509784.18466565</v>
      </c>
      <c r="AC5" s="1">
        <f t="shared" ca="1" si="1"/>
        <v>256320107.1970478</v>
      </c>
      <c r="AD5" s="1">
        <f t="shared" ca="1" si="1"/>
        <v>271005633.24567664</v>
      </c>
      <c r="AE5" s="1">
        <f t="shared" ca="1" si="1"/>
        <v>287699636.80470687</v>
      </c>
      <c r="AF5" s="1">
        <f t="shared" ca="1" si="1"/>
        <v>306542552.65423954</v>
      </c>
      <c r="AG5" s="1"/>
      <c r="AH5" s="1"/>
      <c r="AI5" s="1"/>
      <c r="AJ5" s="1"/>
      <c r="AK5" s="1"/>
      <c r="AL5" s="1"/>
      <c r="AM5" s="1"/>
      <c r="AN5" s="1"/>
      <c r="AO5" s="1"/>
      <c r="AP5" s="1"/>
    </row>
    <row r="6" spans="1:42" x14ac:dyDescent="0.35">
      <c r="A6" s="63" t="s">
        <v>3</v>
      </c>
      <c r="C6" s="1">
        <f ca="1">-'Cash Flow'!C13</f>
        <v>18605264.663949315</v>
      </c>
      <c r="D6" s="1">
        <f ca="1">-'Cash Flow'!D13</f>
        <v>17088204.867276404</v>
      </c>
      <c r="E6" s="1">
        <f ca="1">-'Cash Flow'!E13</f>
        <v>15272739.826692034</v>
      </c>
      <c r="F6" s="1">
        <f ca="1">-'Cash Flow'!F13</f>
        <v>12033609.547768172</v>
      </c>
      <c r="G6" s="1">
        <f ca="1">-'Cash Flow'!G13</f>
        <v>9865605.1521784291</v>
      </c>
      <c r="H6" s="1">
        <f ca="1">-'Cash Flow'!H13</f>
        <v>8550722.4155975468</v>
      </c>
      <c r="I6" s="1">
        <f ca="1">-'Cash Flow'!I13</f>
        <v>8099814.9469034187</v>
      </c>
      <c r="J6" s="1">
        <f ca="1">-'Cash Flow'!J13</f>
        <v>7425678.6981260777</v>
      </c>
      <c r="K6" s="1">
        <f ca="1">-'Cash Flow'!K13</f>
        <v>6904361.3431604132</v>
      </c>
      <c r="L6" s="1">
        <f ca="1">-'Cash Flow'!L13</f>
        <v>7068604.5315949321</v>
      </c>
      <c r="M6" s="1">
        <f ca="1">-'Cash Flow'!M13</f>
        <v>7403547.2117685638</v>
      </c>
      <c r="N6" s="1">
        <f ca="1">-'Cash Flow'!N13</f>
        <v>7699831.6662315279</v>
      </c>
      <c r="O6" s="1">
        <f ca="1">-'Cash Flow'!O13</f>
        <v>7950114.4400862865</v>
      </c>
      <c r="P6" s="1">
        <f ca="1">-'Cash Flow'!P13</f>
        <v>8146308.8997564837</v>
      </c>
      <c r="Q6" s="1">
        <f ca="1">-'Cash Flow'!Q13</f>
        <v>8279524.9526298493</v>
      </c>
      <c r="R6" s="1">
        <f ca="1">-'Cash Flow'!R13</f>
        <v>8340004.3961057812</v>
      </c>
      <c r="S6" s="1">
        <f ca="1">-'Cash Flow'!S13</f>
        <v>8317051.5989891812</v>
      </c>
      <c r="T6" s="1">
        <f ca="1">-'Cash Flow'!T13</f>
        <v>8198959.1987644359</v>
      </c>
      <c r="U6" s="1">
        <f ca="1">-'Cash Flow'!U13</f>
        <v>7972928.4776392356</v>
      </c>
      <c r="V6" s="1">
        <f ca="1">-'Cash Flow'!V13</f>
        <v>8029527.8307991251</v>
      </c>
      <c r="W6" s="1">
        <f ca="1">-'Cash Flow'!W13</f>
        <v>8010888.4827397689</v>
      </c>
      <c r="X6" s="1">
        <f ca="1">-'Cash Flow'!X13</f>
        <v>7906787.8241669089</v>
      </c>
      <c r="Y6" s="1">
        <f ca="1">-'Cash Flow'!Y13</f>
        <v>8658465.2056245208</v>
      </c>
      <c r="Z6" s="1">
        <f ca="1">-'Cash Flow'!Z13</f>
        <v>9432684.2186447382</v>
      </c>
      <c r="AA6" s="1">
        <f ca="1">-'Cash Flow'!AA13</f>
        <v>11061553.787472457</v>
      </c>
      <c r="AB6" s="1">
        <f ca="1">-'Cash Flow'!AB13</f>
        <v>12810323.012382142</v>
      </c>
      <c r="AC6" s="1">
        <f ca="1">-'Cash Flow'!AC13</f>
        <v>14685526.048628837</v>
      </c>
      <c r="AD6" s="1">
        <f ca="1">-'Cash Flow'!AD13</f>
        <v>16694003.559030227</v>
      </c>
      <c r="AE6" s="1">
        <f ca="1">-'Cash Flow'!AE13</f>
        <v>18842915.849532664</v>
      </c>
      <c r="AF6" s="1">
        <f ca="1">-'Cash Flow'!AF13</f>
        <v>21139756.53367199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902729.26323822606</v>
      </c>
      <c r="D8" s="1">
        <f ca="1">IF(SUM(D5:D6)&gt;0,Assumptions!$C$26*SUM(D5:D6),Assumptions!$C$27*(SUM(D5:D6)))</f>
        <v>1500816.4335929004</v>
      </c>
      <c r="E8" s="1">
        <f ca="1">IF(SUM(E5:E6)&gt;0,Assumptions!$C$26*SUM(E5:E6),Assumptions!$C$27*(SUM(E5:E6)))</f>
        <v>2035362.3275271216</v>
      </c>
      <c r="F8" s="1">
        <f ca="1">IF(SUM(F5:F6)&gt;0,Assumptions!$C$26*SUM(F5:F6),Assumptions!$C$27*(SUM(F5:F6)))</f>
        <v>2456538.6616990077</v>
      </c>
      <c r="G8" s="1">
        <f ca="1">IF(SUM(G5:G6)&gt;0,Assumptions!$C$26*SUM(G5:G6),Assumptions!$C$27*(SUM(G5:G6)))</f>
        <v>2801834.842025253</v>
      </c>
      <c r="H8" s="1">
        <f ca="1">IF(SUM(H5:H6)&gt;0,Assumptions!$C$26*SUM(H5:H6),Assumptions!$C$27*(SUM(H5:H6)))</f>
        <v>3101110.1265711673</v>
      </c>
      <c r="I8" s="1">
        <f ca="1">IF(SUM(I5:I6)&gt;0,Assumptions!$C$26*SUM(I5:I6),Assumptions!$C$27*(SUM(I5:I6)))</f>
        <v>3384603.649712787</v>
      </c>
      <c r="J8" s="1">
        <f ca="1">IF(SUM(J5:J6)&gt;0,Assumptions!$C$26*SUM(J5:J6),Assumptions!$C$27*(SUM(J5:J6)))</f>
        <v>3644502.4041471998</v>
      </c>
      <c r="K8" s="1">
        <f ca="1">IF(SUM(K5:K6)&gt;0,Assumptions!$C$26*SUM(K5:K6),Assumptions!$C$27*(SUM(K5:K6)))</f>
        <v>3886155.0511578145</v>
      </c>
      <c r="L8" s="1">
        <f ca="1">IF(SUM(L5:L6)&gt;0,Assumptions!$C$26*SUM(L5:L6),Assumptions!$C$27*(SUM(L5:L6)))</f>
        <v>4133556.2097636373</v>
      </c>
      <c r="M8" s="1">
        <f ca="1">IF(SUM(M5:M6)&gt;0,Assumptions!$C$26*SUM(M5:M6),Assumptions!$C$27*(SUM(M5:M6)))</f>
        <v>4392680.3621755373</v>
      </c>
      <c r="N8" s="1">
        <f ca="1">IF(SUM(N5:N6)&gt;0,Assumptions!$C$26*SUM(N5:N6),Assumptions!$C$27*(SUM(N5:N6)))</f>
        <v>4662174.4704936408</v>
      </c>
      <c r="O8" s="1">
        <f ca="1">IF(SUM(O5:O6)&gt;0,Assumptions!$C$26*SUM(O5:O6),Assumptions!$C$27*(SUM(O5:O6)))</f>
        <v>4940428.4758966612</v>
      </c>
      <c r="P8" s="1">
        <f ca="1">IF(SUM(P5:P6)&gt;0,Assumptions!$C$26*SUM(P5:P6),Assumptions!$C$27*(SUM(P5:P6)))</f>
        <v>5225549.2873881375</v>
      </c>
      <c r="Q8" s="1">
        <f ca="1">IF(SUM(Q5:Q6)&gt;0,Assumptions!$C$26*SUM(Q5:Q6),Assumptions!$C$27*(SUM(Q5:Q6)))</f>
        <v>5515332.6607301822</v>
      </c>
      <c r="R8" s="1">
        <f ca="1">IF(SUM(R5:R6)&gt;0,Assumptions!$C$26*SUM(R5:R6),Assumptions!$C$27*(SUM(R5:R6)))</f>
        <v>5807232.8145938842</v>
      </c>
      <c r="S8" s="1">
        <f ca="1">IF(SUM(S5:S6)&gt;0,Assumptions!$C$26*SUM(S5:S6),Assumptions!$C$27*(SUM(S5:S6)))</f>
        <v>6098329.6205585059</v>
      </c>
      <c r="T8" s="1">
        <f ca="1">IF(SUM(T5:T6)&gt;0,Assumptions!$C$26*SUM(T5:T6),Assumptions!$C$27*(SUM(T5:T6)))</f>
        <v>6385293.1925152615</v>
      </c>
      <c r="U8" s="1">
        <f ca="1">IF(SUM(U5:U6)&gt;0,Assumptions!$C$26*SUM(U5:U6),Assumptions!$C$27*(SUM(U5:U6)))</f>
        <v>6664345.6892326344</v>
      </c>
      <c r="V8" s="1">
        <f ca="1">IF(SUM(V5:V6)&gt;0,Assumptions!$C$26*SUM(V5:V6),Assumptions!$C$27*(SUM(V5:V6)))</f>
        <v>6945379.1633106042</v>
      </c>
      <c r="W8" s="1">
        <f ca="1">IF(SUM(W5:W6)&gt;0,Assumptions!$C$26*SUM(W5:W6),Assumptions!$C$27*(SUM(W5:W6)))</f>
        <v>7225760.2602064963</v>
      </c>
      <c r="X8" s="1">
        <f ca="1">IF(SUM(X5:X6)&gt;0,Assumptions!$C$26*SUM(X5:X6),Assumptions!$C$27*(SUM(X5:X6)))</f>
        <v>7502497.8340523383</v>
      </c>
      <c r="Y8" s="1">
        <f ca="1">IF(SUM(Y5:Y6)&gt;0,Assumptions!$C$26*SUM(Y5:Y6),Assumptions!$C$27*(SUM(Y5:Y6)))</f>
        <v>7805544.1162491962</v>
      </c>
      <c r="Z8" s="1">
        <f ca="1">IF(SUM(Z5:Z6)&gt;0,Assumptions!$C$26*SUM(Z5:Z6),Assumptions!$C$27*(SUM(Z5:Z6)))</f>
        <v>8135688.0639017625</v>
      </c>
      <c r="AA8" s="1">
        <f ca="1">IF(SUM(AA5:AA6)&gt;0,Assumptions!$C$26*SUM(AA5:AA6),Assumptions!$C$27*(SUM(AA5:AA6)))</f>
        <v>8522842.4464632981</v>
      </c>
      <c r="AB8" s="1">
        <f ca="1">IF(SUM(AB5:AB6)&gt;0,Assumptions!$C$26*SUM(AB5:AB6),Assumptions!$C$27*(SUM(AB5:AB6)))</f>
        <v>8971203.7518966738</v>
      </c>
      <c r="AC8" s="1">
        <f ca="1">IF(SUM(AC5:AC6)&gt;0,Assumptions!$C$26*SUM(AC5:AC6),Assumptions!$C$27*(SUM(AC5:AC6)))</f>
        <v>9485197.1635986827</v>
      </c>
      <c r="AD8" s="1">
        <f ca="1">IF(SUM(AD5:AD6)&gt;0,Assumptions!$C$26*SUM(AD5:AD6),Assumptions!$C$27*(SUM(AD5:AD6)))</f>
        <v>10069487.288164742</v>
      </c>
      <c r="AE8" s="1">
        <f ca="1">IF(SUM(AE5:AE6)&gt;0,Assumptions!$C$26*SUM(AE5:AE6),Assumptions!$C$27*(SUM(AE5:AE6)))</f>
        <v>10728989.342898386</v>
      </c>
      <c r="AF8" s="1">
        <f ca="1">IF(SUM(AF5:AF6)&gt;0,Assumptions!$C$26*SUM(AF5:AF6),Assumptions!$C$27*(SUM(AF5:AF6)))</f>
        <v>11468880.821576905</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4"/>
  <sheetViews>
    <sheetView zoomScale="50" zoomScaleNormal="50" workbookViewId="0">
      <selection sqref="A1:XFD1048576"/>
    </sheetView>
  </sheetViews>
  <sheetFormatPr defaultRowHeight="15.5" x14ac:dyDescent="0.35"/>
  <cols>
    <col min="1" max="1" width="107.9140625" style="63" customWidth="1"/>
    <col min="2" max="2" width="18.1640625" style="63" bestFit="1" customWidth="1"/>
    <col min="3" max="3" width="36.7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181"/>
    </row>
    <row r="7" spans="1:3" ht="18.5" x14ac:dyDescent="0.45">
      <c r="A7" s="90" t="s">
        <v>96</v>
      </c>
      <c r="B7" s="182">
        <f>Assumptions!C24</f>
        <v>5921000</v>
      </c>
      <c r="C7" s="180" t="s">
        <v>198</v>
      </c>
    </row>
    <row r="8" spans="1:3" ht="34" x14ac:dyDescent="0.45">
      <c r="A8" s="90" t="s">
        <v>173</v>
      </c>
      <c r="B8" s="183">
        <f>Assumptions!$C$133</f>
        <v>0.7</v>
      </c>
      <c r="C8" s="180" t="s">
        <v>199</v>
      </c>
    </row>
    <row r="9" spans="1:3" ht="18.5" x14ac:dyDescent="0.45">
      <c r="A9" s="90"/>
      <c r="B9" s="184"/>
      <c r="C9" s="180"/>
    </row>
    <row r="10" spans="1:3" ht="102" x14ac:dyDescent="0.45">
      <c r="A10" s="94" t="s">
        <v>102</v>
      </c>
      <c r="B10" s="185">
        <f>Assumptions!C135</f>
        <v>2907.4074074074074</v>
      </c>
      <c r="C10" s="180" t="s">
        <v>200</v>
      </c>
    </row>
    <row r="11" spans="1:3" ht="18.5" x14ac:dyDescent="0.45">
      <c r="A11" s="94"/>
      <c r="B11" s="186"/>
      <c r="C11" s="180"/>
    </row>
    <row r="12" spans="1:3" ht="18.5" x14ac:dyDescent="0.45">
      <c r="A12" s="94" t="s">
        <v>183</v>
      </c>
      <c r="B12" s="182">
        <f>(B7*B8)/B10</f>
        <v>1425.5656050955413</v>
      </c>
      <c r="C12" s="180"/>
    </row>
    <row r="13" spans="1:3" ht="18.5" x14ac:dyDescent="0.45">
      <c r="A13" s="96"/>
      <c r="B13" s="187"/>
      <c r="C13" s="180"/>
    </row>
    <row r="14" spans="1:3" ht="18.5" x14ac:dyDescent="0.45">
      <c r="A14" s="94" t="s">
        <v>103</v>
      </c>
      <c r="B14" s="188">
        <v>1</v>
      </c>
      <c r="C14" s="180"/>
    </row>
    <row r="15" spans="1:3" ht="18.5" x14ac:dyDescent="0.45">
      <c r="A15" s="96"/>
      <c r="B15" s="189"/>
      <c r="C15" s="180"/>
    </row>
    <row r="16" spans="1:3" ht="18.5" x14ac:dyDescent="0.45">
      <c r="A16" s="96" t="s">
        <v>178</v>
      </c>
      <c r="B16" s="190">
        <f>B12/B14</f>
        <v>1425.5656050955413</v>
      </c>
      <c r="C16" s="180"/>
    </row>
    <row r="17" spans="1:3" ht="18.5" x14ac:dyDescent="0.45">
      <c r="A17" s="94"/>
      <c r="B17" s="191"/>
      <c r="C17" s="180"/>
    </row>
    <row r="18" spans="1:3" ht="18.5" x14ac:dyDescent="0.45">
      <c r="A18" s="102" t="s">
        <v>177</v>
      </c>
      <c r="B18" s="191"/>
      <c r="C18" s="180"/>
    </row>
    <row r="19" spans="1:3" ht="18.5" x14ac:dyDescent="0.45">
      <c r="A19" s="94"/>
      <c r="B19" s="191"/>
      <c r="C19" s="180"/>
    </row>
    <row r="20" spans="1:3" ht="51" x14ac:dyDescent="0.45">
      <c r="A20" s="94" t="s">
        <v>65</v>
      </c>
      <c r="B20" s="182">
        <f>'Profit and Loss'!L5</f>
        <v>45160974.883321963</v>
      </c>
      <c r="C20" s="180" t="s">
        <v>201</v>
      </c>
    </row>
    <row r="21" spans="1:3" ht="34" x14ac:dyDescent="0.45">
      <c r="A21" s="94" t="str">
        <f>A8</f>
        <v>Assumed revenue from households</v>
      </c>
      <c r="B21" s="183">
        <f>B8</f>
        <v>0.7</v>
      </c>
      <c r="C21" s="180" t="s">
        <v>199</v>
      </c>
    </row>
    <row r="22" spans="1:3" ht="18.5" x14ac:dyDescent="0.45">
      <c r="A22" s="94"/>
      <c r="B22" s="186"/>
      <c r="C22" s="180"/>
    </row>
    <row r="23" spans="1:3" ht="34" x14ac:dyDescent="0.45">
      <c r="A23" s="94" t="s">
        <v>101</v>
      </c>
      <c r="B23" s="185">
        <f>Assumptions!M135</f>
        <v>3382.351975016496</v>
      </c>
      <c r="C23" s="180" t="s">
        <v>202</v>
      </c>
    </row>
    <row r="24" spans="1:3" ht="18.5" x14ac:dyDescent="0.45">
      <c r="A24" s="94"/>
      <c r="B24" s="186"/>
      <c r="C24" s="180"/>
    </row>
    <row r="25" spans="1:3" ht="18.5" x14ac:dyDescent="0.45">
      <c r="A25" s="94" t="s">
        <v>182</v>
      </c>
      <c r="B25" s="182">
        <f>(B20*B21)/B23</f>
        <v>9346.3609499632857</v>
      </c>
      <c r="C25" s="180"/>
    </row>
    <row r="26" spans="1:3" ht="18.5" x14ac:dyDescent="0.45">
      <c r="A26" s="94"/>
      <c r="B26" s="182"/>
      <c r="C26" s="180"/>
    </row>
    <row r="27" spans="1:3" ht="51" x14ac:dyDescent="0.45">
      <c r="A27" s="94" t="s">
        <v>103</v>
      </c>
      <c r="B27" s="188">
        <f>1.022^11</f>
        <v>1.2704566586717592</v>
      </c>
      <c r="C27" s="180" t="s">
        <v>203</v>
      </c>
    </row>
    <row r="28" spans="1:3" ht="18.5" x14ac:dyDescent="0.45">
      <c r="A28" s="96"/>
      <c r="B28" s="187"/>
      <c r="C28" s="180"/>
    </row>
    <row r="29" spans="1:3" ht="18.5" x14ac:dyDescent="0.45">
      <c r="A29" s="96" t="s">
        <v>179</v>
      </c>
      <c r="B29" s="182">
        <f>B25/B27</f>
        <v>7356.6940565565983</v>
      </c>
      <c r="C29" s="180"/>
    </row>
    <row r="30" spans="1:3" ht="18.5" x14ac:dyDescent="0.45">
      <c r="A30" s="96"/>
      <c r="B30" s="187"/>
      <c r="C30" s="180"/>
    </row>
    <row r="31" spans="1:3" ht="18.5" x14ac:dyDescent="0.45">
      <c r="A31" s="102" t="s">
        <v>185</v>
      </c>
      <c r="B31" s="192"/>
      <c r="C31" s="180"/>
    </row>
    <row r="32" spans="1:3" ht="18.5" x14ac:dyDescent="0.45">
      <c r="A32" s="94"/>
      <c r="B32" s="182"/>
      <c r="C32" s="180"/>
    </row>
    <row r="33" spans="1:3" ht="51" x14ac:dyDescent="0.45">
      <c r="A33" s="94" t="s">
        <v>66</v>
      </c>
      <c r="B33" s="182">
        <f>'Profit and Loss'!AF5</f>
        <v>123513826.88470954</v>
      </c>
      <c r="C33" s="180" t="s">
        <v>201</v>
      </c>
    </row>
    <row r="34" spans="1:3" ht="34" x14ac:dyDescent="0.45">
      <c r="A34" s="94" t="str">
        <f>A21</f>
        <v>Assumed revenue from households</v>
      </c>
      <c r="B34" s="183">
        <f>B21</f>
        <v>0.7</v>
      </c>
      <c r="C34" s="180" t="s">
        <v>199</v>
      </c>
    </row>
    <row r="35" spans="1:3" ht="18.5" x14ac:dyDescent="0.45">
      <c r="A35" s="94"/>
      <c r="B35" s="186"/>
      <c r="C35" s="180"/>
    </row>
    <row r="36" spans="1:3" ht="34" x14ac:dyDescent="0.45">
      <c r="A36" s="94" t="s">
        <v>100</v>
      </c>
      <c r="B36" s="185">
        <f>Assumptions!AG135</f>
        <v>4577.6713809843804</v>
      </c>
      <c r="C36" s="180" t="s">
        <v>202</v>
      </c>
    </row>
    <row r="37" spans="1:3" ht="18.5" x14ac:dyDescent="0.45">
      <c r="A37" s="94"/>
      <c r="B37" s="186"/>
      <c r="C37" s="180"/>
    </row>
    <row r="38" spans="1:3" ht="18.5" x14ac:dyDescent="0.45">
      <c r="A38" s="94" t="s">
        <v>181</v>
      </c>
      <c r="B38" s="182">
        <f>(B33*B34)/B36</f>
        <v>18887.26202113364</v>
      </c>
      <c r="C38" s="180"/>
    </row>
    <row r="39" spans="1:3" ht="18.5" x14ac:dyDescent="0.45">
      <c r="A39" s="94"/>
      <c r="B39" s="186"/>
      <c r="C39" s="180"/>
    </row>
    <row r="40" spans="1:3" ht="51" x14ac:dyDescent="0.45">
      <c r="A40" s="94" t="s">
        <v>103</v>
      </c>
      <c r="B40" s="188">
        <f>1.022^31</f>
        <v>1.9632597808456462</v>
      </c>
      <c r="C40" s="180" t="s">
        <v>203</v>
      </c>
    </row>
    <row r="41" spans="1:3" ht="18.5" x14ac:dyDescent="0.45">
      <c r="A41" s="96"/>
      <c r="B41" s="187"/>
    </row>
    <row r="42" spans="1:3" ht="18.5" x14ac:dyDescent="0.45">
      <c r="A42" s="96" t="s">
        <v>180</v>
      </c>
      <c r="B42" s="182">
        <f>B38/B40</f>
        <v>9620.3580419694736</v>
      </c>
    </row>
    <row r="43" spans="1:3" x14ac:dyDescent="0.35">
      <c r="B43" s="193"/>
    </row>
    <row r="44" spans="1:3" x14ac:dyDescent="0.35">
      <c r="B44" s="19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50" zoomScaleNormal="5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4" t="s">
        <v>27</v>
      </c>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204</v>
      </c>
      <c r="C13" s="127">
        <v>1.5246008397444832E-2</v>
      </c>
      <c r="D13" s="128">
        <f t="shared" ref="D13:AG13" si="3">(1+$C$13)^D8</f>
        <v>1.0152460083974448</v>
      </c>
      <c r="E13" s="128">
        <f t="shared" si="3"/>
        <v>1.0307244575669445</v>
      </c>
      <c r="F13" s="128">
        <f t="shared" si="3"/>
        <v>1.046438891302462</v>
      </c>
      <c r="G13" s="128">
        <f t="shared" si="3"/>
        <v>1.062392907426672</v>
      </c>
      <c r="H13" s="128">
        <f t="shared" si="3"/>
        <v>1.0785901586146849</v>
      </c>
      <c r="I13" s="128">
        <f t="shared" si="3"/>
        <v>1.0950343532303257</v>
      </c>
      <c r="J13" s="128">
        <f t="shared" si="3"/>
        <v>1.1117292561751659</v>
      </c>
      <c r="K13" s="128">
        <f t="shared" si="3"/>
        <v>1.1286786897504972</v>
      </c>
      <c r="L13" s="128">
        <f t="shared" si="3"/>
        <v>1.1458865345324503</v>
      </c>
      <c r="M13" s="128">
        <f t="shared" si="3"/>
        <v>1.1633567302604508</v>
      </c>
      <c r="N13" s="128">
        <f t="shared" si="3"/>
        <v>1.1810932767392259</v>
      </c>
      <c r="O13" s="128">
        <f t="shared" si="3"/>
        <v>1.1991002347545574</v>
      </c>
      <c r="P13" s="128">
        <f t="shared" si="3"/>
        <v>1.2173817270030036</v>
      </c>
      <c r="Q13" s="128">
        <f t="shared" si="3"/>
        <v>1.2359419390357873</v>
      </c>
      <c r="R13" s="128">
        <f t="shared" si="3"/>
        <v>1.2547851202170812</v>
      </c>
      <c r="S13" s="128">
        <f t="shared" si="3"/>
        <v>1.2739155846968993</v>
      </c>
      <c r="T13" s="128">
        <f t="shared" si="3"/>
        <v>1.2933377123988241</v>
      </c>
      <c r="U13" s="128">
        <f t="shared" si="3"/>
        <v>1.3130559500227885</v>
      </c>
      <c r="V13" s="128">
        <f t="shared" si="3"/>
        <v>1.3330748120631508</v>
      </c>
      <c r="W13" s="128">
        <f t="shared" si="3"/>
        <v>1.3533988818422877</v>
      </c>
      <c r="X13" s="128">
        <f t="shared" si="3"/>
        <v>1.3740328125599477</v>
      </c>
      <c r="Y13" s="128">
        <f t="shared" si="3"/>
        <v>1.3949813283586012</v>
      </c>
      <c r="Z13" s="128">
        <f t="shared" si="3"/>
        <v>1.4162492254050354</v>
      </c>
      <c r="AA13" s="128">
        <f t="shared" si="3"/>
        <v>1.4378413729884347</v>
      </c>
      <c r="AB13" s="128">
        <f t="shared" si="3"/>
        <v>1.4597627146352099</v>
      </c>
      <c r="AC13" s="128">
        <f t="shared" si="3"/>
        <v>1.482018269240815</v>
      </c>
      <c r="AD13" s="128">
        <f t="shared" si="3"/>
        <v>1.5046131322188276</v>
      </c>
      <c r="AE13" s="128">
        <f t="shared" si="3"/>
        <v>1.5275524766675412</v>
      </c>
      <c r="AF13" s="128">
        <f t="shared" si="3"/>
        <v>1.5508415545543524</v>
      </c>
      <c r="AG13" s="128">
        <f t="shared" si="3"/>
        <v>1.5744856979181945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178820000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89410000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7187000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5921000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4591000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154739999.99999997</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202900000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457031.38463555067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847546.54278645397</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652288.96371100238</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1245739.9841404327</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2173464.3798453696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1709602.181992901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2557148.7247793549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179" t="s">
        <v>175</v>
      </c>
      <c r="C77" s="87">
        <v>10892600.807999998</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1180980049.7749286</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1342881857.3237431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1191872650.5829287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1353774458.1317432</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133</v>
      </c>
      <c r="C85" s="150">
        <v>7900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134</v>
      </c>
      <c r="C86" s="150">
        <v>7800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7850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151830.91090228391</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172455.34498493545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549500000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549500000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549500000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549500000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18316666.666666668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2557148.7247793549</v>
      </c>
      <c r="E111" s="149">
        <f t="shared" si="9"/>
        <v>2557148.7247793549</v>
      </c>
      <c r="F111" s="149">
        <f t="shared" si="9"/>
        <v>2557148.7247793549</v>
      </c>
      <c r="G111" s="149">
        <f t="shared" si="9"/>
        <v>2557148.7247793549</v>
      </c>
      <c r="H111" s="149">
        <f t="shared" si="9"/>
        <v>2557148.7247793549</v>
      </c>
      <c r="I111" s="149">
        <f t="shared" si="9"/>
        <v>2557148.7247793549</v>
      </c>
      <c r="J111" s="149">
        <f t="shared" si="9"/>
        <v>2557148.7247793549</v>
      </c>
      <c r="K111" s="149">
        <f t="shared" si="9"/>
        <v>2557148.7247793549</v>
      </c>
      <c r="L111" s="149">
        <f t="shared" si="9"/>
        <v>2557148.7247793549</v>
      </c>
      <c r="M111" s="149">
        <f t="shared" si="9"/>
        <v>2557148.7247793549</v>
      </c>
      <c r="N111" s="149">
        <f t="shared" si="9"/>
        <v>2557148.7247793549</v>
      </c>
      <c r="O111" s="149">
        <f t="shared" si="9"/>
        <v>2557148.7247793549</v>
      </c>
      <c r="P111" s="149">
        <f t="shared" si="9"/>
        <v>2557148.7247793549</v>
      </c>
      <c r="Q111" s="149">
        <f t="shared" si="9"/>
        <v>2557148.7247793549</v>
      </c>
      <c r="R111" s="149">
        <f t="shared" si="9"/>
        <v>2557148.7247793549</v>
      </c>
      <c r="S111" s="149">
        <f t="shared" si="9"/>
        <v>2557148.7247793549</v>
      </c>
      <c r="T111" s="149">
        <f t="shared" si="9"/>
        <v>2557148.7247793549</v>
      </c>
      <c r="U111" s="149">
        <f t="shared" si="9"/>
        <v>2557148.7247793549</v>
      </c>
      <c r="V111" s="149">
        <f t="shared" si="9"/>
        <v>2557148.7247793549</v>
      </c>
      <c r="W111" s="149">
        <f t="shared" si="9"/>
        <v>2557148.7247793549</v>
      </c>
      <c r="X111" s="149">
        <f t="shared" si="9"/>
        <v>2557148.7247793549</v>
      </c>
      <c r="Y111" s="149">
        <f t="shared" si="9"/>
        <v>2557148.7247793549</v>
      </c>
      <c r="Z111" s="149">
        <f t="shared" si="9"/>
        <v>2557148.7247793549</v>
      </c>
      <c r="AA111" s="149">
        <f t="shared" si="9"/>
        <v>2557148.7247793549</v>
      </c>
      <c r="AB111" s="149">
        <f t="shared" si="9"/>
        <v>2557148.7247793549</v>
      </c>
      <c r="AC111" s="149">
        <f t="shared" si="9"/>
        <v>2557148.7247793549</v>
      </c>
      <c r="AD111" s="149">
        <f t="shared" si="9"/>
        <v>2557148.7247793549</v>
      </c>
      <c r="AE111" s="149">
        <f t="shared" si="9"/>
        <v>2557148.7247793549</v>
      </c>
      <c r="AF111" s="149">
        <f t="shared" si="9"/>
        <v>2557148.7247793549</v>
      </c>
      <c r="AG111" s="149">
        <f t="shared" si="9"/>
        <v>2557148.7247793549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549500000.00000024</v>
      </c>
      <c r="D113" s="149">
        <f t="shared" ref="D113:AG113" si="10">$C$102</f>
        <v>18316666.666666668</v>
      </c>
      <c r="E113" s="149">
        <f t="shared" si="10"/>
        <v>18316666.666666668</v>
      </c>
      <c r="F113" s="149">
        <f t="shared" si="10"/>
        <v>18316666.666666668</v>
      </c>
      <c r="G113" s="149">
        <f t="shared" si="10"/>
        <v>18316666.666666668</v>
      </c>
      <c r="H113" s="149">
        <f t="shared" si="10"/>
        <v>18316666.666666668</v>
      </c>
      <c r="I113" s="149">
        <f t="shared" si="10"/>
        <v>18316666.666666668</v>
      </c>
      <c r="J113" s="149">
        <f t="shared" si="10"/>
        <v>18316666.666666668</v>
      </c>
      <c r="K113" s="149">
        <f t="shared" si="10"/>
        <v>18316666.666666668</v>
      </c>
      <c r="L113" s="149">
        <f t="shared" si="10"/>
        <v>18316666.666666668</v>
      </c>
      <c r="M113" s="149">
        <f t="shared" si="10"/>
        <v>18316666.666666668</v>
      </c>
      <c r="N113" s="149">
        <f t="shared" si="10"/>
        <v>18316666.666666668</v>
      </c>
      <c r="O113" s="149">
        <f t="shared" si="10"/>
        <v>18316666.666666668</v>
      </c>
      <c r="P113" s="149">
        <f t="shared" si="10"/>
        <v>18316666.666666668</v>
      </c>
      <c r="Q113" s="149">
        <f t="shared" si="10"/>
        <v>18316666.666666668</v>
      </c>
      <c r="R113" s="149">
        <f t="shared" si="10"/>
        <v>18316666.666666668</v>
      </c>
      <c r="S113" s="149">
        <f t="shared" si="10"/>
        <v>18316666.666666668</v>
      </c>
      <c r="T113" s="149">
        <f t="shared" si="10"/>
        <v>18316666.666666668</v>
      </c>
      <c r="U113" s="149">
        <f t="shared" si="10"/>
        <v>18316666.666666668</v>
      </c>
      <c r="V113" s="149">
        <f t="shared" si="10"/>
        <v>18316666.666666668</v>
      </c>
      <c r="W113" s="149">
        <f t="shared" si="10"/>
        <v>18316666.666666668</v>
      </c>
      <c r="X113" s="149">
        <f t="shared" si="10"/>
        <v>18316666.666666668</v>
      </c>
      <c r="Y113" s="149">
        <f t="shared" si="10"/>
        <v>18316666.666666668</v>
      </c>
      <c r="Z113" s="149">
        <f t="shared" si="10"/>
        <v>18316666.666666668</v>
      </c>
      <c r="AA113" s="149">
        <f t="shared" si="10"/>
        <v>18316666.666666668</v>
      </c>
      <c r="AB113" s="149">
        <f t="shared" si="10"/>
        <v>18316666.666666668</v>
      </c>
      <c r="AC113" s="149">
        <f t="shared" si="10"/>
        <v>18316666.666666668</v>
      </c>
      <c r="AD113" s="149">
        <f t="shared" si="10"/>
        <v>18316666.666666668</v>
      </c>
      <c r="AE113" s="149">
        <f t="shared" si="10"/>
        <v>18316666.666666668</v>
      </c>
      <c r="AF113" s="149">
        <f t="shared" si="10"/>
        <v>18316666.666666668</v>
      </c>
      <c r="AG113" s="149">
        <f t="shared" si="10"/>
        <v>18316666.666666668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18316666.666666668</v>
      </c>
      <c r="E118" s="149">
        <f t="shared" ref="E118:AG118" si="13">E113+E115+E116</f>
        <v>18316666.666666668</v>
      </c>
      <c r="F118" s="149">
        <f>F113+F115+F116</f>
        <v>18316666.666666668</v>
      </c>
      <c r="G118" s="149">
        <f t="shared" si="13"/>
        <v>18316666.666666668</v>
      </c>
      <c r="H118" s="149">
        <f t="shared" si="13"/>
        <v>18316666.666666668</v>
      </c>
      <c r="I118" s="149">
        <f t="shared" si="13"/>
        <v>18316666.666666668</v>
      </c>
      <c r="J118" s="149">
        <f t="shared" si="13"/>
        <v>18316666.666666668</v>
      </c>
      <c r="K118" s="149">
        <f t="shared" si="13"/>
        <v>18316666.666666668</v>
      </c>
      <c r="L118" s="149">
        <f t="shared" si="13"/>
        <v>18316666.666666668</v>
      </c>
      <c r="M118" s="149">
        <f t="shared" si="13"/>
        <v>18316666.666666668</v>
      </c>
      <c r="N118" s="149">
        <f t="shared" si="13"/>
        <v>18316666.666666668</v>
      </c>
      <c r="O118" s="149">
        <f t="shared" si="13"/>
        <v>18316666.666666668</v>
      </c>
      <c r="P118" s="149">
        <f t="shared" si="13"/>
        <v>18316666.666666668</v>
      </c>
      <c r="Q118" s="149">
        <f t="shared" si="13"/>
        <v>18316666.666666668</v>
      </c>
      <c r="R118" s="149">
        <f t="shared" si="13"/>
        <v>18316666.666666668</v>
      </c>
      <c r="S118" s="149">
        <f t="shared" si="13"/>
        <v>18316666.666666668</v>
      </c>
      <c r="T118" s="149">
        <f t="shared" si="13"/>
        <v>18316666.666666668</v>
      </c>
      <c r="U118" s="149">
        <f t="shared" si="13"/>
        <v>18316666.666666668</v>
      </c>
      <c r="V118" s="149">
        <f t="shared" si="13"/>
        <v>18316666.666666668</v>
      </c>
      <c r="W118" s="149">
        <f t="shared" si="13"/>
        <v>18316666.666666668</v>
      </c>
      <c r="X118" s="149">
        <f t="shared" si="13"/>
        <v>18316666.666666668</v>
      </c>
      <c r="Y118" s="149">
        <f t="shared" si="13"/>
        <v>18316666.666666668</v>
      </c>
      <c r="Z118" s="149">
        <f t="shared" si="13"/>
        <v>18316666.666666668</v>
      </c>
      <c r="AA118" s="149">
        <f t="shared" si="13"/>
        <v>18316666.666666668</v>
      </c>
      <c r="AB118" s="149">
        <f t="shared" si="13"/>
        <v>18316666.666666668</v>
      </c>
      <c r="AC118" s="149">
        <f t="shared" si="13"/>
        <v>18316666.666666668</v>
      </c>
      <c r="AD118" s="149">
        <f t="shared" si="13"/>
        <v>18316666.666666668</v>
      </c>
      <c r="AE118" s="149">
        <f t="shared" si="13"/>
        <v>18316666.666666668</v>
      </c>
      <c r="AF118" s="149">
        <f t="shared" si="13"/>
        <v>18316666.666666668</v>
      </c>
      <c r="AG118" s="149">
        <f t="shared" si="13"/>
        <v>18316666.666666668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439600</v>
      </c>
      <c r="E120" s="149">
        <f>(SUM($D$118:E118)*$C$104/$C$106)+(SUM($D$118:E118)*$C$105/$C$107)</f>
        <v>879200</v>
      </c>
      <c r="F120" s="149">
        <f>(SUM($D$118:F118)*$C$104/$C$106)+(SUM($D$118:F118)*$C$105/$C$107)</f>
        <v>1318800</v>
      </c>
      <c r="G120" s="149">
        <f>(SUM($D$118:G118)*$C$104/$C$106)+(SUM($D$118:G118)*$C$105/$C$107)</f>
        <v>1758400</v>
      </c>
      <c r="H120" s="149">
        <f>(SUM($D$118:H118)*$C$104/$C$106)+(SUM($D$118:H118)*$C$105/$C$107)</f>
        <v>2198000.0000000005</v>
      </c>
      <c r="I120" s="149">
        <f>(SUM($D$118:I118)*$C$104/$C$106)+(SUM($D$118:I118)*$C$105/$C$107)</f>
        <v>2637600.0000000005</v>
      </c>
      <c r="J120" s="149">
        <f>(SUM($D$118:J118)*$C$104/$C$106)+(SUM($D$118:J118)*$C$105/$C$107)</f>
        <v>3077200.0000000009</v>
      </c>
      <c r="K120" s="149">
        <f>(SUM($D$118:K118)*$C$104/$C$106)+(SUM($D$118:K118)*$C$105/$C$107)</f>
        <v>3516800</v>
      </c>
      <c r="L120" s="149">
        <f>(SUM($D$118:L118)*$C$104/$C$106)+(SUM($D$118:L118)*$C$105/$C$107)</f>
        <v>3956400</v>
      </c>
      <c r="M120" s="149">
        <f>(SUM($D$118:M118)*$C$104/$C$106)+(SUM($D$118:M118)*$C$105/$C$107)</f>
        <v>4396000</v>
      </c>
      <c r="N120" s="149">
        <f>(SUM($D$118:N118)*$C$104/$C$106)+(SUM($D$118:N118)*$C$105/$C$107)</f>
        <v>4835599.9999999991</v>
      </c>
      <c r="O120" s="149">
        <f>(SUM($D$118:O118)*$C$104/$C$106)+(SUM($D$118:O118)*$C$105/$C$107)</f>
        <v>5275199.9999999991</v>
      </c>
      <c r="P120" s="149">
        <f>(SUM($D$118:P118)*$C$104/$C$106)+(SUM($D$118:P118)*$C$105/$C$107)</f>
        <v>5714799.9999999981</v>
      </c>
      <c r="Q120" s="149">
        <f>(SUM($D$118:Q118)*$C$104/$C$106)+(SUM($D$118:Q118)*$C$105/$C$107)</f>
        <v>6154399.9999999991</v>
      </c>
      <c r="R120" s="149">
        <f>(SUM($D$118:R118)*$C$104/$C$106)+(SUM($D$118:R118)*$C$105/$C$107)</f>
        <v>6593999.9999999991</v>
      </c>
      <c r="S120" s="149">
        <f>(SUM($D$118:S118)*$C$104/$C$106)+(SUM($D$118:S118)*$C$105/$C$107)</f>
        <v>7033599.9999999981</v>
      </c>
      <c r="T120" s="149">
        <f>(SUM($D$118:T118)*$C$104/$C$106)+(SUM($D$118:T118)*$C$105/$C$107)</f>
        <v>7473199.9999999991</v>
      </c>
      <c r="U120" s="149">
        <f>(SUM($D$118:U118)*$C$104/$C$106)+(SUM($D$118:U118)*$C$105/$C$107)</f>
        <v>7912800</v>
      </c>
      <c r="V120" s="149">
        <f>(SUM($D$118:V118)*$C$104/$C$106)+(SUM($D$118:V118)*$C$105/$C$107)</f>
        <v>8352400</v>
      </c>
      <c r="W120" s="149">
        <f>(SUM($D$118:W118)*$C$104/$C$106)+(SUM($D$118:W118)*$C$105/$C$107)</f>
        <v>8792000.0000000019</v>
      </c>
      <c r="X120" s="149">
        <f>(SUM($D$118:X118)*$C$104/$C$106)+(SUM($D$118:X118)*$C$105/$C$107)</f>
        <v>9231600.0000000019</v>
      </c>
      <c r="Y120" s="149">
        <f>(SUM($D$118:Y118)*$C$104/$C$106)+(SUM($D$118:Y118)*$C$105/$C$107)</f>
        <v>9671200.0000000019</v>
      </c>
      <c r="Z120" s="149">
        <f>(SUM($D$118:Z118)*$C$104/$C$106)+(SUM($D$118:Z118)*$C$105/$C$107)</f>
        <v>10110800.000000002</v>
      </c>
      <c r="AA120" s="149">
        <f>(SUM($D$118:AA118)*$C$104/$C$106)+(SUM($D$118:AA118)*$C$105/$C$107)</f>
        <v>10550400.000000002</v>
      </c>
      <c r="AB120" s="149">
        <f>(SUM($D$118:AB118)*$C$104/$C$106)+(SUM($D$118:AB118)*$C$105/$C$107)</f>
        <v>10990000.000000004</v>
      </c>
      <c r="AC120" s="149">
        <f>(SUM($D$118:AC118)*$C$104/$C$106)+(SUM($D$118:AC118)*$C$105/$C$107)</f>
        <v>11429600.000000002</v>
      </c>
      <c r="AD120" s="149">
        <f>(SUM($D$118:AD118)*$C$104/$C$106)+(SUM($D$118:AD118)*$C$105/$C$107)</f>
        <v>11869200.000000004</v>
      </c>
      <c r="AE120" s="149">
        <f>(SUM($D$118:AE118)*$C$104/$C$106)+(SUM($D$118:AE118)*$C$105/$C$107)</f>
        <v>12308800.000000006</v>
      </c>
      <c r="AF120" s="149">
        <f>(SUM($D$118:AF118)*$C$104/$C$106)+(SUM($D$118:AF118)*$C$105/$C$107)</f>
        <v>12748400.000000004</v>
      </c>
      <c r="AG120" s="149">
        <f>(SUM($D$118:AG118)*$C$104/$C$106)+(SUM($D$118:AG118)*$C$105/$C$107)</f>
        <v>13188000.000000006</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549500</v>
      </c>
      <c r="E122" s="72">
        <f>(SUM($D$118:E118)*$C$109)</f>
        <v>1099000</v>
      </c>
      <c r="F122" s="72">
        <f>(SUM($D$118:F118)*$C$109)</f>
        <v>1648500</v>
      </c>
      <c r="G122" s="72">
        <f>(SUM($D$118:G118)*$C$109)</f>
        <v>2198000</v>
      </c>
      <c r="H122" s="72">
        <f>(SUM($D$118:H118)*$C$109)</f>
        <v>2747500</v>
      </c>
      <c r="I122" s="72">
        <f>(SUM($D$118:I118)*$C$109)</f>
        <v>3297000.0000000005</v>
      </c>
      <c r="J122" s="72">
        <f>(SUM($D$118:J118)*$C$109)</f>
        <v>3846500.0000000005</v>
      </c>
      <c r="K122" s="72">
        <f>(SUM($D$118:K118)*$C$109)</f>
        <v>4396000</v>
      </c>
      <c r="L122" s="72">
        <f>(SUM($D$118:L118)*$C$109)</f>
        <v>4945500</v>
      </c>
      <c r="M122" s="72">
        <f>(SUM($D$118:M118)*$C$109)</f>
        <v>5494999.9999999991</v>
      </c>
      <c r="N122" s="72">
        <f>(SUM($D$118:N118)*$C$109)</f>
        <v>6044499.9999999991</v>
      </c>
      <c r="O122" s="72">
        <f>(SUM($D$118:O118)*$C$109)</f>
        <v>6593999.9999999991</v>
      </c>
      <c r="P122" s="72">
        <f>(SUM($D$118:P118)*$C$109)</f>
        <v>7143499.9999999981</v>
      </c>
      <c r="Q122" s="72">
        <f>(SUM($D$118:Q118)*$C$109)</f>
        <v>7692999.9999999981</v>
      </c>
      <c r="R122" s="72">
        <f>(SUM($D$118:R118)*$C$109)</f>
        <v>8242499.9999999981</v>
      </c>
      <c r="S122" s="72">
        <f>(SUM($D$118:S118)*$C$109)</f>
        <v>8791999.9999999981</v>
      </c>
      <c r="T122" s="72">
        <f>(SUM($D$118:T118)*$C$109)</f>
        <v>9341499.9999999981</v>
      </c>
      <c r="U122" s="72">
        <f>(SUM($D$118:U118)*$C$109)</f>
        <v>9891000</v>
      </c>
      <c r="V122" s="72">
        <f>(SUM($D$118:V118)*$C$109)</f>
        <v>10440500</v>
      </c>
      <c r="W122" s="72">
        <f>(SUM($D$118:W118)*$C$109)</f>
        <v>10990000</v>
      </c>
      <c r="X122" s="72">
        <f>(SUM($D$118:X118)*$C$109)</f>
        <v>11539500.000000002</v>
      </c>
      <c r="Y122" s="72">
        <f>(SUM($D$118:Y118)*$C$109)</f>
        <v>12089000.000000002</v>
      </c>
      <c r="Z122" s="72">
        <f>(SUM($D$118:Z118)*$C$109)</f>
        <v>12638500.000000002</v>
      </c>
      <c r="AA122" s="72">
        <f>(SUM($D$118:AA118)*$C$109)</f>
        <v>13188000.000000004</v>
      </c>
      <c r="AB122" s="72">
        <f>(SUM($D$118:AB118)*$C$109)</f>
        <v>13737500.000000004</v>
      </c>
      <c r="AC122" s="72">
        <f>(SUM($D$118:AC118)*$C$109)</f>
        <v>14287000.000000004</v>
      </c>
      <c r="AD122" s="72">
        <f>(SUM($D$118:AD118)*$C$109)</f>
        <v>14836500.000000006</v>
      </c>
      <c r="AE122" s="72">
        <f>(SUM($D$118:AE118)*$C$109)</f>
        <v>15386000.000000006</v>
      </c>
      <c r="AF122" s="72">
        <f>(SUM($D$118:AF118)*$C$109)</f>
        <v>15935500.000000006</v>
      </c>
      <c r="AG122" s="72">
        <f>(SUM($D$118:AG118)*$C$109)</f>
        <v>16485000.000000007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133</v>
      </c>
      <c r="C126" s="126">
        <v>7900</v>
      </c>
      <c r="D126" s="140"/>
    </row>
    <row r="127" spans="1:33" x14ac:dyDescent="0.35">
      <c r="A127" s="77" t="s">
        <v>150</v>
      </c>
      <c r="B127" s="77" t="s">
        <v>134</v>
      </c>
      <c r="C127" s="126">
        <v>7800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7850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2907.4074074074074</v>
      </c>
      <c r="D135" s="157">
        <f t="shared" ref="D135:AG135" si="14">$C$135*D13</f>
        <v>2951.733765155534</v>
      </c>
      <c r="E135" s="157">
        <f t="shared" si="14"/>
        <v>2996.7359229261165</v>
      </c>
      <c r="F135" s="157">
        <f t="shared" si="14"/>
        <v>3042.424183971973</v>
      </c>
      <c r="G135" s="157">
        <f t="shared" si="14"/>
        <v>3088.8090086293982</v>
      </c>
      <c r="H135" s="157">
        <f t="shared" si="14"/>
        <v>3135.9010167130655</v>
      </c>
      <c r="I135" s="157">
        <f t="shared" si="14"/>
        <v>3183.7109899474285</v>
      </c>
      <c r="J135" s="157">
        <f t="shared" si="14"/>
        <v>3232.2498744352047</v>
      </c>
      <c r="K135" s="157">
        <f t="shared" si="14"/>
        <v>3281.5287831634828</v>
      </c>
      <c r="L135" s="157">
        <f t="shared" si="14"/>
        <v>3331.5589985480497</v>
      </c>
      <c r="M135" s="157">
        <f t="shared" si="14"/>
        <v>3382.351975016496</v>
      </c>
      <c r="N135" s="157">
        <f t="shared" si="14"/>
        <v>3433.9193416307126</v>
      </c>
      <c r="O135" s="157">
        <f t="shared" si="14"/>
        <v>3486.2729047493613</v>
      </c>
      <c r="P135" s="157">
        <f t="shared" si="14"/>
        <v>3539.4246507309549</v>
      </c>
      <c r="Q135" s="157">
        <f t="shared" si="14"/>
        <v>3593.3867486781223</v>
      </c>
      <c r="R135" s="157">
        <f t="shared" si="14"/>
        <v>3648.1715532237363</v>
      </c>
      <c r="S135" s="157">
        <f t="shared" si="14"/>
        <v>3703.7916073595034</v>
      </c>
      <c r="T135" s="157">
        <f t="shared" si="14"/>
        <v>3760.2596453076922</v>
      </c>
      <c r="U135" s="157">
        <f t="shared" si="14"/>
        <v>3817.5885954366258</v>
      </c>
      <c r="V135" s="157">
        <f t="shared" si="14"/>
        <v>3875.7915832206422</v>
      </c>
      <c r="W135" s="157">
        <f t="shared" si="14"/>
        <v>3934.8819342451698</v>
      </c>
      <c r="X135" s="157">
        <f t="shared" si="14"/>
        <v>3994.8731772576257</v>
      </c>
      <c r="Y135" s="157">
        <f t="shared" si="14"/>
        <v>4055.7790472648221</v>
      </c>
      <c r="Z135" s="157">
        <f t="shared" si="14"/>
        <v>4117.6134886776026</v>
      </c>
      <c r="AA135" s="157">
        <f t="shared" si="14"/>
        <v>4180.3906585034119</v>
      </c>
      <c r="AB135" s="157">
        <f t="shared" si="14"/>
        <v>4244.124929587555</v>
      </c>
      <c r="AC135" s="157">
        <f t="shared" si="14"/>
        <v>4308.8308939038507</v>
      </c>
      <c r="AD135" s="157">
        <f t="shared" si="14"/>
        <v>4374.5233658954803</v>
      </c>
      <c r="AE135" s="157">
        <f t="shared" si="14"/>
        <v>4441.2173858667402</v>
      </c>
      <c r="AF135" s="157">
        <f t="shared" si="14"/>
        <v>4508.9282234265429</v>
      </c>
      <c r="AG135" s="157">
        <f t="shared" si="14"/>
        <v>4577.6713809843804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60" zoomScaleNormal="6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v>
      </c>
      <c r="F4" s="65">
        <v>0.4</v>
      </c>
      <c r="G4" s="65">
        <v>0.3</v>
      </c>
      <c r="H4" s="65">
        <v>0.3</v>
      </c>
      <c r="I4" s="65">
        <v>0.18</v>
      </c>
      <c r="J4" s="65">
        <v>0.12</v>
      </c>
      <c r="K4" s="65">
        <v>0.08</v>
      </c>
      <c r="L4" s="65">
        <v>0.08</v>
      </c>
      <c r="M4" s="65">
        <v>7.0000000000000007E-2</v>
      </c>
      <c r="N4" s="65">
        <v>0.05</v>
      </c>
      <c r="O4" s="65">
        <v>4.4999999999999998E-2</v>
      </c>
      <c r="P4" s="65">
        <v>4.4999999999999998E-2</v>
      </c>
      <c r="Q4" s="65">
        <v>4.4999999999999998E-2</v>
      </c>
      <c r="R4" s="65">
        <v>4.4999999999999998E-2</v>
      </c>
      <c r="S4" s="65">
        <v>4.4999999999999998E-2</v>
      </c>
      <c r="T4" s="65">
        <v>4.4999999999999998E-2</v>
      </c>
      <c r="U4" s="65">
        <v>4.4999999999999998E-2</v>
      </c>
      <c r="V4" s="65">
        <v>4.4999999999999998E-2</v>
      </c>
      <c r="W4" s="65">
        <v>4.4999999999999998E-2</v>
      </c>
      <c r="X4" s="65">
        <v>0.04</v>
      </c>
      <c r="Y4" s="65">
        <v>0.04</v>
      </c>
      <c r="Z4" s="65">
        <v>0.04</v>
      </c>
      <c r="AA4" s="65">
        <v>0.03</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2.4911308535534813</v>
      </c>
      <c r="C6" s="25"/>
      <c r="D6" s="25"/>
      <c r="E6" s="27">
        <f>'Debt worksheet'!C5/'Profit and Loss'!C5</f>
        <v>0.74724206243690683</v>
      </c>
      <c r="F6" s="28">
        <f ca="1">'Debt worksheet'!D5/'Profit and Loss'!D5</f>
        <v>1.8867041983477524</v>
      </c>
      <c r="G6" s="28">
        <f ca="1">'Debt worksheet'!E5/'Profit and Loss'!E5</f>
        <v>2.3766171592058565</v>
      </c>
      <c r="H6" s="28">
        <f ca="1">'Debt worksheet'!F5/'Profit and Loss'!F5</f>
        <v>2.4420735558501789</v>
      </c>
      <c r="I6" s="28">
        <f ca="1">'Debt worksheet'!G5/'Profit and Loss'!G5</f>
        <v>2.4602957395270897</v>
      </c>
      <c r="J6" s="28">
        <f ca="1">'Debt worksheet'!H5/'Profit and Loss'!H5</f>
        <v>2.4678396025197613</v>
      </c>
      <c r="K6" s="28">
        <f ca="1">'Debt worksheet'!I5/'Profit and Loss'!I5</f>
        <v>2.4911308535534813</v>
      </c>
      <c r="L6" s="28">
        <f ca="1">'Debt worksheet'!J5/'Profit and Loss'!J5</f>
        <v>2.4796599279610954</v>
      </c>
      <c r="M6" s="28">
        <f ca="1">'Debt worksheet'!K5/'Profit and Loss'!K5</f>
        <v>2.4579184979718702</v>
      </c>
      <c r="N6" s="28">
        <f ca="1">'Debt worksheet'!L5/'Profit and Loss'!L5</f>
        <v>2.4586050621917939</v>
      </c>
      <c r="O6" s="28">
        <f ca="1">'Debt worksheet'!M5/'Profit and Loss'!M5</f>
        <v>2.4649318350367126</v>
      </c>
      <c r="P6" s="28">
        <f ca="1">'Debt worksheet'!N5/'Profit and Loss'!N5</f>
        <v>2.4690113566762446</v>
      </c>
      <c r="Q6" s="28">
        <f ca="1">'Debt worksheet'!O5/'Profit and Loss'!O5</f>
        <v>2.4699856254125852</v>
      </c>
      <c r="R6" s="28">
        <f ca="1">'Debt worksheet'!P5/'Profit and Loss'!P5</f>
        <v>2.4670783325263956</v>
      </c>
      <c r="S6" s="28">
        <f ca="1">'Debt worksheet'!Q5/'Profit and Loss'!Q5</f>
        <v>2.459589837900098</v>
      </c>
      <c r="T6" s="28">
        <f ca="1">'Debt worksheet'!R5/'Profit and Loss'!R5</f>
        <v>2.4468924046510496</v>
      </c>
      <c r="U6" s="28">
        <f ca="1">'Debt worksheet'!S5/'Profit and Loss'!S5</f>
        <v>2.4284256806097679</v>
      </c>
      <c r="V6" s="28">
        <f ca="1">'Debt worksheet'!T5/'Profit and Loss'!T5</f>
        <v>2.4036924150189032</v>
      </c>
      <c r="W6" s="28">
        <f ca="1">'Debt worksheet'!U5/'Profit and Loss'!U5</f>
        <v>2.3722543993460339</v>
      </c>
      <c r="X6" s="28">
        <f ca="1">'Debt worksheet'!V5/'Profit and Loss'!V5</f>
        <v>2.3449484707407828</v>
      </c>
      <c r="Y6" s="28">
        <f ca="1">'Debt worksheet'!W5/'Profit and Loss'!W5</f>
        <v>2.3145529313605624</v>
      </c>
      <c r="Z6" s="28">
        <f ca="1">'Debt worksheet'!X5/'Profit and Loss'!X5</f>
        <v>2.2806050179716442</v>
      </c>
      <c r="AA6" s="28">
        <f ca="1">'Debt worksheet'!Y5/'Profit and Loss'!Y5</f>
        <v>2.2644560219891856</v>
      </c>
      <c r="AB6" s="28">
        <f ca="1">'Debt worksheet'!Z5/'Profit and Loss'!Z5</f>
        <v>2.252955840015114</v>
      </c>
      <c r="AC6" s="28">
        <f ca="1">'Debt worksheet'!AA5/'Profit and Loss'!AA5</f>
        <v>2.2631930394349973</v>
      </c>
      <c r="AD6" s="28">
        <f ca="1">'Debt worksheet'!AB5/'Profit and Loss'!AB5</f>
        <v>2.2850177803312501</v>
      </c>
      <c r="AE6" s="28">
        <f ca="1">'Debt worksheet'!AC5/'Profit and Loss'!AC5</f>
        <v>2.3181079562603752</v>
      </c>
      <c r="AF6" s="28">
        <f ca="1">'Debt worksheet'!AD5/'Profit and Loss'!AD5</f>
        <v>2.3621480472819543</v>
      </c>
      <c r="AG6" s="28">
        <f ca="1">'Debt worksheet'!AE5/'Profit and Loss'!AE5</f>
        <v>2.4168289930441942</v>
      </c>
      <c r="AH6" s="28">
        <f ca="1">'Debt worksheet'!AF5/'Profit and Loss'!AF5</f>
        <v>2.4818480682358985</v>
      </c>
      <c r="AI6" s="31"/>
    </row>
    <row r="7" spans="1:35" ht="21" x14ac:dyDescent="0.5">
      <c r="A7" s="19" t="s">
        <v>38</v>
      </c>
      <c r="B7" s="26">
        <f ca="1">MIN('Price and Financial ratios'!E7:AH7)</f>
        <v>0.21266720407051024</v>
      </c>
      <c r="C7" s="26"/>
      <c r="D7" s="26"/>
      <c r="E7" s="56">
        <f ca="1">'Cash Flow'!C7/'Debt worksheet'!C5</f>
        <v>0.47171003478822593</v>
      </c>
      <c r="F7" s="32">
        <f ca="1">'Cash Flow'!D7/'Debt worksheet'!D5</f>
        <v>0.2357016212492658</v>
      </c>
      <c r="G7" s="32">
        <f ca="1">'Cash Flow'!E7/'Debt worksheet'!E5</f>
        <v>0.21266720407051024</v>
      </c>
      <c r="H7" s="32">
        <f ca="1">'Cash Flow'!F7/'Debt worksheet'!F5</f>
        <v>0.23451107990525472</v>
      </c>
      <c r="I7" s="32">
        <f ca="1">'Cash Flow'!G7/'Debt worksheet'!G5</f>
        <v>0.24422873508386495</v>
      </c>
      <c r="J7" s="32">
        <f ca="1">'Cash Flow'!H7/'Debt worksheet'!H5</f>
        <v>0.24798503365203617</v>
      </c>
      <c r="K7" s="32">
        <f ca="1">'Cash Flow'!I7/'Debt worksheet'!I5</f>
        <v>0.24558535895913311</v>
      </c>
      <c r="L7" s="32">
        <f ca="1">'Cash Flow'!J7/'Debt worksheet'!J5</f>
        <v>0.24771584479628028</v>
      </c>
      <c r="M7" s="17">
        <f ca="1">'Cash Flow'!K7/'Debt worksheet'!K5</f>
        <v>0.25030606765708785</v>
      </c>
      <c r="N7" s="17">
        <f ca="1">'Cash Flow'!L7/'Debt worksheet'!L5</f>
        <v>0.2481886771349352</v>
      </c>
      <c r="O7" s="17">
        <f ca="1">'Cash Flow'!M7/'Debt worksheet'!M5</f>
        <v>0.24514355982959796</v>
      </c>
      <c r="P7" s="17">
        <f ca="1">'Cash Flow'!N7/'Debt worksheet'!N5</f>
        <v>0.24270287889473399</v>
      </c>
      <c r="Q7" s="17">
        <f ca="1">'Cash Flow'!O7/'Debt worksheet'!O5</f>
        <v>0.24093214802491053</v>
      </c>
      <c r="R7" s="17">
        <f ca="1">'Cash Flow'!P7/'Debt worksheet'!P5</f>
        <v>0.23989073278320455</v>
      </c>
      <c r="S7" s="17">
        <f ca="1">'Cash Flow'!Q7/'Debt worksheet'!Q5</f>
        <v>0.23963570082773333</v>
      </c>
      <c r="T7" s="17">
        <f ca="1">'Cash Flow'!R7/'Debt worksheet'!R5</f>
        <v>0.24022560203214488</v>
      </c>
      <c r="U7" s="17">
        <f ca="1">'Cash Flow'!S7/'Debt worksheet'!S5</f>
        <v>0.24172428068685492</v>
      </c>
      <c r="V7" s="17">
        <f ca="1">'Cash Flow'!T7/'Debt worksheet'!T5</f>
        <v>0.24420488586769404</v>
      </c>
      <c r="W7" s="17">
        <f ca="1">'Cash Flow'!U7/'Debt worksheet'!U5</f>
        <v>0.24775431308019688</v>
      </c>
      <c r="X7" s="17">
        <f ca="1">'Cash Flow'!V7/'Debt worksheet'!V5</f>
        <v>0.25035379931073792</v>
      </c>
      <c r="Y7" s="17">
        <f ca="1">'Cash Flow'!W7/'Debt worksheet'!W5</f>
        <v>0.25359198590877774</v>
      </c>
      <c r="Z7" s="17">
        <f ca="1">'Cash Flow'!X7/'Debt worksheet'!X5</f>
        <v>0.2575557553729001</v>
      </c>
      <c r="AA7" s="17">
        <f ca="1">'Cash Flow'!Y7/'Debt worksheet'!Y5</f>
        <v>0.25789908035737769</v>
      </c>
      <c r="AB7" s="17">
        <f ca="1">'Cash Flow'!Z7/'Debt worksheet'!Z5</f>
        <v>0.25778736308137373</v>
      </c>
      <c r="AC7" s="17">
        <f ca="1">'Cash Flow'!AA7/'Debt worksheet'!AA5</f>
        <v>0.25368843217943221</v>
      </c>
      <c r="AD7" s="17">
        <f ca="1">'Cash Flow'!AB7/'Debt worksheet'!AB5</f>
        <v>0.2482804913124978</v>
      </c>
      <c r="AE7" s="17">
        <f ca="1">'Cash Flow'!AC7/'Debt worksheet'!AC5</f>
        <v>0.24171775778214377</v>
      </c>
      <c r="AF7" s="17">
        <f ca="1">'Cash Flow'!AD7/'Debt worksheet'!AD5</f>
        <v>0.23417639589701411</v>
      </c>
      <c r="AG7" s="17">
        <f ca="1">'Cash Flow'!AE7/'Debt worksheet'!AE5</f>
        <v>0.22584363964933149</v>
      </c>
      <c r="AH7" s="17">
        <f ca="1">'Cash Flow'!AF7/'Debt worksheet'!AF5</f>
        <v>0.21690767870055511</v>
      </c>
      <c r="AI7" s="29"/>
    </row>
    <row r="8" spans="1:35" ht="21" x14ac:dyDescent="0.5">
      <c r="A8" s="19" t="s">
        <v>33</v>
      </c>
      <c r="B8" s="26">
        <f ca="1">MAX('Price and Financial ratios'!E8:AH8)</f>
        <v>0.48553017189768161</v>
      </c>
      <c r="C8" s="26"/>
      <c r="D8" s="176"/>
      <c r="E8" s="17">
        <f>'Balance Sheet'!B11/'Balance Sheet'!B8</f>
        <v>8.3262513936933527E-2</v>
      </c>
      <c r="F8" s="17">
        <f ca="1">'Balance Sheet'!C11/'Balance Sheet'!C8</f>
        <v>0.2997436565189186</v>
      </c>
      <c r="G8" s="17">
        <f ca="1">'Balance Sheet'!D11/'Balance Sheet'!D8</f>
        <v>0.40855993284751779</v>
      </c>
      <c r="H8" s="17">
        <f ca="1">'Balance Sheet'!E11/'Balance Sheet'!E8</f>
        <v>0.46727369157632981</v>
      </c>
      <c r="I8" s="17">
        <f ca="1">'Balance Sheet'!F11/'Balance Sheet'!F8</f>
        <v>0.48553017189768161</v>
      </c>
      <c r="J8" s="17">
        <f ca="1">'Balance Sheet'!G11/'Balance Sheet'!G8</f>
        <v>0.48431822726089369</v>
      </c>
      <c r="K8" s="17">
        <f ca="1">'Balance Sheet'!H11/'Balance Sheet'!H8</f>
        <v>0.47465850264817888</v>
      </c>
      <c r="L8" s="17">
        <f ca="1">'Balance Sheet'!I11/'Balance Sheet'!I8</f>
        <v>0.46333215524418281</v>
      </c>
      <c r="M8" s="17">
        <f ca="1">'Balance Sheet'!J11/'Balance Sheet'!J8</f>
        <v>0.44990836235055104</v>
      </c>
      <c r="N8" s="17">
        <f ca="1">'Balance Sheet'!K11/'Balance Sheet'!K8</f>
        <v>0.43561997218428011</v>
      </c>
      <c r="O8" s="17">
        <f ca="1">'Balance Sheet'!L11/'Balance Sheet'!L8</f>
        <v>0.42321716803482468</v>
      </c>
      <c r="P8" s="17">
        <f ca="1">'Balance Sheet'!M11/'Balance Sheet'!M8</f>
        <v>0.41287022923274774</v>
      </c>
      <c r="Q8" s="17">
        <f ca="1">'Balance Sheet'!N11/'Balance Sheet'!N8</f>
        <v>0.40403774665603137</v>
      </c>
      <c r="R8" s="17">
        <f ca="1">'Balance Sheet'!O11/'Balance Sheet'!O8</f>
        <v>0.39629356631628737</v>
      </c>
      <c r="S8" s="17">
        <f ca="1">'Balance Sheet'!P11/'Balance Sheet'!P8</f>
        <v>0.38929420750552096</v>
      </c>
      <c r="T8" s="17">
        <f ca="1">'Balance Sheet'!Q11/'Balance Sheet'!Q8</f>
        <v>0.38275656096055644</v>
      </c>
      <c r="U8" s="17">
        <f ca="1">'Balance Sheet'!R11/'Balance Sheet'!R8</f>
        <v>0.37644226570397171</v>
      </c>
      <c r="V8" s="17">
        <f ca="1">'Balance Sheet'!S11/'Balance Sheet'!S8</f>
        <v>0.3701465361698611</v>
      </c>
      <c r="W8" s="17">
        <f ca="1">'Balance Sheet'!T11/'Balance Sheet'!T8</f>
        <v>0.36369002210937923</v>
      </c>
      <c r="X8" s="17">
        <f ca="1">'Balance Sheet'!U11/'Balance Sheet'!U8</f>
        <v>0.35691277713687547</v>
      </c>
      <c r="Y8" s="17">
        <f ca="1">'Balance Sheet'!V11/'Balance Sheet'!V8</f>
        <v>0.35038402206223379</v>
      </c>
      <c r="Z8" s="17">
        <f ca="1">'Balance Sheet'!W11/'Balance Sheet'!W8</f>
        <v>0.34395227335740441</v>
      </c>
      <c r="AA8" s="17">
        <f ca="1">'Balance Sheet'!X11/'Balance Sheet'!X8</f>
        <v>0.33748161363194029</v>
      </c>
      <c r="AB8" s="17">
        <f ca="1">'Balance Sheet'!Y11/'Balance Sheet'!Y8</f>
        <v>0.33226745253895468</v>
      </c>
      <c r="AC8" s="17">
        <f ca="1">'Balance Sheet'!Z11/'Balance Sheet'!Z8</f>
        <v>0.32815822430423053</v>
      </c>
      <c r="AD8" s="17">
        <f ca="1">'Balance Sheet'!AA11/'Balance Sheet'!AA8</f>
        <v>0.32613696085928701</v>
      </c>
      <c r="AE8" s="17">
        <f ca="1">'Balance Sheet'!AB11/'Balance Sheet'!AB8</f>
        <v>0.32604492227091042</v>
      </c>
      <c r="AF8" s="17">
        <f ca="1">'Balance Sheet'!AC11/'Balance Sheet'!AC8</f>
        <v>0.3277441849160439</v>
      </c>
      <c r="AG8" s="17">
        <f ca="1">'Balance Sheet'!AD11/'Balance Sheet'!AD8</f>
        <v>0.33111437484210982</v>
      </c>
      <c r="AH8" s="17">
        <f ca="1">'Balance Sheet'!AE11/'Balance Sheet'!AE8</f>
        <v>0.33604999525762136</v>
      </c>
      <c r="AI8" s="29"/>
    </row>
    <row r="9" spans="1:35" ht="21.5" thickBot="1" x14ac:dyDescent="0.55000000000000004">
      <c r="A9" s="20" t="s">
        <v>32</v>
      </c>
      <c r="B9" s="21">
        <f ca="1">MIN('Price and Financial ratios'!E9:AH9)</f>
        <v>4.7554781461962277</v>
      </c>
      <c r="C9" s="21"/>
      <c r="D9" s="177"/>
      <c r="E9" s="21">
        <f ca="1">('Cash Flow'!C7+'Profit and Loss'!C8)/('Profit and Loss'!C8)</f>
        <v>4.7554781461962277</v>
      </c>
      <c r="F9" s="21">
        <f ca="1">('Cash Flow'!D7+'Profit and Loss'!D8)/('Profit and Loss'!D8)</f>
        <v>5.0506476747655471</v>
      </c>
      <c r="G9" s="21">
        <f ca="1">('Cash Flow'!E7+'Profit and Loss'!E8)/('Profit and Loss'!E8)</f>
        <v>5.4804158164389332</v>
      </c>
      <c r="H9" s="21">
        <f ca="1">('Cash Flow'!F7+'Profit and Loss'!F8)/('Profit and Loss'!F8)</f>
        <v>6.5515397087418723</v>
      </c>
      <c r="I9" s="21">
        <f ca="1">('Cash Flow'!G7+'Profit and Loss'!G8)/('Profit and Loss'!G8)</f>
        <v>7.118004439014495</v>
      </c>
      <c r="J9" s="21">
        <f ca="1">('Cash Flow'!H7+'Profit and Loss'!H8)/('Profit and Loss'!H8)</f>
        <v>7.4015150264483802</v>
      </c>
      <c r="K9" s="21">
        <f ca="1">('Cash Flow'!I7+'Profit and Loss'!I8)/('Profit and Loss'!I8)</f>
        <v>7.4290055154435244</v>
      </c>
      <c r="L9" s="21">
        <f ca="1">('Cash Flow'!J7+'Profit and Loss'!J8)/('Profit and Loss'!J8)</f>
        <v>7.5728741886104602</v>
      </c>
      <c r="M9" s="21">
        <f ca="1">('Cash Flow'!K7+'Profit and Loss'!K8)/('Profit and Loss'!K8)</f>
        <v>7.7068941139582998</v>
      </c>
      <c r="N9" s="21">
        <f ca="1">('Cash Flow'!L7+'Profit and Loss'!L8)/('Profit and Loss'!L8)</f>
        <v>7.6666890088484978</v>
      </c>
      <c r="O9" s="21">
        <f ca="1">('Cash Flow'!M7+'Profit and Loss'!M8)/('Profit and Loss'!M8)</f>
        <v>7.5909298486808803</v>
      </c>
      <c r="P9" s="21">
        <f ca="1">('Cash Flow'!N7+'Profit and Loss'!N8)/('Profit and Loss'!N8)</f>
        <v>7.5335311219609187</v>
      </c>
      <c r="Q9" s="21">
        <f ca="1">('Cash Flow'!O7+'Profit and Loss'!O8)/('Profit and Loss'!O8)</f>
        <v>7.4960687699927568</v>
      </c>
      <c r="R9" s="21">
        <f ca="1">('Cash Flow'!P7+'Profit and Loss'!P8)/('Profit and Loss'!P8)</f>
        <v>7.4800460865630285</v>
      </c>
      <c r="S9" s="21">
        <f ca="1">('Cash Flow'!Q7+'Profit and Loss'!Q8)/('Profit and Loss'!Q8)</f>
        <v>7.4869972116052335</v>
      </c>
      <c r="T9" s="21">
        <f ca="1">('Cash Flow'!R7+'Profit and Loss'!R8)/('Profit and Loss'!R8)</f>
        <v>7.5185908239997081</v>
      </c>
      <c r="U9" s="21">
        <f ca="1">('Cash Flow'!S7+'Profit and Loss'!S8)/('Profit and Loss'!S8)</f>
        <v>7.5767385133347682</v>
      </c>
      <c r="V9" s="21">
        <f ca="1">('Cash Flow'!T7+'Profit and Loss'!T8)/('Profit and Loss'!T8)</f>
        <v>7.6637140963583228</v>
      </c>
      <c r="W9" s="21">
        <f ca="1">('Cash Flow'!U7+'Profit and Loss'!U8)/('Profit and Loss'!U8)</f>
        <v>7.7822923552430252</v>
      </c>
      <c r="X9" s="21">
        <f ca="1">('Cash Flow'!V7+'Profit and Loss'!V8)/('Profit and Loss'!V8)</f>
        <v>7.8635325690792195</v>
      </c>
      <c r="Y9" s="21">
        <f ca="1">('Cash Flow'!W7+'Profit and Loss'!W8)/('Profit and Loss'!W8)</f>
        <v>7.9643388238254085</v>
      </c>
      <c r="Z9" s="21">
        <f ca="1">('Cash Flow'!X7+'Profit and Loss'!X8)/('Profit and Loss'!X8)</f>
        <v>8.0873011062456559</v>
      </c>
      <c r="AA9" s="21">
        <f ca="1">('Cash Flow'!Y7+'Profit and Loss'!Y8)/('Profit and Loss'!Y8)</f>
        <v>8.0824651334587507</v>
      </c>
      <c r="AB9" s="21">
        <f ca="1">('Cash Flow'!Z7+'Profit and Loss'!Z8)/('Profit and Loss'!Z8)</f>
        <v>8.0664692554533186</v>
      </c>
      <c r="AC9" s="21">
        <f ca="1">('Cash Flow'!AA7+'Profit and Loss'!AA8)/('Profit and Loss'!AA8)</f>
        <v>7.9189859489679728</v>
      </c>
      <c r="AD9" s="21">
        <f ca="1">('Cash Flow'!AB7+'Profit and Loss'!AB8)/('Profit and Loss'!AB8)</f>
        <v>7.7391991675573113</v>
      </c>
      <c r="AE9" s="21">
        <f ca="1">('Cash Flow'!AC7+'Profit and Loss'!AC8)/('Profit and Loss'!AC8)</f>
        <v>7.5319803602946518</v>
      </c>
      <c r="AF9" s="21">
        <f ca="1">('Cash Flow'!AD7+'Profit and Loss'!AD8)/('Profit and Loss'!AD8)</f>
        <v>7.3025177593552852</v>
      </c>
      <c r="AG9" s="21">
        <f ca="1">('Cash Flow'!AE7+'Profit and Loss'!AE8)/('Profit and Loss'!AE8)</f>
        <v>7.0560348253839384</v>
      </c>
      <c r="AH9" s="21">
        <f ca="1">('Cash Flow'!AF7+'Profit and Loss'!AF8)/('Profit and Loss'!AF8)</f>
        <v>6.7975520500727988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2557148.7247793549</v>
      </c>
      <c r="D5" s="1">
        <f>Assumptions!E111</f>
        <v>2557148.7247793549</v>
      </c>
      <c r="E5" s="1">
        <f>Assumptions!F111</f>
        <v>2557148.7247793549</v>
      </c>
      <c r="F5" s="1">
        <f>Assumptions!G111</f>
        <v>2557148.7247793549</v>
      </c>
      <c r="G5" s="1">
        <f>Assumptions!H111</f>
        <v>2557148.7247793549</v>
      </c>
      <c r="H5" s="1">
        <f>Assumptions!I111</f>
        <v>2557148.7247793549</v>
      </c>
      <c r="I5" s="1">
        <f>Assumptions!J111</f>
        <v>2557148.7247793549</v>
      </c>
      <c r="J5" s="1">
        <f>Assumptions!K111</f>
        <v>2557148.7247793549</v>
      </c>
      <c r="K5" s="1">
        <f>Assumptions!L111</f>
        <v>2557148.7247793549</v>
      </c>
      <c r="L5" s="1">
        <f>Assumptions!M111</f>
        <v>2557148.7247793549</v>
      </c>
      <c r="M5" s="1">
        <f>Assumptions!N111</f>
        <v>2557148.7247793549</v>
      </c>
      <c r="N5" s="1">
        <f>Assumptions!O111</f>
        <v>2557148.7247793549</v>
      </c>
      <c r="O5" s="1">
        <f>Assumptions!P111</f>
        <v>2557148.7247793549</v>
      </c>
      <c r="P5" s="1">
        <f>Assumptions!Q111</f>
        <v>2557148.7247793549</v>
      </c>
      <c r="Q5" s="1">
        <f>Assumptions!R111</f>
        <v>2557148.7247793549</v>
      </c>
      <c r="R5" s="1">
        <f>Assumptions!S111</f>
        <v>2557148.7247793549</v>
      </c>
      <c r="S5" s="1">
        <f>Assumptions!T111</f>
        <v>2557148.7247793549</v>
      </c>
      <c r="T5" s="1">
        <f>Assumptions!U111</f>
        <v>2557148.7247793549</v>
      </c>
      <c r="U5" s="1">
        <f>Assumptions!V111</f>
        <v>2557148.7247793549</v>
      </c>
      <c r="V5" s="1">
        <f>Assumptions!W111</f>
        <v>2557148.7247793549</v>
      </c>
      <c r="W5" s="1">
        <f>Assumptions!X111</f>
        <v>2557148.7247793549</v>
      </c>
      <c r="X5" s="1">
        <f>Assumptions!Y111</f>
        <v>2557148.7247793549</v>
      </c>
      <c r="Y5" s="1">
        <f>Assumptions!Z111</f>
        <v>2557148.7247793549</v>
      </c>
      <c r="Z5" s="1">
        <f>Assumptions!AA111</f>
        <v>2557148.7247793549</v>
      </c>
      <c r="AA5" s="1">
        <f>Assumptions!AB111</f>
        <v>2557148.7247793549</v>
      </c>
      <c r="AB5" s="1">
        <f>Assumptions!AC111</f>
        <v>2557148.7247793549</v>
      </c>
      <c r="AC5" s="1">
        <f>Assumptions!AD111</f>
        <v>2557148.7247793549</v>
      </c>
      <c r="AD5" s="1">
        <f>Assumptions!AE111</f>
        <v>2557148.7247793549</v>
      </c>
      <c r="AE5" s="1">
        <f>Assumptions!AF111</f>
        <v>2557148.7247793549</v>
      </c>
      <c r="AF5" s="1">
        <f>Assumptions!AG111</f>
        <v>2557148.7247793549</v>
      </c>
    </row>
    <row r="6" spans="1:32" x14ac:dyDescent="0.35">
      <c r="A6" t="s">
        <v>68</v>
      </c>
      <c r="C6" s="1">
        <f>Assumptions!D113</f>
        <v>18316666.666666668</v>
      </c>
      <c r="D6" s="1">
        <f>Assumptions!E113</f>
        <v>18316666.666666668</v>
      </c>
      <c r="E6" s="1">
        <f>Assumptions!F113</f>
        <v>18316666.666666668</v>
      </c>
      <c r="F6" s="1">
        <f>Assumptions!G113</f>
        <v>18316666.666666668</v>
      </c>
      <c r="G6" s="1">
        <f>Assumptions!H113</f>
        <v>18316666.666666668</v>
      </c>
      <c r="H6" s="1">
        <f>Assumptions!I113</f>
        <v>18316666.666666668</v>
      </c>
      <c r="I6" s="1">
        <f>Assumptions!J113</f>
        <v>18316666.666666668</v>
      </c>
      <c r="J6" s="1">
        <f>Assumptions!K113</f>
        <v>18316666.666666668</v>
      </c>
      <c r="K6" s="1">
        <f>Assumptions!L113</f>
        <v>18316666.666666668</v>
      </c>
      <c r="L6" s="1">
        <f>Assumptions!M113</f>
        <v>18316666.666666668</v>
      </c>
      <c r="M6" s="1">
        <f>Assumptions!N113</f>
        <v>18316666.666666668</v>
      </c>
      <c r="N6" s="1">
        <f>Assumptions!O113</f>
        <v>18316666.666666668</v>
      </c>
      <c r="O6" s="1">
        <f>Assumptions!P113</f>
        <v>18316666.666666668</v>
      </c>
      <c r="P6" s="1">
        <f>Assumptions!Q113</f>
        <v>18316666.666666668</v>
      </c>
      <c r="Q6" s="1">
        <f>Assumptions!R113</f>
        <v>18316666.666666668</v>
      </c>
      <c r="R6" s="1">
        <f>Assumptions!S113</f>
        <v>18316666.666666668</v>
      </c>
      <c r="S6" s="1">
        <f>Assumptions!T113</f>
        <v>18316666.666666668</v>
      </c>
      <c r="T6" s="1">
        <f>Assumptions!U113</f>
        <v>18316666.666666668</v>
      </c>
      <c r="U6" s="1">
        <f>Assumptions!V113</f>
        <v>18316666.666666668</v>
      </c>
      <c r="V6" s="1">
        <f>Assumptions!W113</f>
        <v>18316666.666666668</v>
      </c>
      <c r="W6" s="1">
        <f>Assumptions!X113</f>
        <v>18316666.666666668</v>
      </c>
      <c r="X6" s="1">
        <f>Assumptions!Y113</f>
        <v>18316666.666666668</v>
      </c>
      <c r="Y6" s="1">
        <f>Assumptions!Z113</f>
        <v>18316666.666666668</v>
      </c>
      <c r="Z6" s="1">
        <f>Assumptions!AA113</f>
        <v>18316666.666666668</v>
      </c>
      <c r="AA6" s="1">
        <f>Assumptions!AB113</f>
        <v>18316666.666666668</v>
      </c>
      <c r="AB6" s="1">
        <f>Assumptions!AC113</f>
        <v>18316666.666666668</v>
      </c>
      <c r="AC6" s="1">
        <f>Assumptions!AD113</f>
        <v>18316666.666666668</v>
      </c>
      <c r="AD6" s="1">
        <f>Assumptions!AE113</f>
        <v>18316666.666666668</v>
      </c>
      <c r="AE6" s="1">
        <f>Assumptions!AF113</f>
        <v>18316666.666666668</v>
      </c>
      <c r="AF6" s="1">
        <f>Assumptions!AG113</f>
        <v>18316666.666666668</v>
      </c>
    </row>
    <row r="7" spans="1:32" x14ac:dyDescent="0.35">
      <c r="A7" t="s">
        <v>73</v>
      </c>
      <c r="C7" s="1">
        <f>Assumptions!D120</f>
        <v>439600</v>
      </c>
      <c r="D7" s="1">
        <f>Assumptions!E120</f>
        <v>879200</v>
      </c>
      <c r="E7" s="1">
        <f>Assumptions!F120</f>
        <v>1318800</v>
      </c>
      <c r="F7" s="1">
        <f>Assumptions!G120</f>
        <v>1758400</v>
      </c>
      <c r="G7" s="1">
        <f>Assumptions!H120</f>
        <v>2198000.0000000005</v>
      </c>
      <c r="H7" s="1">
        <f>Assumptions!I120</f>
        <v>2637600.0000000005</v>
      </c>
      <c r="I7" s="1">
        <f>Assumptions!J120</f>
        <v>3077200.0000000009</v>
      </c>
      <c r="J7" s="1">
        <f>Assumptions!K120</f>
        <v>3516800</v>
      </c>
      <c r="K7" s="1">
        <f>Assumptions!L120</f>
        <v>3956400</v>
      </c>
      <c r="L7" s="1">
        <f>Assumptions!M120</f>
        <v>4396000</v>
      </c>
      <c r="M7" s="1">
        <f>Assumptions!N120</f>
        <v>4835599.9999999991</v>
      </c>
      <c r="N7" s="1">
        <f>Assumptions!O120</f>
        <v>5275199.9999999991</v>
      </c>
      <c r="O7" s="1">
        <f>Assumptions!P120</f>
        <v>5714799.9999999981</v>
      </c>
      <c r="P7" s="1">
        <f>Assumptions!Q120</f>
        <v>6154399.9999999991</v>
      </c>
      <c r="Q7" s="1">
        <f>Assumptions!R120</f>
        <v>6593999.9999999991</v>
      </c>
      <c r="R7" s="1">
        <f>Assumptions!S120</f>
        <v>7033599.9999999981</v>
      </c>
      <c r="S7" s="1">
        <f>Assumptions!T120</f>
        <v>7473199.9999999991</v>
      </c>
      <c r="T7" s="1">
        <f>Assumptions!U120</f>
        <v>7912800</v>
      </c>
      <c r="U7" s="1">
        <f>Assumptions!V120</f>
        <v>8352400</v>
      </c>
      <c r="V7" s="1">
        <f>Assumptions!W120</f>
        <v>8792000.0000000019</v>
      </c>
      <c r="W7" s="1">
        <f>Assumptions!X120</f>
        <v>9231600.0000000019</v>
      </c>
      <c r="X7" s="1">
        <f>Assumptions!Y120</f>
        <v>9671200.0000000019</v>
      </c>
      <c r="Y7" s="1">
        <f>Assumptions!Z120</f>
        <v>10110800.000000002</v>
      </c>
      <c r="Z7" s="1">
        <f>Assumptions!AA120</f>
        <v>10550400.000000002</v>
      </c>
      <c r="AA7" s="1">
        <f>Assumptions!AB120</f>
        <v>10990000.000000004</v>
      </c>
      <c r="AB7" s="1">
        <f>Assumptions!AC120</f>
        <v>11429600.000000002</v>
      </c>
      <c r="AC7" s="1">
        <f>Assumptions!AD120</f>
        <v>11869200.000000004</v>
      </c>
      <c r="AD7" s="1">
        <f>Assumptions!AE120</f>
        <v>12308800.000000006</v>
      </c>
      <c r="AE7" s="1">
        <f>Assumptions!AF120</f>
        <v>12748400.000000004</v>
      </c>
      <c r="AF7" s="1">
        <f>Assumptions!AG120</f>
        <v>13188000.000000006</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2638977.4839722943</v>
      </c>
      <c r="D11" s="1">
        <f>D5*D$9</f>
        <v>2723424.7634594077</v>
      </c>
      <c r="E11" s="1">
        <f t="shared" ref="D11:AF13" si="1">E5*E$9</f>
        <v>2810574.3558901083</v>
      </c>
      <c r="F11" s="1">
        <f t="shared" si="1"/>
        <v>2900512.735278592</v>
      </c>
      <c r="G11" s="1">
        <f t="shared" si="1"/>
        <v>2993329.1428075074</v>
      </c>
      <c r="H11" s="1">
        <f t="shared" si="1"/>
        <v>3089115.675377347</v>
      </c>
      <c r="I11" s="1">
        <f t="shared" si="1"/>
        <v>3187967.3769894219</v>
      </c>
      <c r="J11" s="1">
        <f t="shared" si="1"/>
        <v>3289982.3330530836</v>
      </c>
      <c r="K11" s="1">
        <f t="shared" si="1"/>
        <v>3395261.7677107826</v>
      </c>
      <c r="L11" s="1">
        <f t="shared" si="1"/>
        <v>3503910.1442775275</v>
      </c>
      <c r="M11" s="1">
        <f t="shared" si="1"/>
        <v>3616035.2688944079</v>
      </c>
      <c r="N11" s="1">
        <f t="shared" si="1"/>
        <v>3731748.3974990295</v>
      </c>
      <c r="O11" s="1">
        <f t="shared" si="1"/>
        <v>3851164.3462189985</v>
      </c>
      <c r="P11" s="1">
        <f t="shared" si="1"/>
        <v>3974401.605298006</v>
      </c>
      <c r="Q11" s="1">
        <f t="shared" si="1"/>
        <v>4101582.4566675411</v>
      </c>
      <c r="R11" s="1">
        <f t="shared" si="1"/>
        <v>4232833.0952809034</v>
      </c>
      <c r="S11" s="1">
        <f t="shared" si="1"/>
        <v>4368283.7543298928</v>
      </c>
      <c r="T11" s="1">
        <f t="shared" si="1"/>
        <v>4508068.8344684485</v>
      </c>
      <c r="U11" s="1">
        <f t="shared" si="1"/>
        <v>4652327.0371714383</v>
      </c>
      <c r="V11" s="1">
        <f t="shared" si="1"/>
        <v>4801201.5023609251</v>
      </c>
      <c r="W11" s="1">
        <f t="shared" si="1"/>
        <v>4954839.9504364757</v>
      </c>
      <c r="X11" s="1">
        <f t="shared" si="1"/>
        <v>5113394.8288504416</v>
      </c>
      <c r="Y11" s="1">
        <f t="shared" si="1"/>
        <v>5277023.4633736555</v>
      </c>
      <c r="Z11" s="1">
        <f t="shared" si="1"/>
        <v>5445888.2142016124</v>
      </c>
      <c r="AA11" s="1">
        <f t="shared" si="1"/>
        <v>5620156.6370560657</v>
      </c>
      <c r="AB11" s="1">
        <f t="shared" si="1"/>
        <v>5800001.6494418588</v>
      </c>
      <c r="AC11" s="1">
        <f t="shared" si="1"/>
        <v>5985601.7022239976</v>
      </c>
      <c r="AD11" s="1">
        <f t="shared" si="1"/>
        <v>6177140.9566951664</v>
      </c>
      <c r="AE11" s="1">
        <f t="shared" si="1"/>
        <v>6374809.4673094116</v>
      </c>
      <c r="AF11" s="1">
        <f t="shared" si="1"/>
        <v>6578803.370263312</v>
      </c>
    </row>
    <row r="12" spans="1:32" x14ac:dyDescent="0.35">
      <c r="A12" t="s">
        <v>71</v>
      </c>
      <c r="C12" s="1">
        <f t="shared" ref="C12:R12" si="2">C6*C$9</f>
        <v>18902800</v>
      </c>
      <c r="D12" s="1">
        <f t="shared" si="2"/>
        <v>19507689.600000001</v>
      </c>
      <c r="E12" s="1">
        <f t="shared" si="2"/>
        <v>20131935.667199999</v>
      </c>
      <c r="F12" s="1">
        <f t="shared" si="2"/>
        <v>20776157.6085504</v>
      </c>
      <c r="G12" s="1">
        <f t="shared" si="2"/>
        <v>21440994.652024016</v>
      </c>
      <c r="H12" s="1">
        <f t="shared" si="2"/>
        <v>22127106.48088878</v>
      </c>
      <c r="I12" s="1">
        <f t="shared" si="2"/>
        <v>22835173.888277218</v>
      </c>
      <c r="J12" s="1">
        <f t="shared" si="2"/>
        <v>23565899.452702094</v>
      </c>
      <c r="K12" s="1">
        <f t="shared" si="2"/>
        <v>24320008.235188562</v>
      </c>
      <c r="L12" s="1">
        <f t="shared" si="2"/>
        <v>25098248.498714592</v>
      </c>
      <c r="M12" s="1">
        <f t="shared" si="2"/>
        <v>25901392.450673457</v>
      </c>
      <c r="N12" s="1">
        <f t="shared" si="2"/>
        <v>26730237.009095009</v>
      </c>
      <c r="O12" s="1">
        <f t="shared" si="2"/>
        <v>27585604.593386054</v>
      </c>
      <c r="P12" s="1">
        <f t="shared" si="2"/>
        <v>28468343.940374404</v>
      </c>
      <c r="Q12" s="1">
        <f t="shared" si="2"/>
        <v>29379330.946466379</v>
      </c>
      <c r="R12" s="1">
        <f t="shared" si="2"/>
        <v>30319469.536753308</v>
      </c>
      <c r="S12" s="1">
        <f t="shared" si="1"/>
        <v>31289692.56192942</v>
      </c>
      <c r="T12" s="1">
        <f t="shared" si="1"/>
        <v>32290962.723911155</v>
      </c>
      <c r="U12" s="1">
        <f t="shared" si="1"/>
        <v>33324273.531076308</v>
      </c>
      <c r="V12" s="1">
        <f t="shared" si="1"/>
        <v>34390650.284070753</v>
      </c>
      <c r="W12" s="1">
        <f t="shared" si="1"/>
        <v>35491151.093161024</v>
      </c>
      <c r="X12" s="1">
        <f t="shared" si="1"/>
        <v>36626867.928142168</v>
      </c>
      <c r="Y12" s="1">
        <f t="shared" si="1"/>
        <v>37798927.70184271</v>
      </c>
      <c r="Z12" s="1">
        <f t="shared" si="1"/>
        <v>39008493.388301685</v>
      </c>
      <c r="AA12" s="1">
        <f t="shared" si="1"/>
        <v>40256765.176727347</v>
      </c>
      <c r="AB12" s="1">
        <f t="shared" si="1"/>
        <v>41544981.662382618</v>
      </c>
      <c r="AC12" s="1">
        <f t="shared" si="1"/>
        <v>42874421.075578853</v>
      </c>
      <c r="AD12" s="1">
        <f t="shared" si="1"/>
        <v>44246402.549997382</v>
      </c>
      <c r="AE12" s="1">
        <f t="shared" si="1"/>
        <v>45662287.4315973</v>
      </c>
      <c r="AF12" s="1">
        <f t="shared" si="1"/>
        <v>47123480.629408404</v>
      </c>
    </row>
    <row r="13" spans="1:32" x14ac:dyDescent="0.35">
      <c r="A13" t="s">
        <v>74</v>
      </c>
      <c r="C13" s="1">
        <f>C7*C$9</f>
        <v>453667.2</v>
      </c>
      <c r="D13" s="1">
        <f t="shared" si="1"/>
        <v>936369.10080000001</v>
      </c>
      <c r="E13" s="1">
        <f t="shared" si="1"/>
        <v>1449499.3680383998</v>
      </c>
      <c r="F13" s="1">
        <f t="shared" si="1"/>
        <v>1994511.1304208382</v>
      </c>
      <c r="G13" s="1">
        <f t="shared" si="1"/>
        <v>2572919.3582428819</v>
      </c>
      <c r="H13" s="1">
        <f t="shared" si="1"/>
        <v>3186303.3332479848</v>
      </c>
      <c r="I13" s="1">
        <f t="shared" si="1"/>
        <v>3836309.2132305736</v>
      </c>
      <c r="J13" s="1">
        <f t="shared" si="1"/>
        <v>4524652.6949188011</v>
      </c>
      <c r="K13" s="1">
        <f t="shared" si="1"/>
        <v>5253121.7788007287</v>
      </c>
      <c r="L13" s="1">
        <f t="shared" si="1"/>
        <v>6023579.6396915019</v>
      </c>
      <c r="M13" s="1">
        <f t="shared" si="1"/>
        <v>6837967.6069777915</v>
      </c>
      <c r="N13" s="1">
        <f t="shared" si="1"/>
        <v>7698308.2586193616</v>
      </c>
      <c r="O13" s="1">
        <f t="shared" si="1"/>
        <v>8606708.6331364457</v>
      </c>
      <c r="P13" s="1">
        <f t="shared" si="1"/>
        <v>9565363.5639657974</v>
      </c>
      <c r="Q13" s="1">
        <f t="shared" si="1"/>
        <v>10576559.140727894</v>
      </c>
      <c r="R13" s="1">
        <f t="shared" si="1"/>
        <v>11642676.302113267</v>
      </c>
      <c r="S13" s="1">
        <f t="shared" si="1"/>
        <v>12766194.5652672</v>
      </c>
      <c r="T13" s="1">
        <f t="shared" si="1"/>
        <v>13949695.896729618</v>
      </c>
      <c r="U13" s="1">
        <f t="shared" si="1"/>
        <v>15195868.730170796</v>
      </c>
      <c r="V13" s="1">
        <f t="shared" si="1"/>
        <v>16507512.136353964</v>
      </c>
      <c r="W13" s="1">
        <f t="shared" si="1"/>
        <v>17887540.150953159</v>
      </c>
      <c r="X13" s="1">
        <f t="shared" si="1"/>
        <v>19338986.266059067</v>
      </c>
      <c r="Y13" s="1">
        <f t="shared" si="1"/>
        <v>20865008.091417182</v>
      </c>
      <c r="Z13" s="1">
        <f t="shared" si="1"/>
        <v>22468892.191661771</v>
      </c>
      <c r="AA13" s="1">
        <f t="shared" si="1"/>
        <v>24154059.106036413</v>
      </c>
      <c r="AB13" s="1">
        <f t="shared" si="1"/>
        <v>25924068.557326753</v>
      </c>
      <c r="AC13" s="1">
        <f t="shared" si="1"/>
        <v>27782624.856975105</v>
      </c>
      <c r="AD13" s="1">
        <f t="shared" si="1"/>
        <v>29733582.513598252</v>
      </c>
      <c r="AE13" s="1">
        <f t="shared" si="1"/>
        <v>31780952.052391727</v>
      </c>
      <c r="AF13" s="1">
        <f t="shared" si="1"/>
        <v>33928906.053174064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21995444.683972295</v>
      </c>
      <c r="D25" s="40">
        <f>SUM(D11:D13,D18:D23)</f>
        <v>23167483.464259408</v>
      </c>
      <c r="E25" s="40">
        <f t="shared" ref="E25:AF25" si="7">SUM(E11:E13,E18:E23)</f>
        <v>24392009.39112851</v>
      </c>
      <c r="F25" s="40">
        <f t="shared" si="7"/>
        <v>25671181.474249829</v>
      </c>
      <c r="G25" s="40">
        <f t="shared" si="7"/>
        <v>27007243.153074402</v>
      </c>
      <c r="H25" s="40">
        <f t="shared" si="7"/>
        <v>28402525.489514112</v>
      </c>
      <c r="I25" s="40">
        <f t="shared" si="7"/>
        <v>29859450.478497211</v>
      </c>
      <c r="J25" s="40">
        <f t="shared" si="7"/>
        <v>31380534.480673976</v>
      </c>
      <c r="K25" s="40">
        <f t="shared" si="7"/>
        <v>32968391.781700075</v>
      </c>
      <c r="L25" s="40">
        <f t="shared" si="7"/>
        <v>34625738.282683626</v>
      </c>
      <c r="M25" s="40">
        <f t="shared" si="7"/>
        <v>36355395.326545656</v>
      </c>
      <c r="N25" s="40">
        <f t="shared" si="7"/>
        <v>38160293.665213399</v>
      </c>
      <c r="O25" s="40">
        <f t="shared" si="7"/>
        <v>40043477.572741501</v>
      </c>
      <c r="P25" s="40">
        <f t="shared" si="7"/>
        <v>42008109.109638207</v>
      </c>
      <c r="Q25" s="40">
        <f t="shared" si="7"/>
        <v>44057472.543861814</v>
      </c>
      <c r="R25" s="40">
        <f t="shared" si="7"/>
        <v>46194978.934147477</v>
      </c>
      <c r="S25" s="40">
        <f t="shared" si="7"/>
        <v>48424170.881526507</v>
      </c>
      <c r="T25" s="40">
        <f t="shared" si="7"/>
        <v>50748727.455109224</v>
      </c>
      <c r="U25" s="40">
        <f t="shared" si="7"/>
        <v>53172469.298418544</v>
      </c>
      <c r="V25" s="40">
        <f t="shared" si="7"/>
        <v>55699363.92278564</v>
      </c>
      <c r="W25" s="40">
        <f t="shared" si="7"/>
        <v>58333531.194550656</v>
      </c>
      <c r="X25" s="40">
        <f t="shared" si="7"/>
        <v>61079249.023051679</v>
      </c>
      <c r="Y25" s="40">
        <f t="shared" si="7"/>
        <v>63940959.25663355</v>
      </c>
      <c r="Z25" s="40">
        <f t="shared" si="7"/>
        <v>66923273.794165075</v>
      </c>
      <c r="AA25" s="40">
        <f t="shared" si="7"/>
        <v>70030980.919819832</v>
      </c>
      <c r="AB25" s="40">
        <f t="shared" si="7"/>
        <v>73269051.869151235</v>
      </c>
      <c r="AC25" s="40">
        <f t="shared" si="7"/>
        <v>76642647.634777963</v>
      </c>
      <c r="AD25" s="40">
        <f t="shared" si="7"/>
        <v>80157126.020290807</v>
      </c>
      <c r="AE25" s="40">
        <f t="shared" si="7"/>
        <v>83818048.951298431</v>
      </c>
      <c r="AF25" s="40">
        <f t="shared" si="7"/>
        <v>87631190.052845776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9618034.5851540342</v>
      </c>
      <c r="D5" s="59">
        <f>C5*('Price and Financial ratios'!F4+1)*(1+Assumptions!$C$13)</f>
        <v>13670539.70968869</v>
      </c>
      <c r="E5" s="59">
        <f>D5*('Price and Financial ratios'!G4+1)*(1+Assumptions!$C$13)</f>
        <v>18042649.134770267</v>
      </c>
      <c r="F5" s="59">
        <f>E5*('Price and Financial ratios'!H4+1)*(1+Assumptions!$C$13)</f>
        <v>23813045.769488465</v>
      </c>
      <c r="G5" s="59">
        <f>F5*('Price and Financial ratios'!I4+1)*(1+Assumptions!$C$13)</f>
        <v>28527797.605005413</v>
      </c>
      <c r="H5" s="59">
        <f>G5*('Price and Financial ratios'!J4+1)*(1+Assumptions!$C$13)</f>
        <v>32438260.564474165</v>
      </c>
      <c r="I5" s="59">
        <f>H5*('Price and Financial ratios'!K4+1)*(1+Assumptions!$C$13)</f>
        <v>35567439.722033739</v>
      </c>
      <c r="J5" s="59">
        <f>I5*('Price and Financial ratios'!L4+1)*(1+Assumptions!$C$13)</f>
        <v>38998477.303248398</v>
      </c>
      <c r="K5" s="59">
        <f>J5*('Price and Financial ratios'!M4+1)*(1+Assumptions!$C$13)</f>
        <v>42364561.804800376</v>
      </c>
      <c r="L5" s="59">
        <f>K5*('Price and Financial ratios'!N4+1)*(1+Assumptions!$C$13)</f>
        <v>45160974.883321963</v>
      </c>
      <c r="M5" s="59">
        <f>L5*('Price and Financial ratios'!O4+1)*(1+Assumptions!$C$13)</f>
        <v>47912726.962483227</v>
      </c>
      <c r="N5" s="59">
        <f>M5*('Price and Financial ratios'!P4+1)*(1+Assumptions!$C$13)</f>
        <v>50832149.01610212</v>
      </c>
      <c r="O5" s="59">
        <f>N5*('Price and Financial ratios'!Q4+1)*(1+Assumptions!$C$13)</f>
        <v>53929457.524270557</v>
      </c>
      <c r="P5" s="59">
        <f>O5*('Price and Financial ratios'!R4+1)*(1+Assumptions!$C$13)</f>
        <v>57215491.478450209</v>
      </c>
      <c r="Q5" s="59">
        <f>P5*('Price and Financial ratios'!S4+1)*(1+Assumptions!$C$13)</f>
        <v>60701750.312384345</v>
      </c>
      <c r="R5" s="59">
        <f>Q5*('Price and Financial ratios'!T4+1)*(1+Assumptions!$C$13)</f>
        <v>64400434.144218951</v>
      </c>
      <c r="S5" s="59">
        <f>R5*('Price and Financial ratios'!U4+1)*(1+Assumptions!$C$13)</f>
        <v>68324486.470659941</v>
      </c>
      <c r="T5" s="59">
        <f>S5*('Price and Financial ratios'!V4+1)*(1+Assumptions!$C$13)</f>
        <v>72487639.462574154</v>
      </c>
      <c r="U5" s="59">
        <f>T5*('Price and Financial ratios'!W4+1)*(1+Assumptions!$C$13)</f>
        <v>76904462.020545423</v>
      </c>
      <c r="V5" s="59">
        <f>U5*('Price and Financial ratios'!X4+1)*(1+Assumptions!$C$13)</f>
        <v>81200026.018084109</v>
      </c>
      <c r="W5" s="59">
        <f>V5*('Price and Financial ratios'!Y4+1)*(1+Assumptions!$C$13)</f>
        <v>85735522.388493702</v>
      </c>
      <c r="X5" s="59">
        <f>W5*('Price and Financial ratios'!Z4+1)*(1+Assumptions!$C$13)</f>
        <v>90524352.758099511</v>
      </c>
      <c r="Y5" s="59">
        <f>X5*('Price and Financial ratios'!AA4+1)*(1+Assumptions!$C$13)</f>
        <v>94661622.434435442</v>
      </c>
      <c r="Z5" s="59">
        <f>Y5*('Price and Financial ratios'!AB4+1)*(1+Assumptions!$C$13)</f>
        <v>98987979.354736194</v>
      </c>
      <c r="AA5" s="59">
        <f>Z5*('Price and Financial ratios'!AC4+1)*(1+Assumptions!$C$13)</f>
        <v>102708088.23944755</v>
      </c>
      <c r="AB5" s="59">
        <f>AA5*('Price and Financial ratios'!AD4+1)*(1+Assumptions!$C$13)</f>
        <v>106568004.10076676</v>
      </c>
      <c r="AC5" s="59">
        <f>AB5*('Price and Financial ratios'!AE4+1)*(1+Assumptions!$C$13)</f>
        <v>110572981.08348209</v>
      </c>
      <c r="AD5" s="59">
        <f>AC5*('Price and Financial ratios'!AF4+1)*(1+Assumptions!$C$13)</f>
        <v>114728470.79060683</v>
      </c>
      <c r="AE5" s="59">
        <f>AD5*('Price and Financial ratios'!AG4+1)*(1+Assumptions!$C$13)</f>
        <v>119040129.70413996</v>
      </c>
      <c r="AF5" s="59">
        <f>AE5*('Price and Financial ratios'!AH4+1)*(1+Assumptions!$C$13)</f>
        <v>123513826.88470954</v>
      </c>
    </row>
    <row r="6" spans="1:32" s="11" customFormat="1" x14ac:dyDescent="0.35">
      <c r="A6" s="11" t="s">
        <v>20</v>
      </c>
      <c r="C6" s="59">
        <f>C27</f>
        <v>5325125.3018928282</v>
      </c>
      <c r="D6" s="59">
        <f t="shared" ref="D6:AF6" si="1">D27</f>
        <v>6090444.6791127855</v>
      </c>
      <c r="E6" s="59">
        <f>E27</f>
        <v>6888017.2428066675</v>
      </c>
      <c r="F6" s="59">
        <f t="shared" si="1"/>
        <v>7718935.1813077983</v>
      </c>
      <c r="G6" s="59">
        <f t="shared" si="1"/>
        <v>8584324.7620841879</v>
      </c>
      <c r="H6" s="59">
        <f t="shared" si="1"/>
        <v>9485347.3639864326</v>
      </c>
      <c r="I6" s="59">
        <f t="shared" si="1"/>
        <v>10423200.540727161</v>
      </c>
      <c r="J6" s="59">
        <f t="shared" si="1"/>
        <v>11399119.116553301</v>
      </c>
      <c r="K6" s="59">
        <f t="shared" si="1"/>
        <v>12414376.315102901</v>
      </c>
      <c r="L6" s="59">
        <f t="shared" si="1"/>
        <v>13470284.922469631</v>
      </c>
      <c r="M6" s="59">
        <f t="shared" si="1"/>
        <v>14568198.485530598</v>
      </c>
      <c r="N6" s="59">
        <f t="shared" si="1"/>
        <v>15709512.546626605</v>
      </c>
      <c r="O6" s="59">
        <f t="shared" si="1"/>
        <v>16895665.915718682</v>
      </c>
      <c r="P6" s="59">
        <f t="shared" si="1"/>
        <v>18128141.981180348</v>
      </c>
      <c r="Q6" s="59">
        <f t="shared" si="1"/>
        <v>19408470.060422197</v>
      </c>
      <c r="R6" s="59">
        <f t="shared" si="1"/>
        <v>20738226.79158337</v>
      </c>
      <c r="S6" s="59">
        <f t="shared" si="1"/>
        <v>22119037.567564115</v>
      </c>
      <c r="T6" s="59">
        <f t="shared" si="1"/>
        <v>23552578.013714101</v>
      </c>
      <c r="U6" s="59">
        <f t="shared" si="1"/>
        <v>25040575.510533482</v>
      </c>
      <c r="V6" s="59">
        <f t="shared" si="1"/>
        <v>26584810.762786992</v>
      </c>
      <c r="W6" s="59">
        <f t="shared" si="1"/>
        <v>28187119.416476317</v>
      </c>
      <c r="X6" s="59">
        <f t="shared" si="1"/>
        <v>29849393.725162402</v>
      </c>
      <c r="Y6" s="59">
        <f t="shared" si="1"/>
        <v>31573584.267177217</v>
      </c>
      <c r="Z6" s="59">
        <f t="shared" si="1"/>
        <v>33361701.715314098</v>
      </c>
      <c r="AA6" s="59">
        <f t="shared" si="1"/>
        <v>35215818.660636872</v>
      </c>
      <c r="AB6" s="59">
        <f t="shared" si="1"/>
        <v>37138071.492100999</v>
      </c>
      <c r="AC6" s="59">
        <f t="shared" si="1"/>
        <v>39130662.333734266</v>
      </c>
      <c r="AD6" s="59">
        <f t="shared" si="1"/>
        <v>41195861.041181512</v>
      </c>
      <c r="AE6" s="59">
        <f t="shared" si="1"/>
        <v>43336007.259475812</v>
      </c>
      <c r="AF6" s="59">
        <f t="shared" si="1"/>
        <v>45553512.543958843</v>
      </c>
    </row>
    <row r="7" spans="1:32" x14ac:dyDescent="0.35">
      <c r="A7" t="s">
        <v>21</v>
      </c>
      <c r="C7" s="4">
        <f>Depreciation!C8+Depreciation!C9</f>
        <v>3092644.6839722944</v>
      </c>
      <c r="D7" s="4">
        <f>Depreciation!D8+Depreciation!D9</f>
        <v>3659793.8642594079</v>
      </c>
      <c r="E7" s="4">
        <f>Depreciation!E8+Depreciation!E9</f>
        <v>4260073.7239285083</v>
      </c>
      <c r="F7" s="4">
        <f>Depreciation!F8+Depreciation!F9</f>
        <v>4895023.86569943</v>
      </c>
      <c r="G7" s="4">
        <f>Depreciation!G8+Depreciation!G9</f>
        <v>5566248.5010503894</v>
      </c>
      <c r="H7" s="4">
        <f>Depreciation!H8+Depreciation!H9</f>
        <v>6275419.0086253323</v>
      </c>
      <c r="I7" s="4">
        <f>Depreciation!I8+Depreciation!I9</f>
        <v>7024276.590219995</v>
      </c>
      <c r="J7" s="4">
        <f>Depreciation!J8+Depreciation!J9</f>
        <v>7814635.0279718842</v>
      </c>
      <c r="K7" s="4">
        <f>Depreciation!K8+Depreciation!K9</f>
        <v>8648383.5465115122</v>
      </c>
      <c r="L7" s="4">
        <f>Depreciation!L8+Depreciation!L9</f>
        <v>9527489.7839690298</v>
      </c>
      <c r="M7" s="4">
        <f>Depreciation!M8+Depreciation!M9</f>
        <v>10454002.875872198</v>
      </c>
      <c r="N7" s="4">
        <f>Depreciation!N8+Depreciation!N9</f>
        <v>11430056.656118391</v>
      </c>
      <c r="O7" s="4">
        <f>Depreciation!O8+Depreciation!O9</f>
        <v>12457872.979355443</v>
      </c>
      <c r="P7" s="4">
        <f>Depreciation!P8+Depreciation!P9</f>
        <v>13539765.169263802</v>
      </c>
      <c r="Q7" s="4">
        <f>Depreciation!Q8+Depreciation!Q9</f>
        <v>14678141.597395435</v>
      </c>
      <c r="R7" s="4">
        <f>Depreciation!R8+Depreciation!R9</f>
        <v>15875509.397394169</v>
      </c>
      <c r="S7" s="4">
        <f>Depreciation!S8+Depreciation!S9</f>
        <v>17134478.319597092</v>
      </c>
      <c r="T7" s="4">
        <f>Depreciation!T8+Depreciation!T9</f>
        <v>18457764.731198065</v>
      </c>
      <c r="U7" s="4">
        <f>Depreciation!U8+Depreciation!U9</f>
        <v>19848195.767342232</v>
      </c>
      <c r="V7" s="4">
        <f>Depreciation!V8+Depreciation!V9</f>
        <v>21308713.638714887</v>
      </c>
      <c r="W7" s="4">
        <f>Depreciation!W8+Depreciation!W9</f>
        <v>22842380.101389635</v>
      </c>
      <c r="X7" s="4">
        <f>Depreciation!X8+Depreciation!X9</f>
        <v>24452381.094909508</v>
      </c>
      <c r="Y7" s="4">
        <f>Depreciation!Y8+Depreciation!Y9</f>
        <v>26142031.55479084</v>
      </c>
      <c r="Z7" s="4">
        <f>Depreciation!Z8+Depreciation!Z9</f>
        <v>27914780.405863382</v>
      </c>
      <c r="AA7" s="4">
        <f>Depreciation!AA8+Depreciation!AA9</f>
        <v>29774215.743092477</v>
      </c>
      <c r="AB7" s="4">
        <f>Depreciation!AB8+Depreciation!AB9</f>
        <v>31724070.20676861</v>
      </c>
      <c r="AC7" s="4">
        <f>Depreciation!AC8+Depreciation!AC9</f>
        <v>33768226.559199102</v>
      </c>
      <c r="AD7" s="4">
        <f>Depreciation!AD8+Depreciation!AD9</f>
        <v>35910723.470293418</v>
      </c>
      <c r="AE7" s="4">
        <f>Depreciation!AE8+Depreciation!AE9</f>
        <v>38155761.519701138</v>
      </c>
      <c r="AF7" s="4">
        <f>Depreciation!AF8+Depreciation!AF9</f>
        <v>40507709.423437372</v>
      </c>
    </row>
    <row r="8" spans="1:32" x14ac:dyDescent="0.35">
      <c r="A8" t="s">
        <v>6</v>
      </c>
      <c r="C8" s="4">
        <f ca="1">'Debt worksheet'!C8</f>
        <v>902729.26323822606</v>
      </c>
      <c r="D8" s="4">
        <f ca="1">'Debt worksheet'!D8</f>
        <v>1500816.4335929004</v>
      </c>
      <c r="E8" s="4">
        <f ca="1">'Debt worksheet'!E8</f>
        <v>2035362.3275271216</v>
      </c>
      <c r="F8" s="4">
        <f ca="1">'Debt worksheet'!F8</f>
        <v>2456538.6616990077</v>
      </c>
      <c r="G8" s="4">
        <f ca="1">'Debt worksheet'!G8</f>
        <v>2801834.842025253</v>
      </c>
      <c r="H8" s="4">
        <f ca="1">'Debt worksheet'!H8</f>
        <v>3101110.1265711673</v>
      </c>
      <c r="I8" s="4">
        <f ca="1">'Debt worksheet'!I8</f>
        <v>3384603.649712787</v>
      </c>
      <c r="J8" s="4">
        <f ca="1">'Debt worksheet'!J8</f>
        <v>3644502.4041471998</v>
      </c>
      <c r="K8" s="4">
        <f ca="1">'Debt worksheet'!K8</f>
        <v>3886155.0511578145</v>
      </c>
      <c r="L8" s="4">
        <f ca="1">'Debt worksheet'!L8</f>
        <v>4133556.2097636373</v>
      </c>
      <c r="M8" s="4">
        <f ca="1">'Debt worksheet'!M8</f>
        <v>4392680.3621755373</v>
      </c>
      <c r="N8" s="4">
        <f ca="1">'Debt worksheet'!N8</f>
        <v>4662174.4704936408</v>
      </c>
      <c r="O8" s="4">
        <f ca="1">'Debt worksheet'!O8</f>
        <v>4940428.4758966612</v>
      </c>
      <c r="P8" s="4">
        <f ca="1">'Debt worksheet'!P8</f>
        <v>5225549.2873881375</v>
      </c>
      <c r="Q8" s="4">
        <f ca="1">'Debt worksheet'!Q8</f>
        <v>5515332.6607301822</v>
      </c>
      <c r="R8" s="4">
        <f ca="1">'Debt worksheet'!R8</f>
        <v>5807232.8145938842</v>
      </c>
      <c r="S8" s="4">
        <f ca="1">'Debt worksheet'!S8</f>
        <v>6098329.6205585059</v>
      </c>
      <c r="T8" s="4">
        <f ca="1">'Debt worksheet'!T8</f>
        <v>6385293.1925152615</v>
      </c>
      <c r="U8" s="4">
        <f ca="1">'Debt worksheet'!U8</f>
        <v>6664345.6892326344</v>
      </c>
      <c r="V8" s="4">
        <f ca="1">'Debt worksheet'!V8</f>
        <v>6945379.1633106042</v>
      </c>
      <c r="W8" s="4">
        <f ca="1">'Debt worksheet'!W8</f>
        <v>7225760.2602064963</v>
      </c>
      <c r="X8" s="4">
        <f ca="1">'Debt worksheet'!X8</f>
        <v>7502497.8340523383</v>
      </c>
      <c r="Y8" s="4">
        <f ca="1">'Debt worksheet'!Y8</f>
        <v>7805544.1162491962</v>
      </c>
      <c r="Z8" s="4">
        <f ca="1">'Debt worksheet'!Z8</f>
        <v>8135688.0639017625</v>
      </c>
      <c r="AA8" s="4">
        <f ca="1">'Debt worksheet'!AA8</f>
        <v>8522842.4464632981</v>
      </c>
      <c r="AB8" s="4">
        <f ca="1">'Debt worksheet'!AB8</f>
        <v>8971203.7518966738</v>
      </c>
      <c r="AC8" s="4">
        <f ca="1">'Debt worksheet'!AC8</f>
        <v>9485197.1635986827</v>
      </c>
      <c r="AD8" s="4">
        <f ca="1">'Debt worksheet'!AD8</f>
        <v>10069487.288164742</v>
      </c>
      <c r="AE8" s="4">
        <f ca="1">'Debt worksheet'!AE8</f>
        <v>10728989.342898386</v>
      </c>
      <c r="AF8" s="4">
        <f ca="1">'Debt worksheet'!AF8</f>
        <v>11468880.821576905</v>
      </c>
    </row>
    <row r="9" spans="1:32" x14ac:dyDescent="0.35">
      <c r="A9" t="s">
        <v>22</v>
      </c>
      <c r="C9" s="4">
        <f ca="1">C5-C6-C7-C8</f>
        <v>297535.3360506855</v>
      </c>
      <c r="D9" s="4">
        <f t="shared" ref="D9:AF9" ca="1" si="2">D5-D6-D7-D8</f>
        <v>2419484.7327235956</v>
      </c>
      <c r="E9" s="4">
        <f t="shared" ca="1" si="2"/>
        <v>4859195.8405079693</v>
      </c>
      <c r="F9" s="4">
        <f t="shared" ca="1" si="2"/>
        <v>8742548.0607822277</v>
      </c>
      <c r="G9" s="4">
        <f t="shared" ca="1" si="2"/>
        <v>11575389.499845583</v>
      </c>
      <c r="H9" s="4">
        <f t="shared" ca="1" si="2"/>
        <v>13576384.065291233</v>
      </c>
      <c r="I9" s="4">
        <f t="shared" ca="1" si="2"/>
        <v>14735358.941373795</v>
      </c>
      <c r="J9" s="4">
        <f t="shared" ca="1" si="2"/>
        <v>16140220.754576012</v>
      </c>
      <c r="K9" s="4">
        <f t="shared" ca="1" si="2"/>
        <v>17415646.892028149</v>
      </c>
      <c r="L9" s="4">
        <f t="shared" ca="1" si="2"/>
        <v>18029643.967119664</v>
      </c>
      <c r="M9" s="4">
        <f t="shared" ca="1" si="2"/>
        <v>18497845.238904893</v>
      </c>
      <c r="N9" s="4">
        <f t="shared" ca="1" si="2"/>
        <v>19030405.342863481</v>
      </c>
      <c r="O9" s="4">
        <f t="shared" ca="1" si="2"/>
        <v>19635490.153299771</v>
      </c>
      <c r="P9" s="4">
        <f t="shared" ca="1" si="2"/>
        <v>20322035.04061792</v>
      </c>
      <c r="Q9" s="4">
        <f t="shared" ca="1" si="2"/>
        <v>21099805.99383653</v>
      </c>
      <c r="R9" s="4">
        <f t="shared" ca="1" si="2"/>
        <v>21979465.140647523</v>
      </c>
      <c r="S9" s="4">
        <f t="shared" ca="1" si="2"/>
        <v>22972640.962940231</v>
      </c>
      <c r="T9" s="4">
        <f t="shared" ca="1" si="2"/>
        <v>24092003.525146723</v>
      </c>
      <c r="U9" s="4">
        <f t="shared" ca="1" si="2"/>
        <v>25351345.053437077</v>
      </c>
      <c r="V9" s="4">
        <f t="shared" ca="1" si="2"/>
        <v>26361122.453271627</v>
      </c>
      <c r="W9" s="4">
        <f t="shared" ca="1" si="2"/>
        <v>27480262.610421248</v>
      </c>
      <c r="X9" s="4">
        <f t="shared" ca="1" si="2"/>
        <v>28720080.103975266</v>
      </c>
      <c r="Y9" s="4">
        <f t="shared" ca="1" si="2"/>
        <v>29140462.49621819</v>
      </c>
      <c r="Z9" s="4">
        <f t="shared" ca="1" si="2"/>
        <v>29575809.169656951</v>
      </c>
      <c r="AA9" s="4">
        <f t="shared" ca="1" si="2"/>
        <v>29195211.389254902</v>
      </c>
      <c r="AB9" s="4">
        <f t="shared" ca="1" si="2"/>
        <v>28734658.650000483</v>
      </c>
      <c r="AC9" s="4">
        <f t="shared" ca="1" si="2"/>
        <v>28188895.026950028</v>
      </c>
      <c r="AD9" s="4">
        <f t="shared" ca="1" si="2"/>
        <v>27552398.990967162</v>
      </c>
      <c r="AE9" s="4">
        <f t="shared" ca="1" si="2"/>
        <v>26819371.582064629</v>
      </c>
      <c r="AF9" s="4">
        <f t="shared" ca="1" si="2"/>
        <v>25983724.095736418</v>
      </c>
    </row>
    <row r="12" spans="1:32" x14ac:dyDescent="0.35">
      <c r="A12" t="s">
        <v>79</v>
      </c>
      <c r="C12" s="2">
        <f>Assumptions!$C$25*Assumptions!D9*Assumptions!D13</f>
        <v>4763536.3018928282</v>
      </c>
      <c r="D12" s="2">
        <f>Assumptions!$C$25*Assumptions!E9*Assumptions!E13</f>
        <v>4942556.7631127853</v>
      </c>
      <c r="E12" s="2">
        <f>Assumptions!$C$25*Assumptions!F9*Assumptions!F13</f>
        <v>5128305.0675786678</v>
      </c>
      <c r="F12" s="2">
        <f>Assumptions!$C$25*Assumptions!G9*Assumptions!G13</f>
        <v>5321034.0571971098</v>
      </c>
      <c r="G12" s="2">
        <f>Assumptions!$C$25*Assumptions!H9*Assumptions!H13</f>
        <v>5521006.0760327838</v>
      </c>
      <c r="H12" s="2">
        <f>Assumptions!$C$25*Assumptions!I9*Assumptions!I13</f>
        <v>5728493.3274129909</v>
      </c>
      <c r="I12" s="2">
        <f>Assumptions!$C$25*Assumptions!J9*Assumptions!J13</f>
        <v>5943778.2444527606</v>
      </c>
      <c r="J12" s="2">
        <f>Assumptions!$C$25*Assumptions!K9*Assumptions!K13</f>
        <v>6167153.8745048009</v>
      </c>
      <c r="K12" s="2">
        <f>Assumptions!$C$25*Assumptions!L9*Assumptions!L13</f>
        <v>6398924.2780576386</v>
      </c>
      <c r="L12" s="2">
        <f>Assumptions!$C$25*Assumptions!M9*Assumptions!M13</f>
        <v>6639404.9426249005</v>
      </c>
      <c r="M12" s="2">
        <f>Assumptions!$C$25*Assumptions!N9*Assumptions!N13</f>
        <v>6888923.212189151</v>
      </c>
      <c r="N12" s="2">
        <f>Assumptions!$C$25*Assumptions!O9*Assumptions!O13</f>
        <v>7147818.732784831</v>
      </c>
      <c r="O12" s="2">
        <f>Assumptions!$C$25*Assumptions!P9*Assumptions!P13</f>
        <v>7416443.9148268662</v>
      </c>
      <c r="P12" s="2">
        <f>Assumptions!$C$25*Assumptions!Q9*Assumptions!Q13</f>
        <v>7695164.412814186</v>
      </c>
      <c r="Q12" s="2">
        <f>Assumptions!$C$25*Assumptions!R9*Assumptions!R13</f>
        <v>7984359.6230612481</v>
      </c>
      <c r="R12" s="2">
        <f>Assumptions!$C$25*Assumptions!S9*Assumptions!S13</f>
        <v>8284423.2001349553</v>
      </c>
      <c r="S12" s="2">
        <f>Assumptions!$C$25*Assumptions!T9*Assumptions!T13</f>
        <v>8595763.5927000698</v>
      </c>
      <c r="T12" s="2">
        <f>Assumptions!$C$25*Assumptions!U9*Assumptions!U13</f>
        <v>8918804.5995023921</v>
      </c>
      <c r="U12" s="2">
        <f>Assumptions!$C$25*Assumptions!V9*Assumptions!V13</f>
        <v>9253985.9462466501</v>
      </c>
      <c r="V12" s="2">
        <f>Assumptions!$C$25*Assumptions!W9*Assumptions!W13</f>
        <v>9601763.884154208</v>
      </c>
      <c r="W12" s="2">
        <f>Assumptions!$C$25*Assumptions!X9*Assumptions!X13</f>
        <v>9962611.8110154774</v>
      </c>
      <c r="X12" s="2">
        <f>Assumptions!$C$25*Assumptions!Y9*Assumptions!Y13</f>
        <v>10337020.915582327</v>
      </c>
      <c r="Y12" s="2">
        <f>Assumptions!$C$25*Assumptions!Z9*Assumptions!Z13</f>
        <v>10725500.846177708</v>
      </c>
      <c r="Z12" s="2">
        <f>Assumptions!$C$25*Assumptions!AA9*Assumptions!AA13</f>
        <v>11128580.40443253</v>
      </c>
      <c r="AA12" s="2">
        <f>Assumptions!$C$25*Assumptions!AB9*Assumptions!AB13</f>
        <v>11546808.265094209</v>
      </c>
      <c r="AB12" s="2">
        <f>Assumptions!$C$25*Assumptions!AC9*Assumptions!AC13</f>
        <v>11980753.722886607</v>
      </c>
      <c r="AC12" s="2">
        <f>Assumptions!$C$25*Assumptions!AD9*Assumptions!AD13</f>
        <v>12431007.467438035</v>
      </c>
      <c r="AD12" s="2">
        <f>Assumptions!$C$25*Assumptions!AE9*Assumptions!AE13</f>
        <v>12898182.387332147</v>
      </c>
      <c r="AE12" s="2">
        <f>Assumptions!$C$25*Assumptions!AF9*Assumptions!AF13</f>
        <v>13382914.404376255</v>
      </c>
      <c r="AF12" s="2">
        <f>Assumptions!$C$25*Assumptions!AG9*Assumptions!AG13</f>
        <v>13885863.339222549</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561589</v>
      </c>
      <c r="D14" s="5">
        <f>Assumptions!E122*Assumptions!E9</f>
        <v>1147887.916</v>
      </c>
      <c r="E14" s="5">
        <f>Assumptions!F122*Assumptions!F9</f>
        <v>1759712.1752279999</v>
      </c>
      <c r="F14" s="5">
        <f>Assumptions!G122*Assumptions!G9</f>
        <v>2397901.124110688</v>
      </c>
      <c r="G14" s="5">
        <f>Assumptions!H122*Assumptions!H9</f>
        <v>3063318.6860514041</v>
      </c>
      <c r="H14" s="5">
        <f>Assumptions!I122*Assumptions!I9</f>
        <v>3756854.0365734422</v>
      </c>
      <c r="I14" s="5">
        <f>Assumptions!J122*Assumptions!J9</f>
        <v>4479422.2962744012</v>
      </c>
      <c r="J14" s="5">
        <f>Assumptions!K122*Assumptions!K9</f>
        <v>5231965.2420485001</v>
      </c>
      <c r="K14" s="5">
        <f>Assumptions!L122*Assumptions!L9</f>
        <v>6015452.0370452628</v>
      </c>
      <c r="L14" s="5">
        <f>Assumptions!M122*Assumptions!M9</f>
        <v>6830879.9798447313</v>
      </c>
      <c r="M14" s="5">
        <f>Assumptions!N122*Assumptions!N9</f>
        <v>7679275.2733414471</v>
      </c>
      <c r="N14" s="5">
        <f>Assumptions!O122*Assumptions!O9</f>
        <v>8561693.8138417732</v>
      </c>
      <c r="O14" s="5">
        <f>Assumptions!P122*Assumptions!P9</f>
        <v>9479222.0008918159</v>
      </c>
      <c r="P14" s="5">
        <f>Assumptions!Q122*Assumptions!Q9</f>
        <v>10432977.568366161</v>
      </c>
      <c r="Q14" s="5">
        <f>Assumptions!R122*Assumptions!R9</f>
        <v>11424110.437360948</v>
      </c>
      <c r="R14" s="5">
        <f>Assumptions!S122*Assumptions!S9</f>
        <v>12453803.591448415</v>
      </c>
      <c r="S14" s="5">
        <f>Assumptions!T122*Assumptions!T9</f>
        <v>13523273.974864047</v>
      </c>
      <c r="T14" s="5">
        <f>Assumptions!U122*Assumptions!U9</f>
        <v>14633773.414211709</v>
      </c>
      <c r="U14" s="5">
        <f>Assumptions!V122*Assumptions!V9</f>
        <v>15786589.564286832</v>
      </c>
      <c r="V14" s="5">
        <f>Assumptions!W122*Assumptions!W9</f>
        <v>16983046.878632784</v>
      </c>
      <c r="W14" s="5">
        <f>Assumptions!X122*Assumptions!X9</f>
        <v>18224507.605460841</v>
      </c>
      <c r="X14" s="5">
        <f>Assumptions!Y122*Assumptions!Y9</f>
        <v>19512372.809580073</v>
      </c>
      <c r="Y14" s="5">
        <f>Assumptions!Z122*Assumptions!Z9</f>
        <v>20848083.420999508</v>
      </c>
      <c r="Z14" s="5">
        <f>Assumptions!AA122*Assumptions!AA9</f>
        <v>22233121.310881566</v>
      </c>
      <c r="AA14" s="5">
        <f>Assumptions!AB122*Assumptions!AB9</f>
        <v>23669010.395542666</v>
      </c>
      <c r="AB14" s="5">
        <f>Assumptions!AC122*Assumptions!AC9</f>
        <v>25157317.769214392</v>
      </c>
      <c r="AC14" s="5">
        <f>Assumptions!AD122*Assumptions!AD9</f>
        <v>26699654.866296232</v>
      </c>
      <c r="AD14" s="5">
        <f>Assumptions!AE122*Assumptions!AE9</f>
        <v>28297678.653849367</v>
      </c>
      <c r="AE14" s="5">
        <f>Assumptions!AF122*Assumptions!AF9</f>
        <v>29953092.855099559</v>
      </c>
      <c r="AF14" s="5">
        <f>Assumptions!AG122*Assumptions!AG9</f>
        <v>31667649.204736292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5325125.3018928282</v>
      </c>
      <c r="D27" s="2">
        <f t="shared" ref="D27:AF27" si="8">D12+D13+D14+D19+D20+D22+D24+D25</f>
        <v>6090444.6791127855</v>
      </c>
      <c r="E27" s="2">
        <f t="shared" si="8"/>
        <v>6888017.2428066675</v>
      </c>
      <c r="F27" s="2">
        <f t="shared" si="8"/>
        <v>7718935.1813077983</v>
      </c>
      <c r="G27" s="2">
        <f t="shared" si="8"/>
        <v>8584324.7620841879</v>
      </c>
      <c r="H27" s="2">
        <f t="shared" si="8"/>
        <v>9485347.3639864326</v>
      </c>
      <c r="I27" s="2">
        <f t="shared" si="8"/>
        <v>10423200.540727161</v>
      </c>
      <c r="J27" s="2">
        <f t="shared" si="8"/>
        <v>11399119.116553301</v>
      </c>
      <c r="K27" s="2">
        <f t="shared" si="8"/>
        <v>12414376.315102901</v>
      </c>
      <c r="L27" s="2">
        <f t="shared" si="8"/>
        <v>13470284.922469631</v>
      </c>
      <c r="M27" s="2">
        <f t="shared" si="8"/>
        <v>14568198.485530598</v>
      </c>
      <c r="N27" s="2">
        <f t="shared" si="8"/>
        <v>15709512.546626605</v>
      </c>
      <c r="O27" s="2">
        <f t="shared" si="8"/>
        <v>16895665.915718682</v>
      </c>
      <c r="P27" s="2">
        <f t="shared" si="8"/>
        <v>18128141.981180348</v>
      </c>
      <c r="Q27" s="2">
        <f t="shared" si="8"/>
        <v>19408470.060422197</v>
      </c>
      <c r="R27" s="2">
        <f t="shared" si="8"/>
        <v>20738226.79158337</v>
      </c>
      <c r="S27" s="2">
        <f t="shared" si="8"/>
        <v>22119037.567564115</v>
      </c>
      <c r="T27" s="2">
        <f t="shared" si="8"/>
        <v>23552578.013714101</v>
      </c>
      <c r="U27" s="2">
        <f t="shared" si="8"/>
        <v>25040575.510533482</v>
      </c>
      <c r="V27" s="2">
        <f t="shared" si="8"/>
        <v>26584810.762786992</v>
      </c>
      <c r="W27" s="2">
        <f t="shared" si="8"/>
        <v>28187119.416476317</v>
      </c>
      <c r="X27" s="2">
        <f t="shared" si="8"/>
        <v>29849393.725162402</v>
      </c>
      <c r="Y27" s="2">
        <f t="shared" si="8"/>
        <v>31573584.267177217</v>
      </c>
      <c r="Z27" s="2">
        <f t="shared" si="8"/>
        <v>33361701.715314098</v>
      </c>
      <c r="AA27" s="2">
        <f t="shared" si="8"/>
        <v>35215818.660636872</v>
      </c>
      <c r="AB27" s="2">
        <f t="shared" si="8"/>
        <v>37138071.492100999</v>
      </c>
      <c r="AC27" s="2">
        <f t="shared" si="8"/>
        <v>39130662.333734266</v>
      </c>
      <c r="AD27" s="2">
        <f t="shared" si="8"/>
        <v>41195861.041181512</v>
      </c>
      <c r="AE27" s="2">
        <f t="shared" si="8"/>
        <v>43336007.259475812</v>
      </c>
      <c r="AF27" s="2">
        <f t="shared" si="8"/>
        <v>45553512.543958843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3W2DU3RAJ5R2-1900874439-933</_dlc_DocId>
    <_dlc_DocIdUrl xmlns="f54e2983-00ce-40fc-8108-18f351fc47bf">
      <Url>https://dia.cohesion.net.nz/Sites/LGV/TWRP/CAE/_layouts/15/DocIdRedir.aspx?ID=3W2DU3RAJ5R2-1900874439-933</Url>
      <Description>3W2DU3RAJ5R2-1900874439-933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3A59639D-AE25-44A3-BD49-156631C5262C}"/>
</file>

<file path=customXml/itemProps3.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1FDD33B1-B500-4F7C-BDC2-AAEB52EFF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2021-07-20T15:09:22Z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69958831-0506-4528-bf38-4067a9f05642</vt:lpwstr>
  </property>
  <property fmtid="{D5CDD505-2E9C-101B-9397-08002B2CF9AE}" pid="10" name="TaxKeyword">
    <vt:lpwstr/>
  </property>
  <property fmtid="{D5CDD505-2E9C-101B-9397-08002B2CF9AE}" pid="11" name="DIAAdministrationDocumentType">
    <vt:lpwstr/>
  </property>
  <property fmtid="{D5CDD505-2E9C-101B-9397-08002B2CF9AE}" pid="12" name="ld855601a22744588946efdda84ef6c0">
    <vt:lpwstr/>
  </property>
  <property fmtid="{D5CDD505-2E9C-101B-9397-08002B2CF9AE}" pid="13" name="le8f14e3a5174dcd8947229fe72147e2">
    <vt:lpwstr/>
  </property>
  <property fmtid="{D5CDD505-2E9C-101B-9397-08002B2CF9AE}" pid="14" name="DIABriefingType">
    <vt:lpwstr/>
  </property>
  <property fmtid="{D5CDD505-2E9C-101B-9397-08002B2CF9AE}" pid="15" name="h6a4697b39e74ba095548f0435f03d14">
    <vt:lpwstr/>
  </property>
  <property fmtid="{D5CDD505-2E9C-101B-9397-08002B2CF9AE}" pid="16" name="DIABriefingAudience">
    <vt:lpwstr/>
  </property>
  <property fmtid="{D5CDD505-2E9C-101B-9397-08002B2CF9AE}" pid="17" name="C3Topic">
    <vt:lpwstr/>
  </property>
  <property fmtid="{D5CDD505-2E9C-101B-9397-08002B2CF9AE}" pid="18" name="DIAMediaDocumentType">
    <vt:lpwstr/>
  </property>
  <property fmtid="{D5CDD505-2E9C-101B-9397-08002B2CF9AE}" pid="19" name="DIAReportDocumentType">
    <vt:lpwstr/>
  </property>
  <property fmtid="{D5CDD505-2E9C-101B-9397-08002B2CF9AE}" pid="20" name="b6dab2e87b6a495ebad2906ab9494053">
    <vt:lpwstr/>
  </property>
  <property fmtid="{D5CDD505-2E9C-101B-9397-08002B2CF9AE}" pid="21" name="o548e6814ab94c938ba56a3d768e8f45">
    <vt:lpwstr/>
  </property>
  <property fmtid="{D5CDD505-2E9C-101B-9397-08002B2CF9AE}" pid="22" name="DIAMeetingDocumentType">
    <vt:lpwstr/>
  </property>
  <property fmtid="{D5CDD505-2E9C-101B-9397-08002B2CF9AE}" pid="23" name="_docset_NoMedatataSyncRequired">
    <vt:lpwstr>False</vt:lpwstr>
  </property>
  <property fmtid="{D5CDD505-2E9C-101B-9397-08002B2CF9AE}" pid="24" name="DIAPlanningDocumentType">
    <vt:lpwstr/>
  </property>
  <property fmtid="{D5CDD505-2E9C-101B-9397-08002B2CF9AE}" pid="25" name="a5be7c9889484186a869be5aa1b9c3a4">
    <vt:lpwstr/>
  </property>
</Properties>
</file>