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606" documentId="8_{20811380-2070-42B6-88D7-C0AE1D930AFE}" xr6:coauthVersionLast="47" xr6:coauthVersionMax="47" xr10:uidLastSave="{F16A0954-98A9-44EA-ABB9-E3002DF03712}"/>
  <bookViews>
    <workbookView xWindow="-110" yWindow="-110" windowWidth="22780" windowHeight="1466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<sst xmlns="http://schemas.openxmlformats.org/spreadsheetml/2006/main" count="276" uniqueCount="204">
  <si>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</si>
  <si>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</si>
  <si>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</si>
  <si>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</si>
  <si>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</si>
  <si>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</si>
  <si>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</si>
  <si>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</si>
  <si>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</si>
  <si>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</si>
  <si>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</si>
  <si>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</si>
  <si>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</si>
  <si>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</si>
  <si>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</si>
  <si>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</si>
  <si>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</si>
  <si>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</si>
  <si>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</si>
  <si>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</si>
  <si>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</si>
  <si>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</si>
  <si>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</si>
  <si>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</si>
  <si>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</si>
  <si>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</si>
  <si>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</si>
  <si>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</si>
  <si>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</si>
  <si>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</si>
  <si>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</si>
  <si>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</si>
  <si>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</si>
  <si>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</si>
  <si>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</si>
  <si>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</si>
  <si>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</si>
  <si>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</si>
  <si>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</si>
  <si>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</si>
  <si>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</si>
  <si>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</si>
  <si>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</si>
  <si>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</si>
  <si>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</si>
  <si>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</si>
  <si>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</si>
  <si>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</si>
  <si>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</si>
  <si>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</si>
  <si>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</si>
  <si>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</si>
  <si>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</si>
  <si>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</si>
  <si>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</si>
  <si>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</si>
  <si>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</si>
  <si>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</si>
  <si>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</si>
  <si>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</si>
  <si>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</si>
  <si>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</si>
  <si>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</si>
  <si>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</si>
  <si>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</si>
  <si>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</si>
  <si>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</si>
  <si>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</si>
  <si>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</si>
  <si>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</si>
  <si>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</si>
  <si>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</si>
  <si>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</si>
  <si>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</si>
  <si>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</si>
  <si>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</si>
  <si>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</si>
  <si>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</si>
  <si>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</si>
  <si>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</si>
  <si>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</si>
  <si>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</si>
  <si>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</si>
  <si>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</si>
  <si>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</si>
  <si>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</si>
  <si>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</si>
  <si>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</si>
  <si>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</si>
  <si>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</si>
  <si>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</si>
  <si>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</si>
  <si>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</si>
  <si>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</si>
  <si>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</si>
  <si>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</si>
  <si>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</si>
  <si>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</si>
  <si>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</si>
  <si>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</si>
  <si>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</si>
  <si>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</si>
  <si>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</si>
  <si>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</si>
  <si>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</si>
  <si>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</si>
  <si>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</si>
  <si>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</si>
  <si>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</si>
  <si>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</si>
  <si>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</si>
  <si>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</si>
  <si>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</si>
  <si>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</si>
  <si>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</si>
  <si>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</si>
  <si>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</si>
  <si>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</si>
  <si>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</si>
  <si>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</si>
  <si>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</si>
  <si>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</si>
  <si>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</si>
  <si>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</si>
  <si>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</si>
  <si>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</si>
  <si>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</si>
  <si>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</si>
  <si>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</si>
  <si>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</si>
  <si>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</si>
  <si>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</si>
  <si>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</si>
  <si>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</si>
  <si>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</si>
  <si>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</si>
  <si>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</si>
  <si>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</si>
  <si>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</si>
  <si>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</si>
  <si>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</si>
  <si>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</si>
  <si>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</si>
  <si>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</si>
  <si>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</si>
  <si>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</si>
  <si>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</si>
  <si>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</si>
  <si>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</si>
  <si>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</si>
  <si>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</si>
  <si>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</si>
  <si>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</si>
  <si>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</si>
  <si>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</si>
  <si>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</si>
  <si>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</si>
  <si>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</si>
  <si>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</si>
  <si>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</si>
  <si>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</si>
  <si>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</si>
  <si>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</si>
  <si>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</si>
  <si>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</si>
  <si>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</si>
  <si>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</si>
  <si>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</si>
  <si>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</si>
  <si>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</si>
  <si>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</si>
  <si>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</si>
  <si>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</si>
  <si>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</si>
  <si>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</si>
  <si>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</si>
  <si>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</si>
  <si>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</si>
  <si>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</si>
  <si>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</si>
  <si>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</si>
  <si>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</si>
  <si>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</si>
  <si>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</si>
  <si>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</si>
  <si>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</si>
  <si>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</si>
  <si>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</si>
  <si>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</si>
  <si>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</si>
  <si>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</si>
  <si>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</si>
  <si>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</si>
  <si>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</si>
  <si>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</si>
  <si>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</si>
  <si>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</si>
  <si>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Rotorua Lakes Stand-alone Council</t>
  </si>
  <si>
    <t>RFI Table F10; Lines F10.62 + F10.70 - F10.61</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</si>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</sst>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0" fillId="0" borderId="11" xfId="0" applyBorder="1" applyAlignment="1">
      <alignment vertical="top"/>
    </xf>
    <xf numFmtId="1" fontId="10" fillId="0" borderId="9" xfId="0" applyNumberFormat="1" applyFont="1" applyFill="1" applyBorder="1" applyAlignment="1">
      <alignment vertical="top"/>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197</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1007043750.0000002</v>
      </c>
      <c r="C6" s="12">
        <f ca="1">B6+Depreciation!C18+'Cash Flow'!C13</f>
        <v>1022795417.050526</v>
      </c>
      <c r="D6" s="1">
        <f ca="1">C6+Depreciation!D18</f>
        <v>1085566444.5951002</v>
      </c>
      <c r="E6" s="1">
        <f ca="1">D6+Depreciation!E18</f>
        <v>1151470463.0421314</v>
      </c>
      <c r="F6" s="1">
        <f ca="1">E6+Depreciation!F18</f>
        <v>1220643706.2771714</v>
      </c>
      <c r="G6" s="1">
        <f ca="1">F6+Depreciation!G18</f>
        <v>1293219946.4186385</v>
      </c>
      <c r="H6" s="1">
        <f ca="1">G6+Depreciation!H18</f>
        <v>1369345950.3152604</v>
      </c>
      <c r="I6" s="1">
        <f ca="1">H6+Depreciation!I18</f>
        <v>1449174387.1264288</v>
      </c>
      <c r="J6" s="1">
        <f ca="1">I6+Depreciation!J18</f>
        <v>1532864055.5866482</v>
      </c>
      <c r="K6" s="1">
        <f ca="1">J6+Depreciation!K18</f>
        <v>1620580119.7647612</v>
      </c>
      <c r="L6" s="1">
        <f ca="1">K6+Depreciation!L18</f>
        <v>1712499946.5211241</v>
      </c>
      <c r="M6" s="1">
        <f ca="1">L6+Depreciation!M18</f>
        <v>1808802665.3769884</v>
      </c>
      <c r="N6" s="1">
        <f ca="1">M6+Depreciation!N18</f>
        <v>1909674562.6147988</v>
      </c>
      <c r="O6" s="1">
        <f ca="1">N6+Depreciation!O18</f>
        <v>2015309355.7904568</v>
      </c>
      <c r="P6" s="1">
        <f ca="1">O6+Depreciation!P18</f>
        <v>2125908478.4829125</v>
      </c>
      <c r="Q6" s="1">
        <f ca="1">P6+Depreciation!Q18</f>
        <v>2241682830.7154369</v>
      </c>
      <c r="R6" s="1">
        <f ca="1">Q6+Depreciation!R18</f>
        <v>2362850303.3564</v>
      </c>
      <c r="S6" s="1">
        <f ca="1">R6+Depreciation!S18</f>
        <v>2489637430.6074629</v>
      </c>
      <c r="T6" s="1">
        <f ca="1">S6+Depreciation!T18</f>
        <v>2622279719.9848442</v>
      </c>
      <c r="U6" s="1">
        <f ca="1">T6+Depreciation!U18</f>
        <v>2761021994.5663199</v>
      </c>
      <c r="V6" s="1">
        <f ca="1">U6+Depreciation!V18</f>
        <v>2906122156.5177569</v>
      </c>
      <c r="W6" s="1">
        <f ca="1">V6+Depreciation!W18</f>
        <v>3057845038.5416613</v>
      </c>
      <c r="X6" s="1">
        <f ca="1">W6+Depreciation!X18</f>
        <v>3216465912.1568327</v>
      </c>
      <c r="Y6" s="1">
        <f ca="1">X6+Depreciation!Y18</f>
        <v>3382270884.5939198</v>
      </c>
      <c r="Z6" s="1">
        <f ca="1">Y6+Depreciation!Z18</f>
        <v>3555557310.4029431</v>
      </c>
      <c r="AA6" s="1">
        <f ca="1">Z6+Depreciation!AA18</f>
        <v>3736634218.3079314</v>
      </c>
      <c r="AB6" s="1">
        <f ca="1">AA6+Depreciation!AB18</f>
        <v>3925822753.8629975</v>
      </c>
      <c r="AC6" s="1">
        <f ca="1">AB6+Depreciation!AC18</f>
        <v>4123456638.4840522</v>
      </c>
      <c r="AD6" s="1">
        <f ca="1">AC6+Depreciation!AD18</f>
        <v>4329882645.4509096</v>
      </c>
      <c r="AE6" s="1">
        <f ca="1">AD6+Depreciation!AE18</f>
        <v>4545461093.4958496</v>
      </c>
      <c r="AF6" s="1"/>
      <c r="AG6" s="1"/>
      <c r="AH6" s="1"/>
      <c r="AI6" s="1"/>
      <c r="AJ6" s="1"/>
      <c r="AK6" s="1"/>
      <c r="AL6" s="1"/>
      <c r="AM6" s="1"/>
      <c r="AN6" s="1"/>
      <c r="AO6" s="1"/>
      <c r="AP6" s="1"/>
    </row>
    <row r="7" spans="1:42" x14ac:dyDescent="0.35">
      <c r="A7" t="s">
        <v>12</v>
      </c>
      <c r="B7" s="1">
        <f>Depreciation!C12</f>
        <v>519304428.44044495</v>
      </c>
      <c r="C7" s="1">
        <f>Depreciation!D12</f>
        <v>536681479.03771919</v>
      </c>
      <c r="D7" s="1">
        <f>Depreciation!E12</f>
        <v>555738913.27513683</v>
      </c>
      <c r="E7" s="1">
        <f>Depreciation!F12</f>
        <v>576566481.6058557</v>
      </c>
      <c r="F7" s="1">
        <f>Depreciation!G12</f>
        <v>599257770.94247389</v>
      </c>
      <c r="G7" s="1">
        <f>Depreciation!H12</f>
        <v>623910539.19336152</v>
      </c>
      <c r="H7" s="1">
        <f>Depreciation!I12</f>
        <v>650626886.18397093</v>
      </c>
      <c r="I7" s="1">
        <f>Depreciation!J12</f>
        <v>679513431.23998094</v>
      </c>
      <c r="J7" s="1">
        <f>Depreciation!K12</f>
        <v>710681497.68341553</v>
      </c>
      <c r="K7" s="1">
        <f>Depreciation!L12</f>
        <v>744247435.58554161</v>
      </c>
      <c r="L7" s="1">
        <f>Depreciation!M12</f>
        <v>780332702.35071242</v>
      </c>
      <c r="M7" s="1">
        <f>Depreciation!N12</f>
        <v>819064070.35399735</v>
      </c>
      <c r="N7" s="1">
        <f>Depreciation!O12</f>
        <v>860573842.63486242</v>
      </c>
      <c r="O7" s="1">
        <f>Depreciation!P12</f>
        <v>905000076.94977617</v>
      </c>
      <c r="P7" s="1">
        <f>Depreciation!Q12</f>
        <v>952486852.60072494</v>
      </c>
      <c r="Q7" s="1">
        <f>Depreciation!R12</f>
        <v>1003184481.3264693</v>
      </c>
      <c r="R7" s="1">
        <f>Depreciation!S12</f>
        <v>1057249758.5715804</v>
      </c>
      <c r="S7" s="1">
        <f>Depreciation!T12</f>
        <v>1114846224.4524512</v>
      </c>
      <c r="T7" s="1">
        <f>Depreciation!U12</f>
        <v>1176144434.7835197</v>
      </c>
      <c r="U7" s="1">
        <f>Depreciation!V12</f>
        <v>1241322322.4285364</v>
      </c>
      <c r="V7" s="1">
        <f>Depreciation!W12</f>
        <v>1310565417.3682151</v>
      </c>
      <c r="W7" s="1">
        <f>Depreciation!X12</f>
        <v>1384067150.7124655</v>
      </c>
      <c r="X7" s="1">
        <f>Depreciation!Y12</f>
        <v>1462029170.3899624</v>
      </c>
      <c r="Y7" s="1">
        <f>Depreciation!Z12</f>
        <v>1544661668.9510887</v>
      </c>
      <c r="Z7" s="1">
        <f>Depreciation!AA12</f>
        <v>1632183723.9362469</v>
      </c>
      <c r="AA7" s="1">
        <f>Depreciation!AB12</f>
        <v>1724823651.2780485</v>
      </c>
      <c r="AB7" s="1">
        <f>Depreciation!AC12</f>
        <v>1822819372.2230139</v>
      </c>
      <c r="AC7" s="1">
        <f>Depreciation!AD12</f>
        <v>1926418794.2761476</v>
      </c>
      <c r="AD7" s="1">
        <f>Depreciation!AE12</f>
        <v>2035880206.6901248</v>
      </c>
      <c r="AE7" s="1">
        <f>Depreciation!AF12</f>
        <v>2151472691.0398569</v>
      </c>
      <c r="AF7" s="1"/>
      <c r="AG7" s="1"/>
      <c r="AH7" s="1"/>
      <c r="AI7" s="1"/>
      <c r="AJ7" s="1"/>
      <c r="AK7" s="1"/>
      <c r="AL7" s="1"/>
      <c r="AM7" s="1"/>
      <c r="AN7" s="1"/>
      <c r="AO7" s="1"/>
      <c r="AP7" s="1"/>
    </row>
    <row r="8" spans="1:42" x14ac:dyDescent="0.35">
      <c r="A8" t="s">
        <v>190</v>
      </c>
      <c r="B8" s="1">
        <f t="shared" ref="B8:AE8" si="1">B6-B7</f>
        <v>487739321.55955529</v>
      </c>
      <c r="C8" s="1">
        <f t="shared" ca="1" si="1"/>
        <v>486113938.01280683</v>
      </c>
      <c r="D8" s="1">
        <f ca="1">D6-D7</f>
        <v>529827531.31996334</v>
      </c>
      <c r="E8" s="1">
        <f t="shared" ca="1" si="1"/>
        <v>574903981.43627572</v>
      </c>
      <c r="F8" s="1">
        <f t="shared" ca="1" si="1"/>
        <v>621385935.33469748</v>
      </c>
      <c r="G8" s="1">
        <f t="shared" ca="1" si="1"/>
        <v>669309407.22527695</v>
      </c>
      <c r="H8" s="1">
        <f t="shared" ca="1" si="1"/>
        <v>718719064.13128948</v>
      </c>
      <c r="I8" s="1">
        <f t="shared" ca="1" si="1"/>
        <v>769660955.88644791</v>
      </c>
      <c r="J8" s="1">
        <f t="shared" ca="1" si="1"/>
        <v>822182557.90323269</v>
      </c>
      <c r="K8" s="1">
        <f t="shared" ca="1" si="1"/>
        <v>876332684.1792196</v>
      </c>
      <c r="L8" s="1">
        <f t="shared" ca="1" si="1"/>
        <v>932167244.17041171</v>
      </c>
      <c r="M8" s="1">
        <f t="shared" ca="1" si="1"/>
        <v>989738595.02299106</v>
      </c>
      <c r="N8" s="1">
        <f t="shared" ca="1" si="1"/>
        <v>1049100719.9799364</v>
      </c>
      <c r="O8" s="1">
        <f t="shared" ca="1" si="1"/>
        <v>1110309278.8406806</v>
      </c>
      <c r="P8" s="1">
        <f t="shared" ca="1" si="1"/>
        <v>1173421625.8821876</v>
      </c>
      <c r="Q8" s="1">
        <f t="shared" ca="1" si="1"/>
        <v>1238498349.3889675</v>
      </c>
      <c r="R8" s="1">
        <f t="shared" ca="1" si="1"/>
        <v>1305600544.7848196</v>
      </c>
      <c r="S8" s="1">
        <f t="shared" ca="1" si="1"/>
        <v>1374791206.1550117</v>
      </c>
      <c r="T8" s="1">
        <f t="shared" ca="1" si="1"/>
        <v>1446135285.2013245</v>
      </c>
      <c r="U8" s="1">
        <f t="shared" ca="1" si="1"/>
        <v>1519699672.1377835</v>
      </c>
      <c r="V8" s="1">
        <f t="shared" ca="1" si="1"/>
        <v>1595556739.1495419</v>
      </c>
      <c r="W8" s="1">
        <f t="shared" ca="1" si="1"/>
        <v>1673777887.8291957</v>
      </c>
      <c r="X8" s="1">
        <f t="shared" ca="1" si="1"/>
        <v>1754436741.7668703</v>
      </c>
      <c r="Y8" s="1">
        <f t="shared" ca="1" si="1"/>
        <v>1837609215.6428311</v>
      </c>
      <c r="Z8" s="1">
        <f t="shared" ca="1" si="1"/>
        <v>1923373586.4666963</v>
      </c>
      <c r="AA8" s="1">
        <f t="shared" ca="1" si="1"/>
        <v>2011810567.0298829</v>
      </c>
      <c r="AB8" s="1">
        <f t="shared" ca="1" si="1"/>
        <v>2103003381.6399837</v>
      </c>
      <c r="AC8" s="1">
        <f t="shared" ca="1" si="1"/>
        <v>2197037844.2079048</v>
      </c>
      <c r="AD8" s="1">
        <f t="shared" ca="1" si="1"/>
        <v>2294002438.7607851</v>
      </c>
      <c r="AE8" s="1">
        <f t="shared" ca="1" si="1"/>
        <v>2393988402.4559927</v>
      </c>
      <c r="AF8" s="1"/>
      <c r="AG8" s="1"/>
      <c r="AH8" s="1"/>
      <c r="AI8" s="1"/>
      <c r="AJ8" s="1"/>
      <c r="AK8" s="1"/>
      <c r="AL8" s="1"/>
      <c r="AM8" s="1"/>
      <c r="AN8" s="1"/>
      <c r="AO8" s="1"/>
      <c r="AP8" s="1"/>
    </row>
    <row r="10" spans="1:42" x14ac:dyDescent="0.35">
      <c r="A10" t="s">
        <v>17</v>
      </c>
      <c r="B10" s="1">
        <f>B8-B11</f>
        <v>422863135.09457886</v>
      </c>
      <c r="C10" s="1">
        <f ca="1">C8-C11</f>
        <v>377220453.387272</v>
      </c>
      <c r="D10" s="1">
        <f ca="1">D8-D11</f>
        <v>379863519.5680877</v>
      </c>
      <c r="E10" s="1">
        <f t="shared" ref="E10:AE10" ca="1" si="2">E8-E11</f>
        <v>387731632.35444844</v>
      </c>
      <c r="F10" s="1">
        <f t="shared" ca="1" si="2"/>
        <v>402941121.71108556</v>
      </c>
      <c r="G10" s="1">
        <f ca="1">G8-G11</f>
        <v>425681148.24825895</v>
      </c>
      <c r="H10" s="1">
        <f t="shared" ca="1" si="2"/>
        <v>453459677.86017448</v>
      </c>
      <c r="I10" s="1">
        <f t="shared" ca="1" si="2"/>
        <v>483222388.11498278</v>
      </c>
      <c r="J10" s="1">
        <f t="shared" ca="1" si="2"/>
        <v>515354530.08867961</v>
      </c>
      <c r="K10" s="1">
        <f t="shared" ca="1" si="2"/>
        <v>549067530.26539314</v>
      </c>
      <c r="L10" s="1">
        <f t="shared" ca="1" si="2"/>
        <v>584624165.3175509</v>
      </c>
      <c r="M10" s="1">
        <f t="shared" ca="1" si="2"/>
        <v>622325293.2990706</v>
      </c>
      <c r="N10" s="1">
        <f t="shared" ca="1" si="2"/>
        <v>662506994.67230248</v>
      </c>
      <c r="O10" s="1">
        <f t="shared" ca="1" si="2"/>
        <v>703968143.37743783</v>
      </c>
      <c r="P10" s="1">
        <f t="shared" ca="1" si="2"/>
        <v>746877417.65930057</v>
      </c>
      <c r="Q10" s="1">
        <f t="shared" ca="1" si="2"/>
        <v>791420681.42583179</v>
      </c>
      <c r="R10" s="1">
        <f t="shared" ca="1" si="2"/>
        <v>837806601.23372698</v>
      </c>
      <c r="S10" s="1">
        <f t="shared" ca="1" si="2"/>
        <v>886266675.71725237</v>
      </c>
      <c r="T10" s="1">
        <f t="shared" ca="1" si="2"/>
        <v>937057185.45908368</v>
      </c>
      <c r="U10" s="1">
        <f t="shared" ca="1" si="2"/>
        <v>990461206.01354134</v>
      </c>
      <c r="V10" s="1">
        <f t="shared" ca="1" si="2"/>
        <v>1044487005.5299528</v>
      </c>
      <c r="W10" s="1">
        <f t="shared" ca="1" si="2"/>
        <v>1099162575.9532657</v>
      </c>
      <c r="X10" s="1">
        <f t="shared" ca="1" si="2"/>
        <v>1154520985.4109049</v>
      </c>
      <c r="Y10" s="1">
        <f t="shared" ca="1" si="2"/>
        <v>1210600905.4126549</v>
      </c>
      <c r="Z10" s="1">
        <f t="shared" ca="1" si="2"/>
        <v>1267447178.6951835</v>
      </c>
      <c r="AA10" s="1">
        <f t="shared" ca="1" si="2"/>
        <v>1325111430.3761334</v>
      </c>
      <c r="AB10" s="1">
        <f t="shared" ca="1" si="2"/>
        <v>1381254887.4889441</v>
      </c>
      <c r="AC10" s="1">
        <f t="shared" ca="1" si="2"/>
        <v>1435660224.2567351</v>
      </c>
      <c r="AD10" s="1">
        <f t="shared" ca="1" si="2"/>
        <v>1488096451.2863674</v>
      </c>
      <c r="AE10" s="1">
        <f t="shared" ca="1" si="2"/>
        <v>1538318234.2260537</v>
      </c>
      <c r="AF10" s="1"/>
      <c r="AG10" s="1"/>
      <c r="AH10" s="1"/>
      <c r="AI10" s="1"/>
      <c r="AJ10" s="1"/>
      <c r="AK10" s="1"/>
      <c r="AL10" s="1"/>
      <c r="AM10" s="1"/>
      <c r="AN10" s="1"/>
      <c r="AO10" s="1"/>
    </row>
    <row r="11" spans="1:42" x14ac:dyDescent="0.35">
      <c r="A11" t="s">
        <v>9</v>
      </c>
      <c r="B11" s="1">
        <f>Assumptions!$C$20</f>
        <v>64876186.4649764</v>
      </c>
      <c r="C11" s="1">
        <f ca="1">'Debt worksheet'!D5</f>
        <v>108893484.62553486</v>
      </c>
      <c r="D11" s="1">
        <f ca="1">'Debt worksheet'!E5</f>
        <v>149964011.75187564</v>
      </c>
      <c r="E11" s="1">
        <f ca="1">'Debt worksheet'!F5</f>
        <v>187172349.08182725</v>
      </c>
      <c r="F11" s="1">
        <f ca="1">'Debt worksheet'!G5</f>
        <v>218444813.62361193</v>
      </c>
      <c r="G11" s="1">
        <f ca="1">'Debt worksheet'!H5</f>
        <v>243628258.977018</v>
      </c>
      <c r="H11" s="1">
        <f ca="1">'Debt worksheet'!I5</f>
        <v>265259386.27111501</v>
      </c>
      <c r="I11" s="1">
        <f ca="1">'Debt worksheet'!J5</f>
        <v>286438567.77146512</v>
      </c>
      <c r="J11" s="1">
        <f ca="1">'Debt worksheet'!K5</f>
        <v>306828027.81455308</v>
      </c>
      <c r="K11" s="1">
        <f ca="1">'Debt worksheet'!L5</f>
        <v>327265153.91382647</v>
      </c>
      <c r="L11" s="1">
        <f ca="1">'Debt worksheet'!M5</f>
        <v>347543078.85286087</v>
      </c>
      <c r="M11" s="1">
        <f ca="1">'Debt worksheet'!N5</f>
        <v>367413301.72392046</v>
      </c>
      <c r="N11" s="1">
        <f ca="1">'Debt worksheet'!O5</f>
        <v>386593725.30763382</v>
      </c>
      <c r="O11" s="1">
        <f ca="1">'Debt worksheet'!P5</f>
        <v>406341135.46324277</v>
      </c>
      <c r="P11" s="1">
        <f ca="1">'Debt worksheet'!Q5</f>
        <v>426544208.2228871</v>
      </c>
      <c r="Q11" s="1">
        <f ca="1">'Debt worksheet'!R5</f>
        <v>447077667.96313578</v>
      </c>
      <c r="R11" s="1">
        <f ca="1">'Debt worksheet'!S5</f>
        <v>467793943.55109268</v>
      </c>
      <c r="S11" s="1">
        <f ca="1">'Debt worksheet'!T5</f>
        <v>488524530.43775928</v>
      </c>
      <c r="T11" s="1">
        <f ca="1">'Debt worksheet'!U5</f>
        <v>509078099.74224079</v>
      </c>
      <c r="U11" s="1">
        <f ca="1">'Debt worksheet'!V5</f>
        <v>529238466.12424219</v>
      </c>
      <c r="V11" s="1">
        <f ca="1">'Debt worksheet'!W5</f>
        <v>551069733.61958909</v>
      </c>
      <c r="W11" s="1">
        <f ca="1">'Debt worksheet'!X5</f>
        <v>574615311.87592995</v>
      </c>
      <c r="X11" s="1">
        <f ca="1">'Debt worksheet'!Y5</f>
        <v>599915756.3559655</v>
      </c>
      <c r="Y11" s="1">
        <f ca="1">'Debt worksheet'!Z5</f>
        <v>627008310.23017633</v>
      </c>
      <c r="Z11" s="1">
        <f ca="1">'Debt worksheet'!AA5</f>
        <v>655926407.77151275</v>
      </c>
      <c r="AA11" s="1">
        <f ca="1">'Debt worksheet'!AB5</f>
        <v>686699136.65374959</v>
      </c>
      <c r="AB11" s="1">
        <f ca="1">'Debt worksheet'!AC5</f>
        <v>721748494.15103948</v>
      </c>
      <c r="AC11" s="1">
        <f ca="1">'Debt worksheet'!AD5</f>
        <v>761377619.95116973</v>
      </c>
      <c r="AD11" s="1">
        <f ca="1">'Debt worksheet'!AE5</f>
        <v>805905987.47441757</v>
      </c>
      <c r="AE11" s="1">
        <f ca="1">'Debt worksheet'!AF5</f>
        <v>855670168.22993898</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-30886.389919033274</v>
      </c>
      <c r="D5" s="4">
        <f ca="1">'Profit and Loss'!D9</f>
        <v>4323449.8209591191</v>
      </c>
      <c r="E5" s="4">
        <f ca="1">'Profit and Loss'!E9</f>
        <v>9638246.8796618916</v>
      </c>
      <c r="F5" s="4">
        <f ca="1">'Profit and Loss'!F9</f>
        <v>17073210.362536449</v>
      </c>
      <c r="G5" s="4">
        <f ca="1">'Profit and Loss'!G9</f>
        <v>24701505.451442771</v>
      </c>
      <c r="H5" s="4">
        <f ca="1">'Profit and Loss'!H9</f>
        <v>29842108.351637356</v>
      </c>
      <c r="I5" s="4">
        <f ca="1">'Profit and Loss'!I9</f>
        <v>31932908.320208907</v>
      </c>
      <c r="J5" s="4">
        <f ca="1">'Profit and Loss'!J9</f>
        <v>34413663.361121424</v>
      </c>
      <c r="K5" s="4">
        <f ca="1">'Profit and Loss'!K9</f>
        <v>36110871.635404989</v>
      </c>
      <c r="L5" s="4">
        <f ca="1">'Profit and Loss'!L9</f>
        <v>38075963.915202439</v>
      </c>
      <c r="M5" s="4">
        <f ca="1">'Profit and Loss'!M9</f>
        <v>40347229.21963378</v>
      </c>
      <c r="N5" s="4">
        <f ca="1">'Profit and Loss'!N9</f>
        <v>42960105.650812052</v>
      </c>
      <c r="O5" s="4">
        <f ca="1">'Profit and Loss'!O9</f>
        <v>44377610.739183977</v>
      </c>
      <c r="P5" s="4">
        <f ca="1">'Profit and Loss'!P9</f>
        <v>45969815.617897622</v>
      </c>
      <c r="Q5" s="4">
        <f ca="1">'Profit and Loss'!Q9</f>
        <v>47754116.841327123</v>
      </c>
      <c r="R5" s="4">
        <f ca="1">'Profit and Loss'!R9</f>
        <v>49753568.327261992</v>
      </c>
      <c r="S5" s="4">
        <f ca="1">'Profit and Loss'!S9</f>
        <v>51991263.119285285</v>
      </c>
      <c r="T5" s="4">
        <f ca="1">'Profit and Loss'!T9</f>
        <v>54492254.192029104</v>
      </c>
      <c r="U5" s="4">
        <f ca="1">'Profit and Loss'!U9</f>
        <v>57283697.868405953</v>
      </c>
      <c r="V5" s="4">
        <f ca="1">'Profit and Loss'!V9</f>
        <v>58091006.811073378</v>
      </c>
      <c r="W5" s="4">
        <f ca="1">'Profit and Loss'!W9</f>
        <v>58934208.827884912</v>
      </c>
      <c r="X5" s="4">
        <f ca="1">'Profit and Loss'!X9</f>
        <v>59818695.790885493</v>
      </c>
      <c r="Y5" s="4">
        <f ca="1">'Profit and Loss'!Y9</f>
        <v>60750398.885379642</v>
      </c>
      <c r="Z5" s="4">
        <f ca="1">'Profit and Loss'!Z9</f>
        <v>61735829.70656091</v>
      </c>
      <c r="AA5" s="4">
        <f ca="1">'Profit and Loss'!AA9</f>
        <v>62782124.037593208</v>
      </c>
      <c r="AB5" s="4">
        <f ca="1">'Profit and Loss'!AB9</f>
        <v>61499250.715974718</v>
      </c>
      <c r="AC5" s="4">
        <f ca="1">'Profit and Loss'!AC9</f>
        <v>60009037.87595883</v>
      </c>
      <c r="AD5" s="4">
        <f ca="1">'Profit and Loss'!AD9</f>
        <v>58298217.390476167</v>
      </c>
      <c r="AE5" s="4">
        <f ca="1">'Profit and Loss'!AE9</f>
        <v>56352854.875441767</v>
      </c>
      <c r="AF5" s="4">
        <f ca="1">'Profit and Loss'!AF9</f>
        <v>54158319.987325951</v>
      </c>
      <c r="AG5" s="4"/>
      <c r="AH5" s="4"/>
      <c r="AI5" s="4"/>
      <c r="AJ5" s="4"/>
      <c r="AK5" s="4"/>
      <c r="AL5" s="4"/>
      <c r="AM5" s="4"/>
      <c r="AN5" s="4"/>
      <c r="AO5" s="4"/>
      <c r="AP5" s="4"/>
    </row>
    <row r="6" spans="1:42" x14ac:dyDescent="0.35">
      <c r="A6" t="s">
        <v>21</v>
      </c>
      <c r="C6" s="4">
        <f>Depreciation!C8+Depreciation!C9</f>
        <v>15782553.440444823</v>
      </c>
      <c r="D6" s="4">
        <f>Depreciation!D8+Depreciation!D9</f>
        <v>17377050.597274255</v>
      </c>
      <c r="E6" s="4">
        <f>Depreciation!E8+Depreciation!E9</f>
        <v>19057434.237417754</v>
      </c>
      <c r="F6" s="4">
        <f>Depreciation!F8+Depreciation!F9</f>
        <v>20827568.33071883</v>
      </c>
      <c r="G6" s="4">
        <f>Depreciation!G8+Depreciation!G9</f>
        <v>22691289.336618207</v>
      </c>
      <c r="H6" s="4">
        <f>Depreciation!H8+Depreciation!H9</f>
        <v>24652768.25088761</v>
      </c>
      <c r="I6" s="4">
        <f>Depreciation!I8+Depreciation!I9</f>
        <v>26716346.99060943</v>
      </c>
      <c r="J6" s="4">
        <f>Depreciation!J8+Depreciation!J9</f>
        <v>28886545.056009956</v>
      </c>
      <c r="K6" s="4">
        <f>Depreciation!K8+Depreciation!K9</f>
        <v>31168066.443434559</v>
      </c>
      <c r="L6" s="4">
        <f>Depreciation!L8+Depreciation!L9</f>
        <v>33565937.902126148</v>
      </c>
      <c r="M6" s="4">
        <f>Depreciation!M8+Depreciation!M9</f>
        <v>36085266.76517082</v>
      </c>
      <c r="N6" s="4">
        <f>Depreciation!N8+Depreciation!N9</f>
        <v>38731368.003284901</v>
      </c>
      <c r="O6" s="4">
        <f>Depreciation!O8+Depreciation!O9</f>
        <v>41509772.280865058</v>
      </c>
      <c r="P6" s="4">
        <f>Depreciation!P8+Depreciation!P9</f>
        <v>44426234.314913735</v>
      </c>
      <c r="Q6" s="4">
        <f>Depreciation!Q8+Depreciation!Q9</f>
        <v>47486775.650948778</v>
      </c>
      <c r="R6" s="4">
        <f>Depreciation!R8+Depreciation!R9</f>
        <v>50697628.725744411</v>
      </c>
      <c r="S6" s="4">
        <f>Depreciation!S8+Depreciation!S9</f>
        <v>54065277.245111078</v>
      </c>
      <c r="T6" s="4">
        <f>Depreciation!T8+Depreciation!T9</f>
        <v>57596465.880870879</v>
      </c>
      <c r="U6" s="4">
        <f>Depreciation!U8+Depreciation!U9</f>
        <v>61298210.331068523</v>
      </c>
      <c r="V6" s="4">
        <f>Depreciation!V8+Depreciation!V9</f>
        <v>65177887.645016819</v>
      </c>
      <c r="W6" s="4">
        <f>Depreciation!W8+Depreciation!W9</f>
        <v>69243094.939678788</v>
      </c>
      <c r="X6" s="4">
        <f>Depreciation!X8+Depreciation!X9</f>
        <v>73501733.34425059</v>
      </c>
      <c r="Y6" s="4">
        <f>Depreciation!Y8+Depreciation!Y9</f>
        <v>77962019.677496776</v>
      </c>
      <c r="Z6" s="4">
        <f>Depreciation!Z8+Depreciation!Z9</f>
        <v>82632498.561126217</v>
      </c>
      <c r="AA6" s="4">
        <f>Depreciation!AA8+Depreciation!AA9</f>
        <v>87522054.985158205</v>
      </c>
      <c r="AB6" s="4">
        <f>Depreciation!AB8+Depreciation!AB9</f>
        <v>92639927.341801614</v>
      </c>
      <c r="AC6" s="4">
        <f>Depreciation!AC8+Depreciation!AC9</f>
        <v>97995720.944965392</v>
      </c>
      <c r="AD6" s="4">
        <f>Depreciation!AD8+Depreciation!AD9</f>
        <v>103599422.05313367</v>
      </c>
      <c r="AE6" s="4">
        <f>Depreciation!AE8+Depreciation!AE9</f>
        <v>109461412.41397706</v>
      </c>
      <c r="AF6" s="4">
        <f>Depreciation!AF8+Depreciation!AF9</f>
        <v>115592484.34973198</v>
      </c>
      <c r="AG6" s="4"/>
      <c r="AH6" s="4"/>
      <c r="AI6" s="4"/>
      <c r="AJ6" s="4"/>
      <c r="AK6" s="4"/>
      <c r="AL6" s="4"/>
      <c r="AM6" s="4"/>
      <c r="AN6" s="4"/>
      <c r="AO6" s="4"/>
      <c r="AP6" s="4"/>
    </row>
    <row r="7" spans="1:42" x14ac:dyDescent="0.35">
      <c r="A7" t="s">
        <v>23</v>
      </c>
      <c r="C7" s="4">
        <f ca="1">C6+C5</f>
        <v>15751667.05052579</v>
      </c>
      <c r="D7" s="4">
        <f ca="1">D6+D5</f>
        <v>21700500.418233372</v>
      </c>
      <c r="E7" s="4">
        <f t="shared" ref="E7:AF7" ca="1" si="1">E6+E5</f>
        <v>28695681.117079645</v>
      </c>
      <c r="F7" s="4">
        <f t="shared" ca="1" si="1"/>
        <v>37900778.693255275</v>
      </c>
      <c r="G7" s="4">
        <f ca="1">G6+G5</f>
        <v>47392794.788060978</v>
      </c>
      <c r="H7" s="4">
        <f t="shared" ca="1" si="1"/>
        <v>54494876.602524966</v>
      </c>
      <c r="I7" s="4">
        <f t="shared" ca="1" si="1"/>
        <v>58649255.310818337</v>
      </c>
      <c r="J7" s="4">
        <f t="shared" ca="1" si="1"/>
        <v>63300208.417131379</v>
      </c>
      <c r="K7" s="4">
        <f t="shared" ca="1" si="1"/>
        <v>67278938.07883954</v>
      </c>
      <c r="L7" s="4">
        <f t="shared" ca="1" si="1"/>
        <v>71641901.817328587</v>
      </c>
      <c r="M7" s="4">
        <f t="shared" ca="1" si="1"/>
        <v>76432495.9848046</v>
      </c>
      <c r="N7" s="4">
        <f t="shared" ca="1" si="1"/>
        <v>81691473.654096961</v>
      </c>
      <c r="O7" s="4">
        <f t="shared" ca="1" si="1"/>
        <v>85887383.020049036</v>
      </c>
      <c r="P7" s="4">
        <f t="shared" ca="1" si="1"/>
        <v>90396049.93281135</v>
      </c>
      <c r="Q7" s="4">
        <f t="shared" ca="1" si="1"/>
        <v>95240892.492275894</v>
      </c>
      <c r="R7" s="4">
        <f t="shared" ca="1" si="1"/>
        <v>100451197.05300641</v>
      </c>
      <c r="S7" s="4">
        <f t="shared" ca="1" si="1"/>
        <v>106056540.36439636</v>
      </c>
      <c r="T7" s="4">
        <f t="shared" ca="1" si="1"/>
        <v>112088720.07289998</v>
      </c>
      <c r="U7" s="4">
        <f t="shared" ca="1" si="1"/>
        <v>118581908.19947448</v>
      </c>
      <c r="V7" s="4">
        <f t="shared" ca="1" si="1"/>
        <v>123268894.4560902</v>
      </c>
      <c r="W7" s="4">
        <f t="shared" ca="1" si="1"/>
        <v>128177303.7675637</v>
      </c>
      <c r="X7" s="4">
        <f t="shared" ca="1" si="1"/>
        <v>133320429.13513608</v>
      </c>
      <c r="Y7" s="4">
        <f t="shared" ca="1" si="1"/>
        <v>138712418.5628764</v>
      </c>
      <c r="Z7" s="4">
        <f t="shared" ca="1" si="1"/>
        <v>144368328.26768714</v>
      </c>
      <c r="AA7" s="4">
        <f t="shared" ca="1" si="1"/>
        <v>150304179.02275142</v>
      </c>
      <c r="AB7" s="4">
        <f t="shared" ca="1" si="1"/>
        <v>154139178.05777633</v>
      </c>
      <c r="AC7" s="4">
        <f t="shared" ca="1" si="1"/>
        <v>158004758.82092422</v>
      </c>
      <c r="AD7" s="4">
        <f t="shared" ca="1" si="1"/>
        <v>161897639.44360983</v>
      </c>
      <c r="AE7" s="4">
        <f t="shared" ca="1" si="1"/>
        <v>165814267.28941882</v>
      </c>
      <c r="AF7" s="4">
        <f t="shared" ca="1" si="1"/>
        <v>169750804.33705795</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59768965.211084262</v>
      </c>
      <c r="D10" s="9">
        <f>Investment!D25</f>
        <v>62771027.544574149</v>
      </c>
      <c r="E10" s="9">
        <f>Investment!E25</f>
        <v>65904018.447031252</v>
      </c>
      <c r="F10" s="9">
        <f>Investment!F25</f>
        <v>69173243.235039964</v>
      </c>
      <c r="G10" s="9">
        <f>Investment!G25</f>
        <v>72576240.14146705</v>
      </c>
      <c r="H10" s="9">
        <f>Investment!H25</f>
        <v>76126003.896621972</v>
      </c>
      <c r="I10" s="9">
        <f>Investment!I25</f>
        <v>79828436.811168462</v>
      </c>
      <c r="J10" s="9">
        <f>Investment!J25</f>
        <v>83689668.460219353</v>
      </c>
      <c r="K10" s="9">
        <f>Investment!K25</f>
        <v>87716064.178112894</v>
      </c>
      <c r="L10" s="9">
        <f>Investment!L25</f>
        <v>91919826.756363004</v>
      </c>
      <c r="M10" s="9">
        <f>Investment!M25</f>
        <v>96302718.855864182</v>
      </c>
      <c r="N10" s="9">
        <f>Investment!N25</f>
        <v>100871897.23781031</v>
      </c>
      <c r="O10" s="9">
        <f>Investment!O25</f>
        <v>105634793.17565802</v>
      </c>
      <c r="P10" s="9">
        <f>Investment!P25</f>
        <v>110599122.69245568</v>
      </c>
      <c r="Q10" s="9">
        <f>Investment!Q25</f>
        <v>115774352.23252459</v>
      </c>
      <c r="R10" s="9">
        <f>Investment!R25</f>
        <v>121167472.6409633</v>
      </c>
      <c r="S10" s="9">
        <f>Investment!S25</f>
        <v>126787127.25106299</v>
      </c>
      <c r="T10" s="9">
        <f>Investment!T25</f>
        <v>132642289.37738147</v>
      </c>
      <c r="U10" s="9">
        <f>Investment!U25</f>
        <v>138742274.58147585</v>
      </c>
      <c r="V10" s="9">
        <f>Investment!V25</f>
        <v>145100161.95143715</v>
      </c>
      <c r="W10" s="9">
        <f>Investment!W25</f>
        <v>151722882.02390456</v>
      </c>
      <c r="X10" s="9">
        <f>Investment!X25</f>
        <v>158620873.61517161</v>
      </c>
      <c r="Y10" s="9">
        <f>Investment!Y25</f>
        <v>165804972.43708724</v>
      </c>
      <c r="Z10" s="9">
        <f>Investment!Z25</f>
        <v>173286425.80902356</v>
      </c>
      <c r="AA10" s="9">
        <f>Investment!AA25</f>
        <v>181076907.90498829</v>
      </c>
      <c r="AB10" s="9">
        <f>Investment!AB25</f>
        <v>189188535.55506626</v>
      </c>
      <c r="AC10" s="9">
        <f>Investment!AC25</f>
        <v>197633884.62105453</v>
      </c>
      <c r="AD10" s="9">
        <f>Investment!AD25</f>
        <v>206426006.96685764</v>
      </c>
      <c r="AE10" s="9">
        <f>Investment!AE25</f>
        <v>215578448.0449402</v>
      </c>
      <c r="AF10" s="9">
        <f>Investment!AF25</f>
        <v>225105265.12088597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-44017298.16055847</v>
      </c>
      <c r="D12" s="1">
        <f t="shared" ref="D12:AF12" ca="1" si="2">D7-D9-D10</f>
        <v>-41070527.126340777</v>
      </c>
      <c r="E12" s="1">
        <f ca="1">E7-E9-E10</f>
        <v>-37208337.329951607</v>
      </c>
      <c r="F12" s="1">
        <f t="shared" ca="1" si="2"/>
        <v>-31272464.541784689</v>
      </c>
      <c r="G12" s="1">
        <f ca="1">G7-G9-G10</f>
        <v>-25183445.353406072</v>
      </c>
      <c r="H12" s="1">
        <f t="shared" ca="1" si="2"/>
        <v>-21631127.294097006</v>
      </c>
      <c r="I12" s="1">
        <f t="shared" ca="1" si="2"/>
        <v>-21179181.500350125</v>
      </c>
      <c r="J12" s="1">
        <f t="shared" ca="1" si="2"/>
        <v>-20389460.043087974</v>
      </c>
      <c r="K12" s="1">
        <f t="shared" ca="1" si="2"/>
        <v>-20437126.099273354</v>
      </c>
      <c r="L12" s="1">
        <f t="shared" ca="1" si="2"/>
        <v>-20277924.939034417</v>
      </c>
      <c r="M12" s="1">
        <f t="shared" ca="1" si="2"/>
        <v>-19870222.871059582</v>
      </c>
      <c r="N12" s="1">
        <f t="shared" ca="1" si="2"/>
        <v>-19180423.583713353</v>
      </c>
      <c r="O12" s="1">
        <f t="shared" ca="1" si="2"/>
        <v>-19747410.155608982</v>
      </c>
      <c r="P12" s="1">
        <f t="shared" ca="1" si="2"/>
        <v>-20203072.75964433</v>
      </c>
      <c r="Q12" s="1">
        <f t="shared" ca="1" si="2"/>
        <v>-20533459.740248695</v>
      </c>
      <c r="R12" s="1">
        <f t="shared" ca="1" si="2"/>
        <v>-20716275.58795689</v>
      </c>
      <c r="S12" s="1">
        <f t="shared" ca="1" si="2"/>
        <v>-20730586.886666626</v>
      </c>
      <c r="T12" s="1">
        <f t="shared" ca="1" si="2"/>
        <v>-20553569.304481491</v>
      </c>
      <c r="U12" s="1">
        <f t="shared" ca="1" si="2"/>
        <v>-20160366.38200137</v>
      </c>
      <c r="V12" s="1">
        <f t="shared" ca="1" si="2"/>
        <v>-21831267.495346949</v>
      </c>
      <c r="W12" s="1">
        <f t="shared" ca="1" si="2"/>
        <v>-23545578.256340861</v>
      </c>
      <c r="X12" s="1">
        <f t="shared" ca="1" si="2"/>
        <v>-25300444.480035529</v>
      </c>
      <c r="Y12" s="1">
        <f t="shared" ca="1" si="2"/>
        <v>-27092553.874210835</v>
      </c>
      <c r="Z12" s="1">
        <f t="shared" ca="1" si="2"/>
        <v>-28918097.541336417</v>
      </c>
      <c r="AA12" s="1">
        <f t="shared" ca="1" si="2"/>
        <v>-30772728.882236868</v>
      </c>
      <c r="AB12" s="1">
        <f t="shared" ca="1" si="2"/>
        <v>-35049357.497289926</v>
      </c>
      <c r="AC12" s="1">
        <f t="shared" ca="1" si="2"/>
        <v>-39629125.800130308</v>
      </c>
      <c r="AD12" s="1">
        <f t="shared" ca="1" si="2"/>
        <v>-44528367.523247808</v>
      </c>
      <c r="AE12" s="1">
        <f t="shared" ca="1" si="2"/>
        <v>-49764180.755521387</v>
      </c>
      <c r="AF12" s="1">
        <f t="shared" ca="1" si="2"/>
        <v>-55354460.78382802</v>
      </c>
      <c r="AG12" s="1"/>
      <c r="AH12" s="1"/>
      <c r="AI12" s="1"/>
      <c r="AJ12" s="1"/>
      <c r="AK12" s="1"/>
      <c r="AL12" s="1"/>
      <c r="AM12" s="1"/>
      <c r="AN12" s="1"/>
      <c r="AO12" s="1"/>
      <c r="AP12" s="1"/>
    </row>
    <row r="13" spans="1:42" x14ac:dyDescent="0.35">
      <c r="A13" t="s">
        <v>19</v>
      </c>
      <c r="C13" s="1">
        <f ca="1">C12</f>
        <v>-44017298.16055847</v>
      </c>
      <c r="D13" s="1">
        <f ca="1">D12</f>
        <v>-41070527.126340777</v>
      </c>
      <c r="E13" s="1">
        <f ca="1">E12</f>
        <v>-37208337.329951607</v>
      </c>
      <c r="F13" s="1">
        <f t="shared" ref="F13:AF13" ca="1" si="3">F12</f>
        <v>-31272464.541784689</v>
      </c>
      <c r="G13" s="1">
        <f ca="1">G12</f>
        <v>-25183445.353406072</v>
      </c>
      <c r="H13" s="1">
        <f t="shared" ca="1" si="3"/>
        <v>-21631127.294097006</v>
      </c>
      <c r="I13" s="1">
        <f t="shared" ca="1" si="3"/>
        <v>-21179181.500350125</v>
      </c>
      <c r="J13" s="1">
        <f t="shared" ca="1" si="3"/>
        <v>-20389460.043087974</v>
      </c>
      <c r="K13" s="1">
        <f t="shared" ca="1" si="3"/>
        <v>-20437126.099273354</v>
      </c>
      <c r="L13" s="1">
        <f t="shared" ca="1" si="3"/>
        <v>-20277924.939034417</v>
      </c>
      <c r="M13" s="1">
        <f t="shared" ca="1" si="3"/>
        <v>-19870222.871059582</v>
      </c>
      <c r="N13" s="1">
        <f t="shared" ca="1" si="3"/>
        <v>-19180423.583713353</v>
      </c>
      <c r="O13" s="1">
        <f t="shared" ca="1" si="3"/>
        <v>-19747410.155608982</v>
      </c>
      <c r="P13" s="1">
        <f t="shared" ca="1" si="3"/>
        <v>-20203072.75964433</v>
      </c>
      <c r="Q13" s="1">
        <f t="shared" ca="1" si="3"/>
        <v>-20533459.740248695</v>
      </c>
      <c r="R13" s="1">
        <f t="shared" ca="1" si="3"/>
        <v>-20716275.58795689</v>
      </c>
      <c r="S13" s="1">
        <f t="shared" ca="1" si="3"/>
        <v>-20730586.886666626</v>
      </c>
      <c r="T13" s="1">
        <f t="shared" ca="1" si="3"/>
        <v>-20553569.304481491</v>
      </c>
      <c r="U13" s="1">
        <f t="shared" ca="1" si="3"/>
        <v>-20160366.38200137</v>
      </c>
      <c r="V13" s="1">
        <f t="shared" ca="1" si="3"/>
        <v>-21831267.495346949</v>
      </c>
      <c r="W13" s="1">
        <f t="shared" ca="1" si="3"/>
        <v>-23545578.256340861</v>
      </c>
      <c r="X13" s="1">
        <f t="shared" ca="1" si="3"/>
        <v>-25300444.480035529</v>
      </c>
      <c r="Y13" s="1">
        <f t="shared" ca="1" si="3"/>
        <v>-27092553.874210835</v>
      </c>
      <c r="Z13" s="1">
        <f t="shared" ca="1" si="3"/>
        <v>-28918097.541336417</v>
      </c>
      <c r="AA13" s="1">
        <f t="shared" ca="1" si="3"/>
        <v>-30772728.882236868</v>
      </c>
      <c r="AB13" s="1">
        <f t="shared" ca="1" si="3"/>
        <v>-35049357.497289926</v>
      </c>
      <c r="AC13" s="1">
        <f t="shared" ca="1" si="3"/>
        <v>-39629125.800130308</v>
      </c>
      <c r="AD13" s="1">
        <f t="shared" ca="1" si="3"/>
        <v>-44528367.523247808</v>
      </c>
      <c r="AE13" s="1">
        <f t="shared" ca="1" si="3"/>
        <v>-49764180.755521387</v>
      </c>
      <c r="AF13" s="1">
        <f t="shared" ca="1" si="3"/>
        <v>-55354460.78382802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1007043750.0000002</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503521875.00000012</v>
      </c>
      <c r="D7" s="9">
        <f>C12</f>
        <v>519304428.44044495</v>
      </c>
      <c r="E7" s="9">
        <f>D12</f>
        <v>536681479.03771919</v>
      </c>
      <c r="F7" s="9">
        <f t="shared" ref="F7:H7" si="1">E12</f>
        <v>555738913.27513683</v>
      </c>
      <c r="G7" s="9">
        <f t="shared" si="1"/>
        <v>576566481.6058557</v>
      </c>
      <c r="H7" s="9">
        <f t="shared" si="1"/>
        <v>599257770.94247389</v>
      </c>
      <c r="I7" s="9">
        <f t="shared" ref="I7" si="2">H12</f>
        <v>623910539.19336152</v>
      </c>
      <c r="J7" s="9">
        <f t="shared" ref="J7" si="3">I12</f>
        <v>650626886.18397093</v>
      </c>
      <c r="K7" s="9">
        <f t="shared" ref="K7" si="4">J12</f>
        <v>679513431.23998094</v>
      </c>
      <c r="L7" s="9">
        <f t="shared" ref="L7" si="5">K12</f>
        <v>710681497.68341553</v>
      </c>
      <c r="M7" s="9">
        <f t="shared" ref="M7" si="6">L12</f>
        <v>744247435.58554161</v>
      </c>
      <c r="N7" s="9">
        <f t="shared" ref="N7" si="7">M12</f>
        <v>780332702.35071242</v>
      </c>
      <c r="O7" s="9">
        <f t="shared" ref="O7" si="8">N12</f>
        <v>819064070.35399735</v>
      </c>
      <c r="P7" s="9">
        <f t="shared" ref="P7" si="9">O12</f>
        <v>860573842.63486242</v>
      </c>
      <c r="Q7" s="9">
        <f t="shared" ref="Q7" si="10">P12</f>
        <v>905000076.94977617</v>
      </c>
      <c r="R7" s="9">
        <f t="shared" ref="R7" si="11">Q12</f>
        <v>952486852.60072494</v>
      </c>
      <c r="S7" s="9">
        <f t="shared" ref="S7" si="12">R12</f>
        <v>1003184481.3264693</v>
      </c>
      <c r="T7" s="9">
        <f t="shared" ref="T7" si="13">S12</f>
        <v>1057249758.5715804</v>
      </c>
      <c r="U7" s="9">
        <f t="shared" ref="U7" si="14">T12</f>
        <v>1114846224.4524512</v>
      </c>
      <c r="V7" s="9">
        <f t="shared" ref="V7" si="15">U12</f>
        <v>1176144434.7835197</v>
      </c>
      <c r="W7" s="9">
        <f t="shared" ref="W7" si="16">V12</f>
        <v>1241322322.4285364</v>
      </c>
      <c r="X7" s="9">
        <f t="shared" ref="X7" si="17">W12</f>
        <v>1310565417.3682151</v>
      </c>
      <c r="Y7" s="9">
        <f t="shared" ref="Y7" si="18">X12</f>
        <v>1384067150.7124655</v>
      </c>
      <c r="Z7" s="9">
        <f t="shared" ref="Z7" si="19">Y12</f>
        <v>1462029170.3899624</v>
      </c>
      <c r="AA7" s="9">
        <f t="shared" ref="AA7" si="20">Z12</f>
        <v>1544661668.9510887</v>
      </c>
      <c r="AB7" s="9">
        <f t="shared" ref="AB7" si="21">AA12</f>
        <v>1632183723.9362469</v>
      </c>
      <c r="AC7" s="9">
        <f t="shared" ref="AC7" si="22">AB12</f>
        <v>1724823651.2780485</v>
      </c>
      <c r="AD7" s="9">
        <f t="shared" ref="AD7" si="23">AC12</f>
        <v>1822819372.2230139</v>
      </c>
      <c r="AE7" s="9">
        <f t="shared" ref="AE7" si="24">AD12</f>
        <v>1926418794.2761476</v>
      </c>
      <c r="AF7" s="9">
        <f t="shared" ref="AF7" si="25">AE12</f>
        <v>2035880206.6901248</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14726879.557949478</v>
      </c>
      <c r="D8" s="9">
        <f>Assumptions!E111*Assumptions!E11</f>
        <v>15198139.703803862</v>
      </c>
      <c r="E8" s="9">
        <f>Assumptions!F111*Assumptions!F11</f>
        <v>15684480.174325584</v>
      </c>
      <c r="F8" s="9">
        <f>Assumptions!G111*Assumptions!G11</f>
        <v>16186383.539904002</v>
      </c>
      <c r="G8" s="9">
        <f>Assumptions!H111*Assumptions!H11</f>
        <v>16704347.813180933</v>
      </c>
      <c r="H8" s="9">
        <f>Assumptions!I111*Assumptions!I11</f>
        <v>17238886.943202719</v>
      </c>
      <c r="I8" s="9">
        <f>Assumptions!J111*Assumptions!J11</f>
        <v>17790531.325385205</v>
      </c>
      <c r="J8" s="9">
        <f>Assumptions!K111*Assumptions!K11</f>
        <v>18359828.327797532</v>
      </c>
      <c r="K8" s="9">
        <f>Assumptions!L111*Assumptions!L11</f>
        <v>18947342.834287055</v>
      </c>
      <c r="L8" s="9">
        <f>Assumptions!M111*Assumptions!M11</f>
        <v>19553657.804984238</v>
      </c>
      <c r="M8" s="9">
        <f>Assumptions!N111*Assumptions!N11</f>
        <v>20179374.854743734</v>
      </c>
      <c r="N8" s="9">
        <f>Assumptions!O111*Assumptions!O11</f>
        <v>20825114.850095537</v>
      </c>
      <c r="O8" s="9">
        <f>Assumptions!P111*Assumptions!P11</f>
        <v>21491518.525298595</v>
      </c>
      <c r="P8" s="9">
        <f>Assumptions!Q111*Assumptions!Q11</f>
        <v>22179247.118108146</v>
      </c>
      <c r="Q8" s="9">
        <f>Assumptions!R111*Assumptions!R11</f>
        <v>22888983.025887601</v>
      </c>
      <c r="R8" s="9">
        <f>Assumptions!S111*Assumptions!S11</f>
        <v>23621430.482716013</v>
      </c>
      <c r="S8" s="9">
        <f>Assumptions!T111*Assumptions!T11</f>
        <v>24377316.258162927</v>
      </c>
      <c r="T8" s="9">
        <f>Assumptions!U111*Assumptions!U11</f>
        <v>25157390.378424134</v>
      </c>
      <c r="U8" s="9">
        <f>Assumptions!V111*Assumptions!V11</f>
        <v>25962426.870533705</v>
      </c>
      <c r="V8" s="9">
        <f>Assumptions!W111*Assumptions!W11</f>
        <v>26793224.530390788</v>
      </c>
      <c r="W8" s="9">
        <f>Assumptions!X111*Assumptions!X11</f>
        <v>27650607.715363294</v>
      </c>
      <c r="X8" s="9">
        <f>Assumptions!Y111*Assumptions!Y11</f>
        <v>28535427.162254918</v>
      </c>
      <c r="Y8" s="9">
        <f>Assumptions!Z111*Assumptions!Z11</f>
        <v>29448560.831447069</v>
      </c>
      <c r="Z8" s="9">
        <f>Assumptions!AA111*Assumptions!AA11</f>
        <v>30390914.778053377</v>
      </c>
      <c r="AA8" s="9">
        <f>Assumptions!AB111*Assumptions!AB11</f>
        <v>31363424.050951093</v>
      </c>
      <c r="AB8" s="9">
        <f>Assumptions!AC111*Assumptions!AC11</f>
        <v>32367053.620581523</v>
      </c>
      <c r="AC8" s="9">
        <f>Assumptions!AD111*Assumptions!AD11</f>
        <v>33402799.336440127</v>
      </c>
      <c r="AD8" s="9">
        <f>Assumptions!AE111*Assumptions!AE11</f>
        <v>34471688.915206216</v>
      </c>
      <c r="AE8" s="9">
        <f>Assumptions!AF111*Assumptions!AF11</f>
        <v>35574782.960492812</v>
      </c>
      <c r="AF8" s="9">
        <f>Assumptions!AG111*Assumptions!AG11</f>
        <v>36713176.015228577</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1055673.8824953465</v>
      </c>
      <c r="D9" s="9">
        <f>Assumptions!E120*Assumptions!E11</f>
        <v>2178910.8934703949</v>
      </c>
      <c r="E9" s="9">
        <f>Assumptions!F120*Assumptions!F11</f>
        <v>3372954.0630921717</v>
      </c>
      <c r="F9" s="9">
        <f>Assumptions!G120*Assumptions!G11</f>
        <v>4641184.7908148272</v>
      </c>
      <c r="G9" s="9">
        <f>Assumptions!H120*Assumptions!H11</f>
        <v>5986941.5234372746</v>
      </c>
      <c r="H9" s="9">
        <f>Assumptions!I120*Assumptions!I11</f>
        <v>7413881.3076848909</v>
      </c>
      <c r="I9" s="9">
        <f>Assumptions!J120*Assumptions!J11</f>
        <v>8925815.6652242225</v>
      </c>
      <c r="J9" s="9">
        <f>Assumptions!K120*Assumptions!K11</f>
        <v>10526716.728212425</v>
      </c>
      <c r="K9" s="9">
        <f>Assumptions!L120*Assumptions!L11</f>
        <v>12220723.609147504</v>
      </c>
      <c r="L9" s="9">
        <f>Assumptions!M120*Assumptions!M11</f>
        <v>14012280.097141907</v>
      </c>
      <c r="M9" s="9">
        <f>Assumptions!N120*Assumptions!N11</f>
        <v>15905891.910427086</v>
      </c>
      <c r="N9" s="9">
        <f>Assumptions!O120*Assumptions!O11</f>
        <v>17906253.153189369</v>
      </c>
      <c r="O9" s="9">
        <f>Assumptions!P120*Assumptions!P11</f>
        <v>20018253.755566459</v>
      </c>
      <c r="P9" s="9">
        <f>Assumptions!Q120*Assumptions!Q11</f>
        <v>22246987.196805585</v>
      </c>
      <c r="Q9" s="9">
        <f>Assumptions!R120*Assumptions!R11</f>
        <v>24597792.62506118</v>
      </c>
      <c r="R9" s="9">
        <f>Assumptions!S120*Assumptions!S11</f>
        <v>27076198.243028402</v>
      </c>
      <c r="S9" s="9">
        <f>Assumptions!T120*Assumptions!T11</f>
        <v>29687960.986948155</v>
      </c>
      <c r="T9" s="9">
        <f>Assumptions!U120*Assumptions!U11</f>
        <v>32439075.502446748</v>
      </c>
      <c r="U9" s="9">
        <f>Assumptions!V120*Assumptions!V11</f>
        <v>35335783.460534818</v>
      </c>
      <c r="V9" s="9">
        <f>Assumptions!W120*Assumptions!W11</f>
        <v>38384663.114626028</v>
      </c>
      <c r="W9" s="9">
        <f>Assumptions!X120*Assumptions!X11</f>
        <v>41592487.224315487</v>
      </c>
      <c r="X9" s="9">
        <f>Assumptions!Y120*Assumptions!Y11</f>
        <v>44966306.181995675</v>
      </c>
      <c r="Y9" s="9">
        <f>Assumptions!Z120*Assumptions!Z11</f>
        <v>48513458.846049711</v>
      </c>
      <c r="Z9" s="9">
        <f>Assumptions!AA120*Assumptions!AA11</f>
        <v>52241583.783072844</v>
      </c>
      <c r="AA9" s="9">
        <f>Assumptions!AB120*Assumptions!AB11</f>
        <v>56158630.934207112</v>
      </c>
      <c r="AB9" s="9">
        <f>Assumptions!AC120*Assumptions!AC11</f>
        <v>60272873.721220091</v>
      </c>
      <c r="AC9" s="9">
        <f>Assumptions!AD120*Assumptions!AD11</f>
        <v>64592921.608525261</v>
      </c>
      <c r="AD9" s="9">
        <f>Assumptions!AE120*Assumptions!AE11</f>
        <v>69127733.137927443</v>
      </c>
      <c r="AE9" s="9">
        <f>Assumptions!AF120*Assumptions!AF11</f>
        <v>73886629.453484237</v>
      </c>
      <c r="AF9" s="9">
        <f>Assumptions!AG120*Assumptions!AG11</f>
        <v>78879308.334503412</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15782553.440444823</v>
      </c>
      <c r="D10" s="9">
        <f>SUM($C$8:D9)</f>
        <v>33159604.037719082</v>
      </c>
      <c r="E10" s="9">
        <f>SUM($C$8:E9)</f>
        <v>52217038.275136828</v>
      </c>
      <c r="F10" s="9">
        <f>SUM($C$8:F9)</f>
        <v>73044606.605855659</v>
      </c>
      <c r="G10" s="9">
        <f>SUM($C$8:G9)</f>
        <v>95735895.942473873</v>
      </c>
      <c r="H10" s="9">
        <f>SUM($C$8:H9)</f>
        <v>120388664.19336149</v>
      </c>
      <c r="I10" s="9">
        <f>SUM($C$8:I9)</f>
        <v>147105011.1839709</v>
      </c>
      <c r="J10" s="9">
        <f>SUM($C$8:J9)</f>
        <v>175991556.23998085</v>
      </c>
      <c r="K10" s="9">
        <f>SUM($C$8:K9)</f>
        <v>207159622.68341541</v>
      </c>
      <c r="L10" s="9">
        <f>SUM($C$8:L9)</f>
        <v>240725560.58554155</v>
      </c>
      <c r="M10" s="9">
        <f>SUM($C$8:M9)</f>
        <v>276810827.35071242</v>
      </c>
      <c r="N10" s="9">
        <f>SUM($C$8:N9)</f>
        <v>315542195.35399729</v>
      </c>
      <c r="O10" s="9">
        <f>SUM($C$8:O9)</f>
        <v>357051967.63486236</v>
      </c>
      <c r="P10" s="9">
        <f>SUM($C$8:P9)</f>
        <v>401478201.94977611</v>
      </c>
      <c r="Q10" s="9">
        <f>SUM($C$8:Q9)</f>
        <v>448964977.60072482</v>
      </c>
      <c r="R10" s="9">
        <f>SUM($C$8:R9)</f>
        <v>499662606.32646924</v>
      </c>
      <c r="S10" s="9">
        <f>SUM($C$8:S9)</f>
        <v>553727883.57158029</v>
      </c>
      <c r="T10" s="9">
        <f>SUM($C$8:T9)</f>
        <v>611324349.45245123</v>
      </c>
      <c r="U10" s="9">
        <f>SUM($C$8:U9)</f>
        <v>672622559.78351974</v>
      </c>
      <c r="V10" s="9">
        <f>SUM($C$8:V9)</f>
        <v>737800447.42853653</v>
      </c>
      <c r="W10" s="9">
        <f>SUM($C$8:W9)</f>
        <v>807043542.36821532</v>
      </c>
      <c r="X10" s="9">
        <f>SUM($C$8:X9)</f>
        <v>880545275.712466</v>
      </c>
      <c r="Y10" s="9">
        <f>SUM($C$8:Y9)</f>
        <v>958507295.38996267</v>
      </c>
      <c r="Z10" s="9">
        <f>SUM($C$8:Z9)</f>
        <v>1041139793.951089</v>
      </c>
      <c r="AA10" s="9">
        <f>SUM($C$8:AA9)</f>
        <v>1128661848.9362473</v>
      </c>
      <c r="AB10" s="9">
        <f>SUM($C$8:AB9)</f>
        <v>1221301776.278049</v>
      </c>
      <c r="AC10" s="9">
        <f>SUM($C$8:AC9)</f>
        <v>1319297497.2230144</v>
      </c>
      <c r="AD10" s="9">
        <f>SUM($C$8:AD9)</f>
        <v>1422896919.2761481</v>
      </c>
      <c r="AE10" s="9">
        <f>SUM($C$8:AE9)</f>
        <v>1532358331.6901255</v>
      </c>
      <c r="AF10" s="9">
        <f>SUM($C$8:AF9)</f>
        <v>1647950816.0398574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519304428.44044495</v>
      </c>
      <c r="D12" s="9">
        <f>D7+D8+D9</f>
        <v>536681479.03771919</v>
      </c>
      <c r="E12" s="9">
        <f>E7+E8+E9</f>
        <v>555738913.27513683</v>
      </c>
      <c r="F12" s="9">
        <f t="shared" ref="F12:H12" si="26">F7+F8+F9</f>
        <v>576566481.6058557</v>
      </c>
      <c r="G12" s="9">
        <f t="shared" si="26"/>
        <v>599257770.94247389</v>
      </c>
      <c r="H12" s="9">
        <f t="shared" si="26"/>
        <v>623910539.19336152</v>
      </c>
      <c r="I12" s="9">
        <f t="shared" ref="I12:AF12" si="27">I7+I8+I9</f>
        <v>650626886.18397093</v>
      </c>
      <c r="J12" s="9">
        <f t="shared" si="27"/>
        <v>679513431.23998094</v>
      </c>
      <c r="K12" s="9">
        <f t="shared" si="27"/>
        <v>710681497.68341553</v>
      </c>
      <c r="L12" s="9">
        <f t="shared" si="27"/>
        <v>744247435.58554161</v>
      </c>
      <c r="M12" s="9">
        <f t="shared" si="27"/>
        <v>780332702.35071242</v>
      </c>
      <c r="N12" s="9">
        <f t="shared" si="27"/>
        <v>819064070.35399735</v>
      </c>
      <c r="O12" s="9">
        <f t="shared" si="27"/>
        <v>860573842.63486242</v>
      </c>
      <c r="P12" s="9">
        <f t="shared" si="27"/>
        <v>905000076.94977617</v>
      </c>
      <c r="Q12" s="9">
        <f t="shared" si="27"/>
        <v>952486852.60072494</v>
      </c>
      <c r="R12" s="9">
        <f t="shared" si="27"/>
        <v>1003184481.3264693</v>
      </c>
      <c r="S12" s="9">
        <f t="shared" si="27"/>
        <v>1057249758.5715804</v>
      </c>
      <c r="T12" s="9">
        <f t="shared" si="27"/>
        <v>1114846224.4524512</v>
      </c>
      <c r="U12" s="9">
        <f t="shared" si="27"/>
        <v>1176144434.7835197</v>
      </c>
      <c r="V12" s="9">
        <f t="shared" si="27"/>
        <v>1241322322.4285364</v>
      </c>
      <c r="W12" s="9">
        <f t="shared" si="27"/>
        <v>1310565417.3682151</v>
      </c>
      <c r="X12" s="9">
        <f t="shared" si="27"/>
        <v>1384067150.7124655</v>
      </c>
      <c r="Y12" s="9">
        <f t="shared" si="27"/>
        <v>1462029170.3899624</v>
      </c>
      <c r="Z12" s="9">
        <f t="shared" si="27"/>
        <v>1544661668.9510887</v>
      </c>
      <c r="AA12" s="9">
        <f t="shared" si="27"/>
        <v>1632183723.9362469</v>
      </c>
      <c r="AB12" s="9">
        <f t="shared" si="27"/>
        <v>1724823651.2780485</v>
      </c>
      <c r="AC12" s="9">
        <f t="shared" si="27"/>
        <v>1822819372.2230139</v>
      </c>
      <c r="AD12" s="9">
        <f t="shared" si="27"/>
        <v>1926418794.2761476</v>
      </c>
      <c r="AE12" s="9">
        <f t="shared" si="27"/>
        <v>2035880206.6901248</v>
      </c>
      <c r="AF12" s="9">
        <f t="shared" si="27"/>
        <v>2151472691.0398569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59768965.211084262</v>
      </c>
      <c r="D18" s="9">
        <f>Investment!D25</f>
        <v>62771027.544574149</v>
      </c>
      <c r="E18" s="9">
        <f>Investment!E25</f>
        <v>65904018.447031252</v>
      </c>
      <c r="F18" s="9">
        <f>Investment!F25</f>
        <v>69173243.235039964</v>
      </c>
      <c r="G18" s="9">
        <f>Investment!G25</f>
        <v>72576240.14146705</v>
      </c>
      <c r="H18" s="9">
        <f>Investment!H25</f>
        <v>76126003.896621972</v>
      </c>
      <c r="I18" s="9">
        <f>Investment!I25</f>
        <v>79828436.811168462</v>
      </c>
      <c r="J18" s="9">
        <f>Investment!J25</f>
        <v>83689668.460219353</v>
      </c>
      <c r="K18" s="9">
        <f>Investment!K25</f>
        <v>87716064.178112894</v>
      </c>
      <c r="L18" s="9">
        <f>Investment!L25</f>
        <v>91919826.756363004</v>
      </c>
      <c r="M18" s="9">
        <f>Investment!M25</f>
        <v>96302718.855864182</v>
      </c>
      <c r="N18" s="9">
        <f>Investment!N25</f>
        <v>100871897.23781031</v>
      </c>
      <c r="O18" s="9">
        <f>Investment!O25</f>
        <v>105634793.17565802</v>
      </c>
      <c r="P18" s="9">
        <f>Investment!P25</f>
        <v>110599122.69245568</v>
      </c>
      <c r="Q18" s="9">
        <f>Investment!Q25</f>
        <v>115774352.23252459</v>
      </c>
      <c r="R18" s="9">
        <f>Investment!R25</f>
        <v>121167472.6409633</v>
      </c>
      <c r="S18" s="9">
        <f>Investment!S25</f>
        <v>126787127.25106299</v>
      </c>
      <c r="T18" s="9">
        <f>Investment!T25</f>
        <v>132642289.37738147</v>
      </c>
      <c r="U18" s="9">
        <f>Investment!U25</f>
        <v>138742274.58147585</v>
      </c>
      <c r="V18" s="9">
        <f>Investment!V25</f>
        <v>145100161.95143715</v>
      </c>
      <c r="W18" s="9">
        <f>Investment!W25</f>
        <v>151722882.02390456</v>
      </c>
      <c r="X18" s="9">
        <f>Investment!X25</f>
        <v>158620873.61517161</v>
      </c>
      <c r="Y18" s="9">
        <f>Investment!Y25</f>
        <v>165804972.43708724</v>
      </c>
      <c r="Z18" s="9">
        <f>Investment!Z25</f>
        <v>173286425.80902356</v>
      </c>
      <c r="AA18" s="9">
        <f>Investment!AA25</f>
        <v>181076907.90498829</v>
      </c>
      <c r="AB18" s="9">
        <f>Investment!AB25</f>
        <v>189188535.55506626</v>
      </c>
      <c r="AC18" s="9">
        <f>Investment!AC25</f>
        <v>197633884.62105453</v>
      </c>
      <c r="AD18" s="9">
        <f>Investment!AD25</f>
        <v>206426006.96685764</v>
      </c>
      <c r="AE18" s="9">
        <f>Investment!AE25</f>
        <v>215578448.0449402</v>
      </c>
      <c r="AF18" s="9">
        <f>Investment!AF25</f>
        <v>225105265.12088597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563290840.21108437</v>
      </c>
      <c r="D19" s="9">
        <f>D18+C20</f>
        <v>610279314.31521368</v>
      </c>
      <c r="E19" s="9">
        <f>E18+D20</f>
        <v>658806282.16497064</v>
      </c>
      <c r="F19" s="9">
        <f t="shared" ref="F19:AF19" si="28">F18+E20</f>
        <v>708922091.16259289</v>
      </c>
      <c r="G19" s="9">
        <f t="shared" si="28"/>
        <v>760670762.97334111</v>
      </c>
      <c r="H19" s="9">
        <f t="shared" si="28"/>
        <v>814105477.53334486</v>
      </c>
      <c r="I19" s="9">
        <f t="shared" si="28"/>
        <v>869281146.09362566</v>
      </c>
      <c r="J19" s="9">
        <f t="shared" si="28"/>
        <v>926254467.56323564</v>
      </c>
      <c r="K19" s="9">
        <f t="shared" si="28"/>
        <v>985083986.6853385</v>
      </c>
      <c r="L19" s="9">
        <f t="shared" si="28"/>
        <v>1045835746.9982669</v>
      </c>
      <c r="M19" s="9">
        <f t="shared" si="28"/>
        <v>1108572527.9520051</v>
      </c>
      <c r="N19" s="9">
        <f t="shared" si="28"/>
        <v>1173359158.4246447</v>
      </c>
      <c r="O19" s="9">
        <f t="shared" si="28"/>
        <v>1240262583.5970178</v>
      </c>
      <c r="P19" s="9">
        <f t="shared" si="28"/>
        <v>1309351934.0086086</v>
      </c>
      <c r="Q19" s="9">
        <f t="shared" si="28"/>
        <v>1380700051.9262197</v>
      </c>
      <c r="R19" s="9">
        <f t="shared" si="28"/>
        <v>1454380748.9162343</v>
      </c>
      <c r="S19" s="9">
        <f t="shared" si="28"/>
        <v>1530470247.4415526</v>
      </c>
      <c r="T19" s="9">
        <f t="shared" si="28"/>
        <v>1609047259.573823</v>
      </c>
      <c r="U19" s="9">
        <f t="shared" si="28"/>
        <v>1690193068.2744279</v>
      </c>
      <c r="V19" s="9">
        <f t="shared" si="28"/>
        <v>1773995019.8947966</v>
      </c>
      <c r="W19" s="9">
        <f t="shared" si="28"/>
        <v>1860540014.2736845</v>
      </c>
      <c r="X19" s="9">
        <f t="shared" si="28"/>
        <v>1949917792.9491775</v>
      </c>
      <c r="Y19" s="9">
        <f t="shared" si="28"/>
        <v>2042221032.0420144</v>
      </c>
      <c r="Z19" s="9">
        <f t="shared" si="28"/>
        <v>2137545438.1735411</v>
      </c>
      <c r="AA19" s="9">
        <f t="shared" si="28"/>
        <v>2235989847.5174031</v>
      </c>
      <c r="AB19" s="9">
        <f t="shared" si="28"/>
        <v>2337656328.0873113</v>
      </c>
      <c r="AC19" s="9">
        <f t="shared" si="28"/>
        <v>2442650285.3665643</v>
      </c>
      <c r="AD19" s="9">
        <f t="shared" si="28"/>
        <v>2551080571.3884563</v>
      </c>
      <c r="AE19" s="9">
        <f t="shared" si="28"/>
        <v>2663059597.3802624</v>
      </c>
      <c r="AF19" s="9">
        <f t="shared" si="28"/>
        <v>2778703450.0871716</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547508286.77063954</v>
      </c>
      <c r="D20" s="9">
        <f>D19-D8-D9</f>
        <v>592902263.71793938</v>
      </c>
      <c r="E20" s="9">
        <f t="shared" ref="E20:AF20" si="29">E19-E8-E9</f>
        <v>639748847.92755294</v>
      </c>
      <c r="F20" s="9">
        <f t="shared" si="29"/>
        <v>688094522.83187401</v>
      </c>
      <c r="G20" s="9">
        <f t="shared" si="29"/>
        <v>737979473.63672292</v>
      </c>
      <c r="H20" s="9">
        <f t="shared" si="29"/>
        <v>789452709.28245723</v>
      </c>
      <c r="I20" s="9">
        <f t="shared" si="29"/>
        <v>842564799.10301626</v>
      </c>
      <c r="J20" s="9">
        <f t="shared" si="29"/>
        <v>897367922.50722563</v>
      </c>
      <c r="K20" s="9">
        <f t="shared" si="29"/>
        <v>953915920.2419039</v>
      </c>
      <c r="L20" s="9">
        <f t="shared" si="29"/>
        <v>1012269809.0961409</v>
      </c>
      <c r="M20" s="9">
        <f t="shared" si="29"/>
        <v>1072487261.1868343</v>
      </c>
      <c r="N20" s="9">
        <f t="shared" si="29"/>
        <v>1134627790.4213598</v>
      </c>
      <c r="O20" s="9">
        <f t="shared" si="29"/>
        <v>1198752811.3161528</v>
      </c>
      <c r="P20" s="9">
        <f t="shared" si="29"/>
        <v>1264925699.6936951</v>
      </c>
      <c r="Q20" s="9">
        <f t="shared" si="29"/>
        <v>1333213276.2752709</v>
      </c>
      <c r="R20" s="9">
        <f t="shared" si="29"/>
        <v>1403683120.1904898</v>
      </c>
      <c r="S20" s="9">
        <f t="shared" si="29"/>
        <v>1476404970.1964414</v>
      </c>
      <c r="T20" s="9">
        <f t="shared" si="29"/>
        <v>1551450793.6929522</v>
      </c>
      <c r="U20" s="9">
        <f t="shared" si="29"/>
        <v>1628894857.9433594</v>
      </c>
      <c r="V20" s="9">
        <f t="shared" si="29"/>
        <v>1708817132.2497799</v>
      </c>
      <c r="W20" s="9">
        <f t="shared" si="29"/>
        <v>1791296919.3340058</v>
      </c>
      <c r="X20" s="9">
        <f t="shared" si="29"/>
        <v>1876416059.6049271</v>
      </c>
      <c r="Y20" s="9">
        <f t="shared" si="29"/>
        <v>1964259012.3645175</v>
      </c>
      <c r="Z20" s="9">
        <f t="shared" si="29"/>
        <v>2054912939.6124148</v>
      </c>
      <c r="AA20" s="9">
        <f t="shared" si="29"/>
        <v>2148467792.5322452</v>
      </c>
      <c r="AB20" s="9">
        <f t="shared" si="29"/>
        <v>2245016400.7455096</v>
      </c>
      <c r="AC20" s="9">
        <f t="shared" si="29"/>
        <v>2344654564.4215989</v>
      </c>
      <c r="AD20" s="9">
        <f t="shared" si="29"/>
        <v>2447481149.3353224</v>
      </c>
      <c r="AE20" s="9">
        <f t="shared" si="29"/>
        <v>2553598184.9662857</v>
      </c>
      <c r="AF20" s="9">
        <f t="shared" si="29"/>
        <v>2663110965.7374392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64876186.4649764</v>
      </c>
      <c r="D22" s="9">
        <f ca="1">'Balance Sheet'!C11</f>
        <v>108893484.62553486</v>
      </c>
      <c r="E22" s="9">
        <f ca="1">'Balance Sheet'!D11</f>
        <v>149964011.75187564</v>
      </c>
      <c r="F22" s="9">
        <f ca="1">'Balance Sheet'!E11</f>
        <v>187172349.08182725</v>
      </c>
      <c r="G22" s="9">
        <f ca="1">'Balance Sheet'!F11</f>
        <v>218444813.62361193</v>
      </c>
      <c r="H22" s="9">
        <f ca="1">'Balance Sheet'!G11</f>
        <v>243628258.977018</v>
      </c>
      <c r="I22" s="9">
        <f ca="1">'Balance Sheet'!H11</f>
        <v>265259386.27111501</v>
      </c>
      <c r="J22" s="9">
        <f ca="1">'Balance Sheet'!I11</f>
        <v>286438567.77146512</v>
      </c>
      <c r="K22" s="9">
        <f ca="1">'Balance Sheet'!J11</f>
        <v>306828027.81455308</v>
      </c>
      <c r="L22" s="9">
        <f ca="1">'Balance Sheet'!K11</f>
        <v>327265153.91382647</v>
      </c>
      <c r="M22" s="9">
        <f ca="1">'Balance Sheet'!L11</f>
        <v>347543078.85286087</v>
      </c>
      <c r="N22" s="9">
        <f ca="1">'Balance Sheet'!M11</f>
        <v>367413301.72392046</v>
      </c>
      <c r="O22" s="9">
        <f ca="1">'Balance Sheet'!N11</f>
        <v>386593725.30763382</v>
      </c>
      <c r="P22" s="9">
        <f ca="1">'Balance Sheet'!O11</f>
        <v>406341135.46324277</v>
      </c>
      <c r="Q22" s="9">
        <f ca="1">'Balance Sheet'!P11</f>
        <v>426544208.2228871</v>
      </c>
      <c r="R22" s="9">
        <f ca="1">'Balance Sheet'!Q11</f>
        <v>447077667.96313578</v>
      </c>
      <c r="S22" s="9">
        <f ca="1">'Balance Sheet'!R11</f>
        <v>467793943.55109268</v>
      </c>
      <c r="T22" s="9">
        <f ca="1">'Balance Sheet'!S11</f>
        <v>488524530.43775928</v>
      </c>
      <c r="U22" s="9">
        <f ca="1">'Balance Sheet'!T11</f>
        <v>509078099.74224079</v>
      </c>
      <c r="V22" s="9">
        <f ca="1">'Balance Sheet'!U11</f>
        <v>529238466.12424219</v>
      </c>
      <c r="W22" s="9">
        <f ca="1">'Balance Sheet'!V11</f>
        <v>551069733.61958909</v>
      </c>
      <c r="X22" s="9">
        <f ca="1">'Balance Sheet'!W11</f>
        <v>574615311.87592995</v>
      </c>
      <c r="Y22" s="9">
        <f ca="1">'Balance Sheet'!X11</f>
        <v>599915756.3559655</v>
      </c>
      <c r="Z22" s="9">
        <f ca="1">'Balance Sheet'!Y11</f>
        <v>627008310.23017633</v>
      </c>
      <c r="AA22" s="9">
        <f ca="1">'Balance Sheet'!Z11</f>
        <v>655926407.77151275</v>
      </c>
      <c r="AB22" s="9">
        <f ca="1">'Balance Sheet'!AA11</f>
        <v>686699136.65374959</v>
      </c>
      <c r="AC22" s="9">
        <f ca="1">'Balance Sheet'!AB11</f>
        <v>721748494.15103948</v>
      </c>
      <c r="AD22" s="9">
        <f ca="1">'Balance Sheet'!AC11</f>
        <v>761377619.95116973</v>
      </c>
      <c r="AE22" s="9">
        <f ca="1">'Balance Sheet'!AD11</f>
        <v>805905987.47441757</v>
      </c>
      <c r="AF22" s="9">
        <f ca="1">'Balance Sheet'!AE11</f>
        <v>855670168.22993898</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482632100.30566311</v>
      </c>
      <c r="D23" s="9">
        <f t="shared" ref="D23:AF23" ca="1" si="30">D20-D22</f>
        <v>484008779.09240448</v>
      </c>
      <c r="E23" s="9">
        <f t="shared" ca="1" si="30"/>
        <v>489784836.1756773</v>
      </c>
      <c r="F23" s="9">
        <f t="shared" ca="1" si="30"/>
        <v>500922173.75004673</v>
      </c>
      <c r="G23" s="9">
        <f t="shared" ca="1" si="30"/>
        <v>519534660.013111</v>
      </c>
      <c r="H23" s="9">
        <f t="shared" ca="1" si="30"/>
        <v>545824450.30543923</v>
      </c>
      <c r="I23" s="9">
        <f t="shared" ca="1" si="30"/>
        <v>577305412.83190131</v>
      </c>
      <c r="J23" s="9">
        <f ca="1">J20-J22</f>
        <v>610929354.73576045</v>
      </c>
      <c r="K23" s="9">
        <f t="shared" ca="1" si="30"/>
        <v>647087892.42735076</v>
      </c>
      <c r="L23" s="9">
        <f t="shared" ca="1" si="30"/>
        <v>685004655.1823144</v>
      </c>
      <c r="M23" s="9">
        <f t="shared" ca="1" si="30"/>
        <v>724944182.33397341</v>
      </c>
      <c r="N23" s="9">
        <f t="shared" ca="1" si="30"/>
        <v>767214488.69743931</v>
      </c>
      <c r="O23" s="9">
        <f t="shared" ca="1" si="30"/>
        <v>812159086.00851893</v>
      </c>
      <c r="P23" s="9">
        <f t="shared" ca="1" si="30"/>
        <v>858584564.2304523</v>
      </c>
      <c r="Q23" s="9">
        <f t="shared" ca="1" si="30"/>
        <v>906669068.0523839</v>
      </c>
      <c r="R23" s="9">
        <f t="shared" ca="1" si="30"/>
        <v>956605452.22735405</v>
      </c>
      <c r="S23" s="9">
        <f t="shared" ca="1" si="30"/>
        <v>1008611026.6453488</v>
      </c>
      <c r="T23" s="9">
        <f t="shared" ca="1" si="30"/>
        <v>1062926263.2551929</v>
      </c>
      <c r="U23" s="9">
        <f t="shared" ca="1" si="30"/>
        <v>1119816758.2011185</v>
      </c>
      <c r="V23" s="9">
        <f t="shared" ca="1" si="30"/>
        <v>1179578666.1255379</v>
      </c>
      <c r="W23" s="9">
        <f t="shared" ca="1" si="30"/>
        <v>1240227185.7144167</v>
      </c>
      <c r="X23" s="9">
        <f t="shared" ca="1" si="30"/>
        <v>1301800747.7289972</v>
      </c>
      <c r="Y23" s="9">
        <f t="shared" ca="1" si="30"/>
        <v>1364343256.0085521</v>
      </c>
      <c r="Z23" s="9">
        <f t="shared" ca="1" si="30"/>
        <v>1427904629.3822384</v>
      </c>
      <c r="AA23" s="9">
        <f t="shared" ca="1" si="30"/>
        <v>1492541384.7607324</v>
      </c>
      <c r="AB23" s="9">
        <f t="shared" ca="1" si="30"/>
        <v>1558317264.0917602</v>
      </c>
      <c r="AC23" s="9">
        <f t="shared" ca="1" si="30"/>
        <v>1622906070.2705593</v>
      </c>
      <c r="AD23" s="9">
        <f t="shared" ca="1" si="30"/>
        <v>1686103529.3841527</v>
      </c>
      <c r="AE23" s="9">
        <f t="shared" ca="1" si="30"/>
        <v>1747692197.491868</v>
      </c>
      <c r="AF23" s="9">
        <f t="shared" ca="1" si="30"/>
        <v>1807440797.5075002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64876186.4649764</v>
      </c>
      <c r="D5" s="1">
        <f ca="1">C5+C6</f>
        <v>108893484.62553486</v>
      </c>
      <c r="E5" s="1">
        <f t="shared" ref="E5:AF5" ca="1" si="1">D5+D6</f>
        <v>149964011.75187564</v>
      </c>
      <c r="F5" s="1">
        <f t="shared" ca="1" si="1"/>
        <v>187172349.08182725</v>
      </c>
      <c r="G5" s="1">
        <f t="shared" ca="1" si="1"/>
        <v>218444813.62361193</v>
      </c>
      <c r="H5" s="1">
        <f t="shared" ca="1" si="1"/>
        <v>243628258.977018</v>
      </c>
      <c r="I5" s="1">
        <f t="shared" ca="1" si="1"/>
        <v>265259386.27111501</v>
      </c>
      <c r="J5" s="1">
        <f t="shared" ca="1" si="1"/>
        <v>286438567.77146512</v>
      </c>
      <c r="K5" s="1">
        <f t="shared" ca="1" si="1"/>
        <v>306828027.81455308</v>
      </c>
      <c r="L5" s="1">
        <f t="shared" ca="1" si="1"/>
        <v>327265153.91382647</v>
      </c>
      <c r="M5" s="1">
        <f t="shared" ca="1" si="1"/>
        <v>347543078.85286087</v>
      </c>
      <c r="N5" s="1">
        <f t="shared" ca="1" si="1"/>
        <v>367413301.72392046</v>
      </c>
      <c r="O5" s="1">
        <f t="shared" ca="1" si="1"/>
        <v>386593725.30763382</v>
      </c>
      <c r="P5" s="1">
        <f t="shared" ca="1" si="1"/>
        <v>406341135.46324277</v>
      </c>
      <c r="Q5" s="1">
        <f t="shared" ca="1" si="1"/>
        <v>426544208.2228871</v>
      </c>
      <c r="R5" s="1">
        <f t="shared" ca="1" si="1"/>
        <v>447077667.96313578</v>
      </c>
      <c r="S5" s="1">
        <f t="shared" ca="1" si="1"/>
        <v>467793943.55109268</v>
      </c>
      <c r="T5" s="1">
        <f t="shared" ca="1" si="1"/>
        <v>488524530.43775928</v>
      </c>
      <c r="U5" s="1">
        <f t="shared" ca="1" si="1"/>
        <v>509078099.74224079</v>
      </c>
      <c r="V5" s="1">
        <f t="shared" ca="1" si="1"/>
        <v>529238466.12424219</v>
      </c>
      <c r="W5" s="1">
        <f t="shared" ca="1" si="1"/>
        <v>551069733.61958909</v>
      </c>
      <c r="X5" s="1">
        <f t="shared" ca="1" si="1"/>
        <v>574615311.87592995</v>
      </c>
      <c r="Y5" s="1">
        <f t="shared" ca="1" si="1"/>
        <v>599915756.3559655</v>
      </c>
      <c r="Z5" s="1">
        <f t="shared" ca="1" si="1"/>
        <v>627008310.23017633</v>
      </c>
      <c r="AA5" s="1">
        <f t="shared" ca="1" si="1"/>
        <v>655926407.77151275</v>
      </c>
      <c r="AB5" s="1">
        <f t="shared" ca="1" si="1"/>
        <v>686699136.65374959</v>
      </c>
      <c r="AC5" s="1">
        <f t="shared" ca="1" si="1"/>
        <v>721748494.15103948</v>
      </c>
      <c r="AD5" s="1">
        <f t="shared" ca="1" si="1"/>
        <v>761377619.95116973</v>
      </c>
      <c r="AE5" s="1">
        <f t="shared" ca="1" si="1"/>
        <v>805905987.47441757</v>
      </c>
      <c r="AF5" s="1">
        <f t="shared" ca="1" si="1"/>
        <v>855670168.22993898</v>
      </c>
      <c r="AG5" s="1"/>
      <c r="AH5" s="1"/>
      <c r="AI5" s="1"/>
      <c r="AJ5" s="1"/>
      <c r="AK5" s="1"/>
      <c r="AL5" s="1"/>
      <c r="AM5" s="1"/>
      <c r="AN5" s="1"/>
      <c r="AO5" s="1"/>
      <c r="AP5" s="1"/>
    </row>
    <row r="6" spans="1:42" x14ac:dyDescent="0.35">
      <c r="A6" s="63" t="s">
        <v>3</v>
      </c>
      <c r="C6" s="1">
        <f ca="1">-'Cash Flow'!C13</f>
        <v>44017298.16055847</v>
      </c>
      <c r="D6" s="1">
        <f ca="1">-'Cash Flow'!D13</f>
        <v>41070527.126340777</v>
      </c>
      <c r="E6" s="1">
        <f ca="1">-'Cash Flow'!E13</f>
        <v>37208337.329951607</v>
      </c>
      <c r="F6" s="1">
        <f ca="1">-'Cash Flow'!F13</f>
        <v>31272464.541784689</v>
      </c>
      <c r="G6" s="1">
        <f ca="1">-'Cash Flow'!G13</f>
        <v>25183445.353406072</v>
      </c>
      <c r="H6" s="1">
        <f ca="1">-'Cash Flow'!H13</f>
        <v>21631127.294097006</v>
      </c>
      <c r="I6" s="1">
        <f ca="1">-'Cash Flow'!I13</f>
        <v>21179181.500350125</v>
      </c>
      <c r="J6" s="1">
        <f ca="1">-'Cash Flow'!J13</f>
        <v>20389460.043087974</v>
      </c>
      <c r="K6" s="1">
        <f ca="1">-'Cash Flow'!K13</f>
        <v>20437126.099273354</v>
      </c>
      <c r="L6" s="1">
        <f ca="1">-'Cash Flow'!L13</f>
        <v>20277924.939034417</v>
      </c>
      <c r="M6" s="1">
        <f ca="1">-'Cash Flow'!M13</f>
        <v>19870222.871059582</v>
      </c>
      <c r="N6" s="1">
        <f ca="1">-'Cash Flow'!N13</f>
        <v>19180423.583713353</v>
      </c>
      <c r="O6" s="1">
        <f ca="1">-'Cash Flow'!O13</f>
        <v>19747410.155608982</v>
      </c>
      <c r="P6" s="1">
        <f ca="1">-'Cash Flow'!P13</f>
        <v>20203072.75964433</v>
      </c>
      <c r="Q6" s="1">
        <f ca="1">-'Cash Flow'!Q13</f>
        <v>20533459.740248695</v>
      </c>
      <c r="R6" s="1">
        <f ca="1">-'Cash Flow'!R13</f>
        <v>20716275.58795689</v>
      </c>
      <c r="S6" s="1">
        <f ca="1">-'Cash Flow'!S13</f>
        <v>20730586.886666626</v>
      </c>
      <c r="T6" s="1">
        <f ca="1">-'Cash Flow'!T13</f>
        <v>20553569.304481491</v>
      </c>
      <c r="U6" s="1">
        <f ca="1">-'Cash Flow'!U13</f>
        <v>20160366.38200137</v>
      </c>
      <c r="V6" s="1">
        <f ca="1">-'Cash Flow'!V13</f>
        <v>21831267.495346949</v>
      </c>
      <c r="W6" s="1">
        <f ca="1">-'Cash Flow'!W13</f>
        <v>23545578.256340861</v>
      </c>
      <c r="X6" s="1">
        <f ca="1">-'Cash Flow'!X13</f>
        <v>25300444.480035529</v>
      </c>
      <c r="Y6" s="1">
        <f ca="1">-'Cash Flow'!Y13</f>
        <v>27092553.874210835</v>
      </c>
      <c r="Z6" s="1">
        <f ca="1">-'Cash Flow'!Z13</f>
        <v>28918097.541336417</v>
      </c>
      <c r="AA6" s="1">
        <f ca="1">-'Cash Flow'!AA13</f>
        <v>30772728.882236868</v>
      </c>
      <c r="AB6" s="1">
        <f ca="1">-'Cash Flow'!AB13</f>
        <v>35049357.497289926</v>
      </c>
      <c r="AC6" s="1">
        <f ca="1">-'Cash Flow'!AC13</f>
        <v>39629125.800130308</v>
      </c>
      <c r="AD6" s="1">
        <f ca="1">-'Cash Flow'!AD13</f>
        <v>44528367.523247808</v>
      </c>
      <c r="AE6" s="1">
        <f ca="1">-'Cash Flow'!AE13</f>
        <v>49764180.755521387</v>
      </c>
      <c r="AF6" s="1">
        <f ca="1">-'Cash Flow'!AF13</f>
        <v>55354460.78382802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3811271.9618937206</v>
      </c>
      <c r="D8" s="1">
        <f ca="1">IF(SUM(D5:D6)&gt;0,Assumptions!$C$26*SUM(D5:D6),Assumptions!$C$27*(SUM(D5:D6)))</f>
        <v>5248740.4113156479</v>
      </c>
      <c r="E8" s="1">
        <f ca="1">IF(SUM(E5:E6)&gt;0,Assumptions!$C$26*SUM(E5:E6),Assumptions!$C$27*(SUM(E5:E6)))</f>
        <v>6551032.2178639546</v>
      </c>
      <c r="F8" s="1">
        <f ca="1">IF(SUM(F5:F6)&gt;0,Assumptions!$C$26*SUM(F5:F6),Assumptions!$C$27*(SUM(F5:F6)))</f>
        <v>7645568.4768264182</v>
      </c>
      <c r="G8" s="1">
        <f ca="1">IF(SUM(G5:G6)&gt;0,Assumptions!$C$26*SUM(G5:G6),Assumptions!$C$27*(SUM(G5:G6)))</f>
        <v>8526989.0641956311</v>
      </c>
      <c r="H8" s="1">
        <f ca="1">IF(SUM(H5:H6)&gt;0,Assumptions!$C$26*SUM(H5:H6),Assumptions!$C$27*(SUM(H5:H6)))</f>
        <v>9284078.5194890257</v>
      </c>
      <c r="I8" s="1">
        <f ca="1">IF(SUM(I5:I6)&gt;0,Assumptions!$C$26*SUM(I5:I6),Assumptions!$C$27*(SUM(I5:I6)))</f>
        <v>10025349.872001281</v>
      </c>
      <c r="J8" s="1">
        <f ca="1">IF(SUM(J5:J6)&gt;0,Assumptions!$C$26*SUM(J5:J6),Assumptions!$C$27*(SUM(J5:J6)))</f>
        <v>10738980.973509358</v>
      </c>
      <c r="K8" s="1">
        <f ca="1">IF(SUM(K5:K6)&gt;0,Assumptions!$C$26*SUM(K5:K6),Assumptions!$C$27*(SUM(K5:K6)))</f>
        <v>11454280.386983927</v>
      </c>
      <c r="L8" s="1">
        <f ca="1">IF(SUM(L5:L6)&gt;0,Assumptions!$C$26*SUM(L5:L6),Assumptions!$C$27*(SUM(L5:L6)))</f>
        <v>12164007.759850131</v>
      </c>
      <c r="M8" s="1">
        <f ca="1">IF(SUM(M5:M6)&gt;0,Assumptions!$C$26*SUM(M5:M6),Assumptions!$C$27*(SUM(M5:M6)))</f>
        <v>12859465.560337218</v>
      </c>
      <c r="N8" s="1">
        <f ca="1">IF(SUM(N5:N6)&gt;0,Assumptions!$C$26*SUM(N5:N6),Assumptions!$C$27*(SUM(N5:N6)))</f>
        <v>13530780.385767184</v>
      </c>
      <c r="O8" s="1">
        <f ca="1">IF(SUM(O5:O6)&gt;0,Assumptions!$C$26*SUM(O5:O6),Assumptions!$C$27*(SUM(O5:O6)))</f>
        <v>14221939.741213499</v>
      </c>
      <c r="P8" s="1">
        <f ca="1">IF(SUM(P5:P6)&gt;0,Assumptions!$C$26*SUM(P5:P6),Assumptions!$C$27*(SUM(P5:P6)))</f>
        <v>14929047.28780105</v>
      </c>
      <c r="Q8" s="1">
        <f ca="1">IF(SUM(Q5:Q6)&gt;0,Assumptions!$C$26*SUM(Q5:Q6),Assumptions!$C$27*(SUM(Q5:Q6)))</f>
        <v>15647718.378709754</v>
      </c>
      <c r="R8" s="1">
        <f ca="1">IF(SUM(R5:R6)&gt;0,Assumptions!$C$26*SUM(R5:R6),Assumptions!$C$27*(SUM(R5:R6)))</f>
        <v>16372788.024288246</v>
      </c>
      <c r="S8" s="1">
        <f ca="1">IF(SUM(S5:S6)&gt;0,Assumptions!$C$26*SUM(S5:S6),Assumptions!$C$27*(SUM(S5:S6)))</f>
        <v>17098358.565321576</v>
      </c>
      <c r="T8" s="1">
        <f ca="1">IF(SUM(T5:T6)&gt;0,Assumptions!$C$26*SUM(T5:T6),Assumptions!$C$27*(SUM(T5:T6)))</f>
        <v>17817733.490978431</v>
      </c>
      <c r="U8" s="1">
        <f ca="1">IF(SUM(U5:U6)&gt;0,Assumptions!$C$26*SUM(U5:U6),Assumptions!$C$27*(SUM(U5:U6)))</f>
        <v>18523346.314348478</v>
      </c>
      <c r="V8" s="1">
        <f ca="1">IF(SUM(V5:V6)&gt;0,Assumptions!$C$26*SUM(V5:V6),Assumptions!$C$27*(SUM(V5:V6)))</f>
        <v>19287440.67668562</v>
      </c>
      <c r="W8" s="1">
        <f ca="1">IF(SUM(W5:W6)&gt;0,Assumptions!$C$26*SUM(W5:W6),Assumptions!$C$27*(SUM(W5:W6)))</f>
        <v>20111535.91565755</v>
      </c>
      <c r="X8" s="1">
        <f ca="1">IF(SUM(X5:X6)&gt;0,Assumptions!$C$26*SUM(X5:X6),Assumptions!$C$27*(SUM(X5:X6)))</f>
        <v>20997051.472458795</v>
      </c>
      <c r="Y8" s="1">
        <f ca="1">IF(SUM(Y5:Y6)&gt;0,Assumptions!$C$26*SUM(Y5:Y6),Assumptions!$C$27*(SUM(Y5:Y6)))</f>
        <v>21945290.858056173</v>
      </c>
      <c r="Z8" s="1">
        <f ca="1">IF(SUM(Z5:Z6)&gt;0,Assumptions!$C$26*SUM(Z5:Z6),Assumptions!$C$27*(SUM(Z5:Z6)))</f>
        <v>22957424.272002947</v>
      </c>
      <c r="AA8" s="1">
        <f ca="1">IF(SUM(AA5:AA6)&gt;0,Assumptions!$C$26*SUM(AA5:AA6),Assumptions!$C$27*(SUM(AA5:AA6)))</f>
        <v>24034469.782881238</v>
      </c>
      <c r="AB8" s="1">
        <f ca="1">IF(SUM(AB5:AB6)&gt;0,Assumptions!$C$26*SUM(AB5:AB6),Assumptions!$C$27*(SUM(AB5:AB6)))</f>
        <v>25261197.295286383</v>
      </c>
      <c r="AC8" s="1">
        <f ca="1">IF(SUM(AC5:AC6)&gt;0,Assumptions!$C$26*SUM(AC5:AC6),Assumptions!$C$27*(SUM(AC5:AC6)))</f>
        <v>26648216.698290944</v>
      </c>
      <c r="AD8" s="1">
        <f ca="1">IF(SUM(AD5:AD6)&gt;0,Assumptions!$C$26*SUM(AD5:AD6),Assumptions!$C$27*(SUM(AD5:AD6)))</f>
        <v>28206709.561604619</v>
      </c>
      <c r="AE8" s="1">
        <f ca="1">IF(SUM(AE5:AE6)&gt;0,Assumptions!$C$26*SUM(AE5:AE6),Assumptions!$C$27*(SUM(AE5:AE6)))</f>
        <v>29948455.888047867</v>
      </c>
      <c r="AF8" s="1">
        <f ca="1">IF(SUM(AF5:AF6)&gt;0,Assumptions!$C$26*SUM(AF5:AF6),Assumptions!$C$27*(SUM(AF5:AF6)))</f>
        <v>31885862.015481848</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5"/>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54.66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2"/>
    </row>
    <row r="6" spans="1:3" ht="18.5" x14ac:dyDescent="0.45">
      <c r="A6" s="90"/>
      <c r="B6" s="182"/>
    </row>
    <row r="7" spans="1:3" ht="18.5" x14ac:dyDescent="0.45">
      <c r="A7" s="90" t="s">
        <v>96</v>
      </c>
      <c r="B7" s="183">
        <f>Assumptions!C24</f>
        <v>33467700</v>
      </c>
      <c r="C7" s="181" t="str">
        <f>Assumptions!B24</f>
        <v>RFI Table F10; Lines F10.62 + F10.70 - F10.61</v>
      </c>
    </row>
    <row r="8" spans="1:3" ht="34" x14ac:dyDescent="0.45">
      <c r="A8" s="90" t="s">
        <v>173</v>
      </c>
      <c r="B8" s="184">
        <f>Assumptions!$C$133</f>
        <v>0.7</v>
      </c>
      <c r="C8" s="181" t="s">
        <v>199</v>
      </c>
    </row>
    <row r="9" spans="1:3" ht="18.5" x14ac:dyDescent="0.45">
      <c r="A9" s="90"/>
      <c r="B9" s="185"/>
      <c r="C9" s="181"/>
    </row>
    <row r="10" spans="1:3" ht="68" x14ac:dyDescent="0.45">
      <c r="A10" s="94" t="s">
        <v>102</v>
      </c>
      <c r="B10" s="186">
        <f>Assumptions!C135</f>
        <v>23093.207407407408</v>
      </c>
      <c r="C10" s="181" t="s">
        <v>200</v>
      </c>
    </row>
    <row r="11" spans="1:3" ht="18.5" x14ac:dyDescent="0.45">
      <c r="A11" s="94"/>
      <c r="B11" s="187"/>
      <c r="C11" s="181"/>
    </row>
    <row r="12" spans="1:3" ht="18.5" x14ac:dyDescent="0.45">
      <c r="A12" s="94" t="s">
        <v>183</v>
      </c>
      <c r="B12" s="183">
        <f>(B7*B8)/B10</f>
        <v>1014.4710341312484</v>
      </c>
      <c r="C12" s="181"/>
    </row>
    <row r="13" spans="1:3" ht="18.5" x14ac:dyDescent="0.45">
      <c r="A13" s="96"/>
      <c r="B13" s="188"/>
      <c r="C13" s="181"/>
    </row>
    <row r="14" spans="1:3" ht="18.5" x14ac:dyDescent="0.45">
      <c r="A14" s="94" t="s">
        <v>103</v>
      </c>
      <c r="B14" s="103">
        <v>1</v>
      </c>
      <c r="C14" s="181"/>
    </row>
    <row r="15" spans="1:3" ht="18.5" x14ac:dyDescent="0.45">
      <c r="A15" s="96"/>
      <c r="B15" s="99"/>
      <c r="C15" s="181"/>
    </row>
    <row r="16" spans="1:3" ht="18.5" x14ac:dyDescent="0.45">
      <c r="A16" s="96" t="s">
        <v>178</v>
      </c>
      <c r="B16" s="189">
        <f>B12/B14</f>
        <v>1014.4710341312484</v>
      </c>
      <c r="C16" s="181"/>
    </row>
    <row r="17" spans="1:3" ht="18.5" x14ac:dyDescent="0.45">
      <c r="A17" s="94"/>
      <c r="B17" s="190"/>
      <c r="C17" s="181"/>
    </row>
    <row r="18" spans="1:3" ht="18.5" x14ac:dyDescent="0.45">
      <c r="A18" s="102" t="s">
        <v>177</v>
      </c>
      <c r="B18" s="190"/>
      <c r="C18" s="181"/>
    </row>
    <row r="19" spans="1:3" ht="18.5" x14ac:dyDescent="0.45">
      <c r="A19" s="94"/>
      <c r="B19" s="190"/>
      <c r="C19" s="181"/>
    </row>
    <row r="20" spans="1:3" ht="34" x14ac:dyDescent="0.45">
      <c r="A20" s="94" t="s">
        <v>65</v>
      </c>
      <c r="B20" s="183">
        <f>'Profit and Loss'!L5</f>
        <v>131962844.0330236</v>
      </c>
      <c r="C20" s="181" t="s">
        <v>201</v>
      </c>
    </row>
    <row r="21" spans="1:3" ht="34" x14ac:dyDescent="0.45">
      <c r="A21" s="94" t="str">
        <f>A8</f>
        <v>Assumed revenue from households</v>
      </c>
      <c r="B21" s="184">
        <f>B8</f>
        <v>0.7</v>
      </c>
      <c r="C21" s="181" t="s">
        <v>199</v>
      </c>
    </row>
    <row r="22" spans="1:3" ht="18.5" x14ac:dyDescent="0.45">
      <c r="A22" s="94"/>
      <c r="B22" s="187"/>
      <c r="C22" s="181"/>
    </row>
    <row r="23" spans="1:3" ht="34" x14ac:dyDescent="0.45">
      <c r="A23" s="94" t="s">
        <v>101</v>
      </c>
      <c r="B23" s="186">
        <f>Assumptions!M135</f>
        <v>26751.034926447475</v>
      </c>
      <c r="C23" s="181" t="s">
        <v>202</v>
      </c>
    </row>
    <row r="24" spans="1:3" ht="18.5" x14ac:dyDescent="0.45">
      <c r="A24" s="94"/>
      <c r="B24" s="187"/>
      <c r="C24" s="181"/>
    </row>
    <row r="25" spans="1:3" ht="18.5" x14ac:dyDescent="0.45">
      <c r="A25" s="94" t="s">
        <v>182</v>
      </c>
      <c r="B25" s="183">
        <f>(B20*B21)/B23</f>
        <v>3453.0997053796505</v>
      </c>
      <c r="C25" s="181"/>
    </row>
    <row r="26" spans="1:3" ht="18.5" x14ac:dyDescent="0.45">
      <c r="A26" s="94"/>
      <c r="B26" s="183"/>
      <c r="C26" s="181"/>
    </row>
    <row r="27" spans="1:3" ht="34" x14ac:dyDescent="0.45">
      <c r="A27" s="94" t="s">
        <v>103</v>
      </c>
      <c r="B27" s="103">
        <f>1.022^11</f>
        <v>1.2704566586717592</v>
      </c>
      <c r="C27" s="181" t="s">
        <v>203</v>
      </c>
    </row>
    <row r="28" spans="1:3" ht="18.5" x14ac:dyDescent="0.45">
      <c r="A28" s="96"/>
      <c r="B28" s="188"/>
      <c r="C28" s="181"/>
    </row>
    <row r="29" spans="1:3" ht="18.5" x14ac:dyDescent="0.45">
      <c r="A29" s="96" t="s">
        <v>179</v>
      </c>
      <c r="B29" s="183">
        <f>B25/B27</f>
        <v>2717.9988249184412</v>
      </c>
      <c r="C29" s="181"/>
    </row>
    <row r="30" spans="1:3" ht="18.5" x14ac:dyDescent="0.45">
      <c r="A30" s="96"/>
      <c r="B30" s="188"/>
      <c r="C30" s="181"/>
    </row>
    <row r="31" spans="1:3" ht="18.5" x14ac:dyDescent="0.45">
      <c r="A31" s="102" t="s">
        <v>185</v>
      </c>
      <c r="B31" s="191"/>
      <c r="C31" s="181"/>
    </row>
    <row r="32" spans="1:3" ht="18.5" x14ac:dyDescent="0.45">
      <c r="A32" s="94"/>
      <c r="B32" s="183"/>
      <c r="C32" s="181"/>
    </row>
    <row r="33" spans="1:3" ht="34" x14ac:dyDescent="0.45">
      <c r="A33" s="94" t="s">
        <v>66</v>
      </c>
      <c r="B33" s="183">
        <f>'Profit and Loss'!AF5</f>
        <v>342022070.52548707</v>
      </c>
      <c r="C33" s="181" t="s">
        <v>201</v>
      </c>
    </row>
    <row r="34" spans="1:3" ht="34" x14ac:dyDescent="0.45">
      <c r="A34" s="94" t="str">
        <f>A21</f>
        <v>Assumed revenue from households</v>
      </c>
      <c r="B34" s="184">
        <f>B21</f>
        <v>0.7</v>
      </c>
      <c r="C34" s="181" t="s">
        <v>199</v>
      </c>
    </row>
    <row r="35" spans="1:3" ht="18.5" x14ac:dyDescent="0.45">
      <c r="A35" s="94"/>
      <c r="B35" s="187"/>
      <c r="C35" s="181"/>
    </row>
    <row r="36" spans="1:3" ht="34" x14ac:dyDescent="0.45">
      <c r="A36" s="94" t="s">
        <v>100</v>
      </c>
      <c r="B36" s="186">
        <f>Assumptions!AG135</f>
        <v>35896.594812676958</v>
      </c>
      <c r="C36" s="181" t="s">
        <v>202</v>
      </c>
    </row>
    <row r="37" spans="1:3" ht="18.5" x14ac:dyDescent="0.45">
      <c r="A37" s="94"/>
      <c r="B37" s="187"/>
      <c r="C37" s="181"/>
    </row>
    <row r="38" spans="1:3" ht="18.5" x14ac:dyDescent="0.45">
      <c r="A38" s="94" t="s">
        <v>181</v>
      </c>
      <c r="B38" s="183">
        <f>(B33*B34)/B36</f>
        <v>6669.5866451179609</v>
      </c>
      <c r="C38" s="181"/>
    </row>
    <row r="39" spans="1:3" ht="18.5" x14ac:dyDescent="0.45">
      <c r="A39" s="94"/>
      <c r="B39" s="187"/>
      <c r="C39" s="181"/>
    </row>
    <row r="40" spans="1:3" ht="34" x14ac:dyDescent="0.45">
      <c r="A40" s="94" t="s">
        <v>103</v>
      </c>
      <c r="B40" s="103">
        <f>1.022^31</f>
        <v>1.9632597808456462</v>
      </c>
      <c r="C40" s="181" t="s">
        <v>203</v>
      </c>
    </row>
    <row r="41" spans="1:3" ht="18.5" x14ac:dyDescent="0.45">
      <c r="A41" s="96"/>
      <c r="B41" s="188"/>
    </row>
    <row r="42" spans="1:3" ht="18.5" x14ac:dyDescent="0.45">
      <c r="A42" s="96" t="s">
        <v>180</v>
      </c>
      <c r="B42" s="183">
        <f>B38/B40</f>
        <v>3397.2002636579919</v>
      </c>
    </row>
    <row r="43" spans="1:3" x14ac:dyDescent="0.35">
      <c r="B43" s="192"/>
    </row>
    <row r="44" spans="1:3" x14ac:dyDescent="0.35">
      <c r="B44" s="192"/>
    </row>
    <row r="45" spans="1:3" x14ac:dyDescent="0.35">
      <c r="B45" s="19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1.4812091550443052E-2</v>
      </c>
      <c r="D13" s="128">
        <f t="shared" ref="D13:AG13" si="3">(1+$C$13)^D8</f>
        <v>1.0148120915504431</v>
      </c>
      <c r="E13" s="128">
        <f t="shared" si="3"/>
        <v>1.0298435811569848</v>
      </c>
      <c r="F13" s="128">
        <f t="shared" si="3"/>
        <v>1.0450977185637182</v>
      </c>
      <c r="G13" s="128">
        <f t="shared" si="3"/>
        <v>1.0605778016502432</v>
      </c>
      <c r="H13" s="128">
        <f t="shared" si="3"/>
        <v>1.0762871771446543</v>
      </c>
      <c r="I13" s="128">
        <f t="shared" si="3"/>
        <v>1.0922292413470887</v>
      </c>
      <c r="J13" s="128">
        <f t="shared" si="3"/>
        <v>1.1084074408639928</v>
      </c>
      <c r="K13" s="128">
        <f t="shared" si="3"/>
        <v>1.1248252733532627</v>
      </c>
      <c r="L13" s="128">
        <f t="shared" si="3"/>
        <v>1.1414862882804233</v>
      </c>
      <c r="M13" s="128">
        <f t="shared" si="3"/>
        <v>1.1583940876860084</v>
      </c>
      <c r="N13" s="128">
        <f t="shared" si="3"/>
        <v>1.1755523269643056</v>
      </c>
      <c r="O13" s="128">
        <f t="shared" si="3"/>
        <v>1.1929647156536372</v>
      </c>
      <c r="P13" s="128">
        <f t="shared" si="3"/>
        <v>1.2106350182383472</v>
      </c>
      <c r="Q13" s="128">
        <f t="shared" si="3"/>
        <v>1.2285670549626657</v>
      </c>
      <c r="R13" s="128">
        <f t="shared" si="3"/>
        <v>1.2467647026566311</v>
      </c>
      <c r="S13" s="128">
        <f t="shared" si="3"/>
        <v>1.2652318955742421</v>
      </c>
      <c r="T13" s="128">
        <f t="shared" si="3"/>
        <v>1.2839726262440283</v>
      </c>
      <c r="U13" s="128">
        <f t="shared" si="3"/>
        <v>1.3029909463322178</v>
      </c>
      <c r="V13" s="128">
        <f t="shared" si="3"/>
        <v>1.3222909675186889</v>
      </c>
      <c r="W13" s="128">
        <f t="shared" si="3"/>
        <v>1.3418768623858996</v>
      </c>
      <c r="X13" s="128">
        <f t="shared" si="3"/>
        <v>1.3617528653209809</v>
      </c>
      <c r="Y13" s="128">
        <f t="shared" si="3"/>
        <v>1.3819232734311933</v>
      </c>
      <c r="Z13" s="128">
        <f t="shared" si="3"/>
        <v>1.4023924474729443</v>
      </c>
      <c r="AA13" s="128">
        <f t="shared" si="3"/>
        <v>1.4231648127945635</v>
      </c>
      <c r="AB13" s="128">
        <f t="shared" si="3"/>
        <v>1.4442448602930458</v>
      </c>
      <c r="AC13" s="128">
        <f t="shared" si="3"/>
        <v>1.4656371473849632</v>
      </c>
      <c r="AD13" s="128">
        <f t="shared" si="3"/>
        <v>1.4873462989917596</v>
      </c>
      <c r="AE13" s="128">
        <f t="shared" si="3"/>
        <v>1.5093770085396381</v>
      </c>
      <c r="AF13" s="128">
        <f t="shared" si="3"/>
        <v>1.5317340389742611</v>
      </c>
      <c r="AG13" s="128">
        <f t="shared" si="3"/>
        <v>1.5544222237904777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1007043750.0000002</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503521875.00000012</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64876186.4649764</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179" t="s">
        <v>198</v>
      </c>
      <c r="C24" s="136">
        <v>33467700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22449000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-1.9230780147520825E-3</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-1.2999999999999999E-3</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-2.3087594456350224E-4</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-9.2431462312969614E-5</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-6.1645665619280976E-5</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-1.5604869479091121E-4</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-6.2456511138120341E-5</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-4.1648945985683916E-5</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0.9997691240554365</v>
      </c>
      <c r="I43" s="142">
        <f>H43*(1+$C$35)</f>
        <v>0.99953830141457478</v>
      </c>
      <c r="J43" s="142">
        <f>I43*(1+$C$35)</f>
        <v>0.99930753206510825</v>
      </c>
      <c r="K43" s="142">
        <f>J43*(1+$C$35)</f>
        <v>0.9990768159947333</v>
      </c>
      <c r="L43" s="142">
        <f>K43*(1+$C$35)</f>
        <v>0.998846153191149</v>
      </c>
      <c r="M43" s="142">
        <f>L43*(1+$C$36)</f>
        <v>0.99875382838058391</v>
      </c>
      <c r="N43" s="142">
        <f>M43*(1+$C$36)</f>
        <v>0.99866151210373599</v>
      </c>
      <c r="O43" s="142">
        <f>N43*(1+$C$36)</f>
        <v>0.99856920435981655</v>
      </c>
      <c r="P43" s="142">
        <f>O43*(1+$C$36)</f>
        <v>0.99847690514803689</v>
      </c>
      <c r="Q43" s="142">
        <f>P43*(1+$C$36)</f>
        <v>0.99838461446760829</v>
      </c>
      <c r="R43" s="142">
        <f>Q43*(1+$C$37)</f>
        <v>0.99832306838350537</v>
      </c>
      <c r="S43" s="142">
        <f>R43*(1+$C$37)</f>
        <v>0.99826152609345176</v>
      </c>
      <c r="T43" s="142">
        <f>S43*(1+$C$37)</f>
        <v>0.99819998759721362</v>
      </c>
      <c r="U43" s="142">
        <f>T43*(1+$C$37)</f>
        <v>0.99813845289455705</v>
      </c>
      <c r="V43" s="142">
        <f>U43*(1+$C$37)</f>
        <v>0.99807692198524811</v>
      </c>
      <c r="W43" s="142">
        <f t="shared" ref="W43:AG43" si="4">V43</f>
        <v>0.99807692198524811</v>
      </c>
      <c r="X43" s="142">
        <f t="shared" si="4"/>
        <v>0.99807692198524811</v>
      </c>
      <c r="Y43" s="142">
        <f t="shared" si="4"/>
        <v>0.99807692198524811</v>
      </c>
      <c r="Z43" s="142">
        <f t="shared" si="4"/>
        <v>0.99807692198524811</v>
      </c>
      <c r="AA43" s="142">
        <f t="shared" si="4"/>
        <v>0.99807692198524811</v>
      </c>
      <c r="AB43" s="142">
        <f t="shared" si="4"/>
        <v>0.99807692198524811</v>
      </c>
      <c r="AC43" s="142">
        <f t="shared" si="4"/>
        <v>0.99807692198524811</v>
      </c>
      <c r="AD43" s="142">
        <f t="shared" si="4"/>
        <v>0.99807692198524811</v>
      </c>
      <c r="AE43" s="142">
        <f t="shared" si="4"/>
        <v>0.99807692198524811</v>
      </c>
      <c r="AF43" s="142">
        <f t="shared" si="4"/>
        <v>0.99807692198524811</v>
      </c>
      <c r="AG43" s="142">
        <f t="shared" si="4"/>
        <v>0.99807692198524811</v>
      </c>
    </row>
    <row r="44" spans="1:33" x14ac:dyDescent="0.35">
      <c r="A44" s="69" t="s">
        <v>60</v>
      </c>
      <c r="B44" s="69" t="s">
        <v>86</v>
      </c>
      <c r="C44" s="141">
        <v>1</v>
      </c>
      <c r="D44" s="142">
        <v>1</v>
      </c>
      <c r="E44" s="142">
        <v>1</v>
      </c>
      <c r="F44" s="142">
        <v>1</v>
      </c>
      <c r="G44" s="142">
        <v>1</v>
      </c>
      <c r="H44" s="142">
        <f>G44*(1+$C$39)</f>
        <v>0.99984395130520909</v>
      </c>
      <c r="I44" s="142">
        <f>H44*(1+$C$39)</f>
        <v>0.99968792696161335</v>
      </c>
      <c r="J44" s="142">
        <f>I44*(1+$C$39)</f>
        <v>0.99953192696541271</v>
      </c>
      <c r="K44" s="142">
        <f>J44*(1+$C$39)</f>
        <v>0.99937595131280788</v>
      </c>
      <c r="L44" s="142">
        <f>K44*(1+$C$39)</f>
        <v>0.99922000000000011</v>
      </c>
      <c r="M44" s="142">
        <f>L44*(1+$C$40)</f>
        <v>0.99915759220494071</v>
      </c>
      <c r="N44" s="142">
        <f>M44*(1+$C$40)</f>
        <v>0.99909518830765442</v>
      </c>
      <c r="O44" s="142">
        <f>N44*(1+$C$40)</f>
        <v>0.99903278830789788</v>
      </c>
      <c r="P44" s="142">
        <f>O44*(1+$C$40)</f>
        <v>0.9989703922054276</v>
      </c>
      <c r="Q44" s="142">
        <f>P44*(1+$C$40)</f>
        <v>0.99890800000000013</v>
      </c>
      <c r="R44" s="142">
        <f>Q44*(1+$C$41)</f>
        <v>0.99886639653466347</v>
      </c>
      <c r="S44" s="142">
        <f>R44*(1+$C$41)</f>
        <v>0.99882479480206732</v>
      </c>
      <c r="T44" s="142">
        <f>S44*(1+$C$41)</f>
        <v>0.9987831948021394</v>
      </c>
      <c r="U44" s="142">
        <f>T44*(1+$C$41)</f>
        <v>0.99874159653480765</v>
      </c>
      <c r="V44" s="142">
        <f>U44*(1+$C$41)</f>
        <v>0.99869999999999992</v>
      </c>
      <c r="W44" s="142">
        <f t="shared" ref="W44:AG44" si="5">V44</f>
        <v>0.99869999999999992</v>
      </c>
      <c r="X44" s="142">
        <f t="shared" si="5"/>
        <v>0.99869999999999992</v>
      </c>
      <c r="Y44" s="142">
        <f t="shared" si="5"/>
        <v>0.99869999999999992</v>
      </c>
      <c r="Z44" s="142">
        <f t="shared" si="5"/>
        <v>0.99869999999999992</v>
      </c>
      <c r="AA44" s="142">
        <f t="shared" si="5"/>
        <v>0.99869999999999992</v>
      </c>
      <c r="AB44" s="142">
        <f t="shared" si="5"/>
        <v>0.99869999999999992</v>
      </c>
      <c r="AC44" s="142">
        <f t="shared" si="5"/>
        <v>0.99869999999999992</v>
      </c>
      <c r="AD44" s="142">
        <f t="shared" si="5"/>
        <v>0.99869999999999992</v>
      </c>
      <c r="AE44" s="142">
        <f t="shared" si="5"/>
        <v>0.99869999999999992</v>
      </c>
      <c r="AF44" s="142">
        <f t="shared" si="5"/>
        <v>0.99869999999999992</v>
      </c>
      <c r="AG44" s="142">
        <f t="shared" si="5"/>
        <v>0.99869999999999992</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895150000.00000024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1118937500.0000002</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2643864.8310489422</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4673985.2622923516</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3658925.0466706469</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7206437.5520441309</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11986056.182963178</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9596246.8675036542</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14270232.129796006</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175</v>
      </c>
      <c r="C77" s="87">
        <v>420584297.86158413</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734561365.50572729</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981619560.31990862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1155145663.3673115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1402203858.1814928</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196</v>
      </c>
      <c r="C85" s="150">
        <v>62128</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62575.32</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62351.66</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18526.301679334782</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22488.637161889397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1155145663.3673115</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1402203858.1814928</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1278674760.7744021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1278674760.7744021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42622492.025813408</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14270232.129796006</v>
      </c>
      <c r="E111" s="149">
        <f t="shared" si="7"/>
        <v>14270232.129796006</v>
      </c>
      <c r="F111" s="149">
        <f t="shared" si="7"/>
        <v>14270232.129796006</v>
      </c>
      <c r="G111" s="149">
        <f t="shared" si="7"/>
        <v>14270232.129796006</v>
      </c>
      <c r="H111" s="149">
        <f t="shared" si="7"/>
        <v>14270232.129796006</v>
      </c>
      <c r="I111" s="149">
        <f t="shared" si="7"/>
        <v>14270232.129796006</v>
      </c>
      <c r="J111" s="149">
        <f t="shared" si="7"/>
        <v>14270232.129796006</v>
      </c>
      <c r="K111" s="149">
        <f t="shared" si="7"/>
        <v>14270232.129796006</v>
      </c>
      <c r="L111" s="149">
        <f t="shared" si="7"/>
        <v>14270232.129796006</v>
      </c>
      <c r="M111" s="149">
        <f t="shared" si="7"/>
        <v>14270232.129796006</v>
      </c>
      <c r="N111" s="149">
        <f t="shared" si="7"/>
        <v>14270232.129796006</v>
      </c>
      <c r="O111" s="149">
        <f t="shared" si="7"/>
        <v>14270232.129796006</v>
      </c>
      <c r="P111" s="149">
        <f t="shared" si="7"/>
        <v>14270232.129796006</v>
      </c>
      <c r="Q111" s="149">
        <f t="shared" si="7"/>
        <v>14270232.129796006</v>
      </c>
      <c r="R111" s="149">
        <f t="shared" si="7"/>
        <v>14270232.129796006</v>
      </c>
      <c r="S111" s="149">
        <f t="shared" si="7"/>
        <v>14270232.129796006</v>
      </c>
      <c r="T111" s="149">
        <f t="shared" si="7"/>
        <v>14270232.129796006</v>
      </c>
      <c r="U111" s="149">
        <f t="shared" si="7"/>
        <v>14270232.129796006</v>
      </c>
      <c r="V111" s="149">
        <f t="shared" si="7"/>
        <v>14270232.129796006</v>
      </c>
      <c r="W111" s="149">
        <f t="shared" si="7"/>
        <v>14270232.129796006</v>
      </c>
      <c r="X111" s="149">
        <f t="shared" si="7"/>
        <v>14270232.129796006</v>
      </c>
      <c r="Y111" s="149">
        <f t="shared" si="7"/>
        <v>14270232.129796006</v>
      </c>
      <c r="Z111" s="149">
        <f t="shared" si="7"/>
        <v>14270232.129796006</v>
      </c>
      <c r="AA111" s="149">
        <f t="shared" si="7"/>
        <v>14270232.129796006</v>
      </c>
      <c r="AB111" s="149">
        <f t="shared" si="7"/>
        <v>14270232.129796006</v>
      </c>
      <c r="AC111" s="149">
        <f t="shared" si="7"/>
        <v>14270232.129796006</v>
      </c>
      <c r="AD111" s="149">
        <f t="shared" si="7"/>
        <v>14270232.129796006</v>
      </c>
      <c r="AE111" s="149">
        <f t="shared" si="7"/>
        <v>14270232.129796006</v>
      </c>
      <c r="AF111" s="149">
        <f t="shared" si="7"/>
        <v>14270232.129796006</v>
      </c>
      <c r="AG111" s="149">
        <f t="shared" si="7"/>
        <v>14270232.129796006</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1278674760.7744026</v>
      </c>
      <c r="D113" s="149">
        <f t="shared" ref="D113:AG113" si="8">$C$102</f>
        <v>42622492.025813408</v>
      </c>
      <c r="E113" s="149">
        <f t="shared" si="8"/>
        <v>42622492.025813408</v>
      </c>
      <c r="F113" s="149">
        <f t="shared" si="8"/>
        <v>42622492.025813408</v>
      </c>
      <c r="G113" s="149">
        <f t="shared" si="8"/>
        <v>42622492.025813408</v>
      </c>
      <c r="H113" s="149">
        <f t="shared" si="8"/>
        <v>42622492.025813408</v>
      </c>
      <c r="I113" s="149">
        <f t="shared" si="8"/>
        <v>42622492.025813408</v>
      </c>
      <c r="J113" s="149">
        <f t="shared" si="8"/>
        <v>42622492.025813408</v>
      </c>
      <c r="K113" s="149">
        <f t="shared" si="8"/>
        <v>42622492.025813408</v>
      </c>
      <c r="L113" s="149">
        <f t="shared" si="8"/>
        <v>42622492.025813408</v>
      </c>
      <c r="M113" s="149">
        <f t="shared" si="8"/>
        <v>42622492.025813408</v>
      </c>
      <c r="N113" s="149">
        <f t="shared" si="8"/>
        <v>42622492.025813408</v>
      </c>
      <c r="O113" s="149">
        <f t="shared" si="8"/>
        <v>42622492.025813408</v>
      </c>
      <c r="P113" s="149">
        <f t="shared" si="8"/>
        <v>42622492.025813408</v>
      </c>
      <c r="Q113" s="149">
        <f t="shared" si="8"/>
        <v>42622492.025813408</v>
      </c>
      <c r="R113" s="149">
        <f t="shared" si="8"/>
        <v>42622492.025813408</v>
      </c>
      <c r="S113" s="149">
        <f t="shared" si="8"/>
        <v>42622492.025813408</v>
      </c>
      <c r="T113" s="149">
        <f t="shared" si="8"/>
        <v>42622492.025813408</v>
      </c>
      <c r="U113" s="149">
        <f t="shared" si="8"/>
        <v>42622492.025813408</v>
      </c>
      <c r="V113" s="149">
        <f t="shared" si="8"/>
        <v>42622492.025813408</v>
      </c>
      <c r="W113" s="149">
        <f t="shared" si="8"/>
        <v>42622492.025813408</v>
      </c>
      <c r="X113" s="149">
        <f t="shared" si="8"/>
        <v>42622492.025813408</v>
      </c>
      <c r="Y113" s="149">
        <f t="shared" si="8"/>
        <v>42622492.025813408</v>
      </c>
      <c r="Z113" s="149">
        <f t="shared" si="8"/>
        <v>42622492.025813408</v>
      </c>
      <c r="AA113" s="149">
        <f t="shared" si="8"/>
        <v>42622492.025813408</v>
      </c>
      <c r="AB113" s="149">
        <f t="shared" si="8"/>
        <v>42622492.025813408</v>
      </c>
      <c r="AC113" s="149">
        <f t="shared" si="8"/>
        <v>42622492.025813408</v>
      </c>
      <c r="AD113" s="149">
        <f t="shared" si="8"/>
        <v>42622492.025813408</v>
      </c>
      <c r="AE113" s="149">
        <f t="shared" si="8"/>
        <v>42622492.025813408</v>
      </c>
      <c r="AF113" s="149">
        <f t="shared" si="8"/>
        <v>42622492.025813408</v>
      </c>
      <c r="AG113" s="149">
        <f t="shared" si="8"/>
        <v>42622492.025813408</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-6651.1842493638396</v>
      </c>
      <c r="I115" s="149">
        <f t="shared" si="9"/>
        <v>-13301.330590106547</v>
      </c>
      <c r="J115" s="149">
        <f t="shared" si="9"/>
        <v>-19950.439184196293</v>
      </c>
      <c r="K115" s="149">
        <f t="shared" si="9"/>
        <v>-26598.510193563998</v>
      </c>
      <c r="L115" s="149">
        <f t="shared" si="9"/>
        <v>-33245.543780133128</v>
      </c>
      <c r="M115" s="149">
        <f t="shared" si="9"/>
        <v>-35905.51952739805</v>
      </c>
      <c r="N115" s="149">
        <f t="shared" si="9"/>
        <v>-38565.32914186269</v>
      </c>
      <c r="O115" s="149">
        <f t="shared" si="9"/>
        <v>-41224.972633898258</v>
      </c>
      <c r="P115" s="149">
        <f t="shared" si="9"/>
        <v>-43884.450013875961</v>
      </c>
      <c r="Q115" s="149">
        <f t="shared" si="9"/>
        <v>-46543.761292181909</v>
      </c>
      <c r="R115" s="149">
        <f t="shared" si="9"/>
        <v>-48317.004661738873</v>
      </c>
      <c r="S115" s="149">
        <f t="shared" si="9"/>
        <v>-50090.174177579582</v>
      </c>
      <c r="T115" s="149">
        <f t="shared" si="9"/>
        <v>-51863.269842781126</v>
      </c>
      <c r="U115" s="149">
        <f t="shared" si="9"/>
        <v>-53636.291660413146</v>
      </c>
      <c r="V115" s="149">
        <f t="shared" si="9"/>
        <v>-55409.239633560181</v>
      </c>
      <c r="W115" s="149">
        <f t="shared" si="9"/>
        <v>-55409.239633560181</v>
      </c>
      <c r="X115" s="149">
        <f t="shared" si="9"/>
        <v>-55409.239633560181</v>
      </c>
      <c r="Y115" s="149">
        <f t="shared" si="9"/>
        <v>-55409.239633560181</v>
      </c>
      <c r="Z115" s="149">
        <f t="shared" si="9"/>
        <v>-55409.239633560181</v>
      </c>
      <c r="AA115" s="149">
        <f t="shared" si="9"/>
        <v>-55409.239633560181</v>
      </c>
      <c r="AB115" s="149">
        <f t="shared" si="9"/>
        <v>-55409.239633560181</v>
      </c>
      <c r="AC115" s="149">
        <f t="shared" si="9"/>
        <v>-55409.239633560181</v>
      </c>
      <c r="AD115" s="149">
        <f t="shared" si="9"/>
        <v>-55409.239633560181</v>
      </c>
      <c r="AE115" s="149">
        <f t="shared" si="9"/>
        <v>-55409.239633560181</v>
      </c>
      <c r="AF115" s="149">
        <f t="shared" si="9"/>
        <v>-55409.239633560181</v>
      </c>
      <c r="AG115" s="149">
        <f t="shared" si="9"/>
        <v>-55409.239633560181</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42622492.025813408</v>
      </c>
      <c r="E118" s="149">
        <f t="shared" ref="E118:AG118" si="11">E113+E115+E116</f>
        <v>42622492.025813408</v>
      </c>
      <c r="F118" s="149">
        <f>F113+F115+F116</f>
        <v>42622492.025813408</v>
      </c>
      <c r="G118" s="149">
        <f t="shared" si="11"/>
        <v>42622492.025813408</v>
      </c>
      <c r="H118" s="149">
        <f t="shared" si="11"/>
        <v>42615840.841564044</v>
      </c>
      <c r="I118" s="149">
        <f t="shared" si="11"/>
        <v>42609190.695223302</v>
      </c>
      <c r="J118" s="149">
        <f t="shared" si="11"/>
        <v>42602541.586629212</v>
      </c>
      <c r="K118" s="149">
        <f t="shared" si="11"/>
        <v>42595893.515619844</v>
      </c>
      <c r="L118" s="149">
        <f t="shared" si="11"/>
        <v>42589246.482033275</v>
      </c>
      <c r="M118" s="149">
        <f t="shared" si="11"/>
        <v>42586586.50628601</v>
      </c>
      <c r="N118" s="149">
        <f t="shared" si="11"/>
        <v>42583926.696671546</v>
      </c>
      <c r="O118" s="149">
        <f t="shared" si="11"/>
        <v>42581267.05317951</v>
      </c>
      <c r="P118" s="149">
        <f t="shared" si="11"/>
        <v>42578607.575799532</v>
      </c>
      <c r="Q118" s="149">
        <f t="shared" si="11"/>
        <v>42575948.264521226</v>
      </c>
      <c r="R118" s="149">
        <f t="shared" si="11"/>
        <v>42574175.021151669</v>
      </c>
      <c r="S118" s="149">
        <f t="shared" si="11"/>
        <v>42572401.851635829</v>
      </c>
      <c r="T118" s="149">
        <f t="shared" si="11"/>
        <v>42570628.755970627</v>
      </c>
      <c r="U118" s="149">
        <f t="shared" si="11"/>
        <v>42568855.734152995</v>
      </c>
      <c r="V118" s="149">
        <f t="shared" si="11"/>
        <v>42567082.786179848</v>
      </c>
      <c r="W118" s="149">
        <f t="shared" si="11"/>
        <v>42567082.786179848</v>
      </c>
      <c r="X118" s="149">
        <f t="shared" si="11"/>
        <v>42567082.786179848</v>
      </c>
      <c r="Y118" s="149">
        <f t="shared" si="11"/>
        <v>42567082.786179848</v>
      </c>
      <c r="Z118" s="149">
        <f t="shared" si="11"/>
        <v>42567082.786179848</v>
      </c>
      <c r="AA118" s="149">
        <f t="shared" si="11"/>
        <v>42567082.786179848</v>
      </c>
      <c r="AB118" s="149">
        <f t="shared" si="11"/>
        <v>42567082.786179848</v>
      </c>
      <c r="AC118" s="149">
        <f t="shared" si="11"/>
        <v>42567082.786179848</v>
      </c>
      <c r="AD118" s="149">
        <f t="shared" si="11"/>
        <v>42567082.786179848</v>
      </c>
      <c r="AE118" s="149">
        <f t="shared" si="11"/>
        <v>42567082.786179848</v>
      </c>
      <c r="AF118" s="149">
        <f t="shared" si="11"/>
        <v>42567082.786179848</v>
      </c>
      <c r="AG118" s="149">
        <f t="shared" si="11"/>
        <v>42567082.786179848</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1022939.8086195217</v>
      </c>
      <c r="E120" s="149">
        <f>(SUM($D$118:E118)*$C$104/$C$106)+(SUM($D$118:E118)*$C$105/$C$107)</f>
        <v>2045879.6172390433</v>
      </c>
      <c r="F120" s="149">
        <f>(SUM($D$118:F118)*$C$104/$C$106)+(SUM($D$118:F118)*$C$105/$C$107)</f>
        <v>3068819.4258585656</v>
      </c>
      <c r="G120" s="149">
        <f>(SUM($D$118:G118)*$C$104/$C$106)+(SUM($D$118:G118)*$C$105/$C$107)</f>
        <v>4091759.2344780867</v>
      </c>
      <c r="H120" s="149">
        <f>(SUM($D$118:H118)*$C$104/$C$106)+(SUM($D$118:H118)*$C$105/$C$107)</f>
        <v>5114539.4146756241</v>
      </c>
      <c r="I120" s="149">
        <f>(SUM($D$118:I118)*$C$104/$C$106)+(SUM($D$118:I118)*$C$105/$C$107)</f>
        <v>6137159.9913609829</v>
      </c>
      <c r="J120" s="149">
        <f>(SUM($D$118:J118)*$C$104/$C$106)+(SUM($D$118:J118)*$C$105/$C$107)</f>
        <v>7159620.9894400835</v>
      </c>
      <c r="K120" s="149">
        <f>(SUM($D$118:K118)*$C$104/$C$106)+(SUM($D$118:K118)*$C$105/$C$107)</f>
        <v>8181922.4338149605</v>
      </c>
      <c r="L120" s="149">
        <f>(SUM($D$118:L118)*$C$104/$C$106)+(SUM($D$118:L118)*$C$105/$C$107)</f>
        <v>9204064.3493837584</v>
      </c>
      <c r="M120" s="149">
        <f>(SUM($D$118:M118)*$C$104/$C$106)+(SUM($D$118:M118)*$C$105/$C$107)</f>
        <v>10226142.425534623</v>
      </c>
      <c r="N120" s="149">
        <f>(SUM($D$118:N118)*$C$104/$C$106)+(SUM($D$118:N118)*$C$105/$C$107)</f>
        <v>11248156.666254738</v>
      </c>
      <c r="O120" s="149">
        <f>(SUM($D$118:O118)*$C$104/$C$106)+(SUM($D$118:O118)*$C$105/$C$107)</f>
        <v>12270107.075531051</v>
      </c>
      <c r="P120" s="149">
        <f>(SUM($D$118:P118)*$C$104/$C$106)+(SUM($D$118:P118)*$C$105/$C$107)</f>
        <v>13291993.657350238</v>
      </c>
      <c r="Q120" s="149">
        <f>(SUM($D$118:Q118)*$C$104/$C$106)+(SUM($D$118:Q118)*$C$105/$C$107)</f>
        <v>14313816.415698744</v>
      </c>
      <c r="R120" s="149">
        <f>(SUM($D$118:R118)*$C$104/$C$106)+(SUM($D$118:R118)*$C$105/$C$107)</f>
        <v>15335596.616206385</v>
      </c>
      <c r="S120" s="149">
        <f>(SUM($D$118:S118)*$C$104/$C$106)+(SUM($D$118:S118)*$C$105/$C$107)</f>
        <v>16357334.260645647</v>
      </c>
      <c r="T120" s="149">
        <f>(SUM($D$118:T118)*$C$104/$C$106)+(SUM($D$118:T118)*$C$105/$C$107)</f>
        <v>17379029.35078894</v>
      </c>
      <c r="U120" s="149">
        <f>(SUM($D$118:U118)*$C$104/$C$106)+(SUM($D$118:U118)*$C$105/$C$107)</f>
        <v>18400681.888408612</v>
      </c>
      <c r="V120" s="149">
        <f>(SUM($D$118:V118)*$C$104/$C$106)+(SUM($D$118:V118)*$C$105/$C$107)</f>
        <v>19422291.875276931</v>
      </c>
      <c r="W120" s="149">
        <f>(SUM($D$118:W118)*$C$104/$C$106)+(SUM($D$118:W118)*$C$105/$C$107)</f>
        <v>20443901.862145249</v>
      </c>
      <c r="X120" s="149">
        <f>(SUM($D$118:X118)*$C$104/$C$106)+(SUM($D$118:X118)*$C$105/$C$107)</f>
        <v>21465511.849013567</v>
      </c>
      <c r="Y120" s="149">
        <f>(SUM($D$118:Y118)*$C$104/$C$106)+(SUM($D$118:Y118)*$C$105/$C$107)</f>
        <v>22487121.835881881</v>
      </c>
      <c r="Z120" s="149">
        <f>(SUM($D$118:Z118)*$C$104/$C$106)+(SUM($D$118:Z118)*$C$105/$C$107)</f>
        <v>23508731.8227502</v>
      </c>
      <c r="AA120" s="149">
        <f>(SUM($D$118:AA118)*$C$104/$C$106)+(SUM($D$118:AA118)*$C$105/$C$107)</f>
        <v>24530341.809618518</v>
      </c>
      <c r="AB120" s="149">
        <f>(SUM($D$118:AB118)*$C$104/$C$106)+(SUM($D$118:AB118)*$C$105/$C$107)</f>
        <v>25551951.796486836</v>
      </c>
      <c r="AC120" s="149">
        <f>(SUM($D$118:AC118)*$C$104/$C$106)+(SUM($D$118:AC118)*$C$105/$C$107)</f>
        <v>26573561.783355158</v>
      </c>
      <c r="AD120" s="149">
        <f>(SUM($D$118:AD118)*$C$104/$C$106)+(SUM($D$118:AD118)*$C$105/$C$107)</f>
        <v>27595171.770223469</v>
      </c>
      <c r="AE120" s="149">
        <f>(SUM($D$118:AE118)*$C$104/$C$106)+(SUM($D$118:AE118)*$C$105/$C$107)</f>
        <v>28616781.757091783</v>
      </c>
      <c r="AF120" s="149">
        <f>(SUM($D$118:AF118)*$C$104/$C$106)+(SUM($D$118:AF118)*$C$105/$C$107)</f>
        <v>29638391.743960101</v>
      </c>
      <c r="AG120" s="149">
        <f>(SUM($D$118:AG118)*$C$104/$C$106)+(SUM($D$118:AG118)*$C$105/$C$107)</f>
        <v>30660001.730828412</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1278674.7607744022</v>
      </c>
      <c r="E122" s="72">
        <f>(SUM($D$118:E118)*$C$109)</f>
        <v>2557349.5215488044</v>
      </c>
      <c r="F122" s="72">
        <f>(SUM($D$118:F118)*$C$109)</f>
        <v>3836024.2823232068</v>
      </c>
      <c r="G122" s="72">
        <f>(SUM($D$118:G118)*$C$109)</f>
        <v>5114699.0430976087</v>
      </c>
      <c r="H122" s="72">
        <f>(SUM($D$118:H118)*$C$109)</f>
        <v>6393174.2683445299</v>
      </c>
      <c r="I122" s="72">
        <f>(SUM($D$118:I118)*$C$109)</f>
        <v>7671449.9892012291</v>
      </c>
      <c r="J122" s="72">
        <f>(SUM($D$118:J118)*$C$109)</f>
        <v>8949526.2368001044</v>
      </c>
      <c r="K122" s="72">
        <f>(SUM($D$118:K118)*$C$109)</f>
        <v>10227403.042268701</v>
      </c>
      <c r="L122" s="72">
        <f>(SUM($D$118:L118)*$C$109)</f>
        <v>11505080.436729698</v>
      </c>
      <c r="M122" s="72">
        <f>(SUM($D$118:M118)*$C$109)</f>
        <v>12782678.031918278</v>
      </c>
      <c r="N122" s="72">
        <f>(SUM($D$118:N118)*$C$109)</f>
        <v>14060195.832818424</v>
      </c>
      <c r="O122" s="72">
        <f>(SUM($D$118:O118)*$C$109)</f>
        <v>15337633.844413809</v>
      </c>
      <c r="P122" s="72">
        <f>(SUM($D$118:P118)*$C$109)</f>
        <v>16614992.071687795</v>
      </c>
      <c r="Q122" s="72">
        <f>(SUM($D$118:Q118)*$C$109)</f>
        <v>17892270.519623432</v>
      </c>
      <c r="R122" s="72">
        <f>(SUM($D$118:R118)*$C$109)</f>
        <v>19169495.770257983</v>
      </c>
      <c r="S122" s="72">
        <f>(SUM($D$118:S118)*$C$109)</f>
        <v>20446667.825807057</v>
      </c>
      <c r="T122" s="72">
        <f>(SUM($D$118:T118)*$C$109)</f>
        <v>21723786.688486174</v>
      </c>
      <c r="U122" s="72">
        <f>(SUM($D$118:U118)*$C$109)</f>
        <v>23000852.360510767</v>
      </c>
      <c r="V122" s="72">
        <f>(SUM($D$118:V118)*$C$109)</f>
        <v>24277864.844096161</v>
      </c>
      <c r="W122" s="72">
        <f>(SUM($D$118:W118)*$C$109)</f>
        <v>25554877.32768156</v>
      </c>
      <c r="X122" s="72">
        <f>(SUM($D$118:X118)*$C$109)</f>
        <v>26831889.811266955</v>
      </c>
      <c r="Y122" s="72">
        <f>(SUM($D$118:Y118)*$C$109)</f>
        <v>28108902.294852354</v>
      </c>
      <c r="Z122" s="72">
        <f>(SUM($D$118:Z118)*$C$109)</f>
        <v>29385914.778437752</v>
      </c>
      <c r="AA122" s="72">
        <f>(SUM($D$118:AA118)*$C$109)</f>
        <v>30662927.262023147</v>
      </c>
      <c r="AB122" s="72">
        <f>(SUM($D$118:AB118)*$C$109)</f>
        <v>31939939.745608546</v>
      </c>
      <c r="AC122" s="72">
        <f>(SUM($D$118:AC118)*$C$109)</f>
        <v>33216952.229193941</v>
      </c>
      <c r="AD122" s="72">
        <f>(SUM($D$118:AD118)*$C$109)</f>
        <v>34493964.712779336</v>
      </c>
      <c r="AE122" s="72">
        <f>(SUM($D$118:AE118)*$C$109)</f>
        <v>35770977.196364731</v>
      </c>
      <c r="AF122" s="72">
        <f>(SUM($D$118:AF118)*$C$109)</f>
        <v>37047989.679950118</v>
      </c>
      <c r="AG122" s="72">
        <f>(SUM($D$118:AG118)*$C$109)</f>
        <v>38325002.163535513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26">
        <v>62128</v>
      </c>
      <c r="D126" s="140"/>
    </row>
    <row r="127" spans="1:33" x14ac:dyDescent="0.35">
      <c r="A127" s="77" t="s">
        <v>150</v>
      </c>
      <c r="B127" s="77" t="s">
        <v>133</v>
      </c>
      <c r="C127" s="180">
        <v>62575.32</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62351.66</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23093.207407407408</v>
      </c>
      <c r="D135" s="157">
        <f t="shared" ref="D135:AG135" si="12">$C$135*D13</f>
        <v>23435.266109719298</v>
      </c>
      <c r="E135" s="157">
        <f t="shared" si="12"/>
        <v>23782.391416845454</v>
      </c>
      <c r="F135" s="157">
        <f t="shared" si="12"/>
        <v>24134.658375800242</v>
      </c>
      <c r="G135" s="157">
        <f t="shared" si="12"/>
        <v>24492.143145201262</v>
      </c>
      <c r="H135" s="157">
        <f t="shared" si="12"/>
        <v>24854.92301173454</v>
      </c>
      <c r="I135" s="157">
        <f t="shared" si="12"/>
        <v>25223.076406863562</v>
      </c>
      <c r="J135" s="157">
        <f t="shared" si="12"/>
        <v>25596.682923785847</v>
      </c>
      <c r="K135" s="157">
        <f t="shared" si="12"/>
        <v>25975.823334640627</v>
      </c>
      <c r="L135" s="157">
        <f t="shared" si="12"/>
        <v>26360.57960797146</v>
      </c>
      <c r="M135" s="157">
        <f t="shared" si="12"/>
        <v>26751.034926447475</v>
      </c>
      <c r="N135" s="157">
        <f t="shared" si="12"/>
        <v>27147.273704847117</v>
      </c>
      <c r="O135" s="157">
        <f t="shared" si="12"/>
        <v>27549.381608308246</v>
      </c>
      <c r="P135" s="157">
        <f t="shared" si="12"/>
        <v>27957.445570848602</v>
      </c>
      <c r="Q135" s="157">
        <f t="shared" si="12"/>
        <v>28371.553814160536</v>
      </c>
      <c r="R135" s="157">
        <f t="shared" si="12"/>
        <v>28791.795866684206</v>
      </c>
      <c r="S135" s="157">
        <f t="shared" si="12"/>
        <v>29218.262582963205</v>
      </c>
      <c r="T135" s="157">
        <f t="shared" si="12"/>
        <v>29651.046163286937</v>
      </c>
      <c r="U135" s="157">
        <f t="shared" si="12"/>
        <v>30090.240173623959</v>
      </c>
      <c r="V135" s="157">
        <f t="shared" si="12"/>
        <v>30535.939565850495</v>
      </c>
      <c r="W135" s="157">
        <f t="shared" si="12"/>
        <v>30988.240698278671</v>
      </c>
      <c r="X135" s="157">
        <f t="shared" si="12"/>
        <v>31447.241356488739</v>
      </c>
      <c r="Y135" s="157">
        <f t="shared" si="12"/>
        <v>31913.040774469926</v>
      </c>
      <c r="Z135" s="157">
        <f t="shared" si="12"/>
        <v>32385.739656074402</v>
      </c>
      <c r="AA135" s="157">
        <f t="shared" si="12"/>
        <v>32865.440196788993</v>
      </c>
      <c r="AB135" s="157">
        <f t="shared" si="12"/>
        <v>33352.246105829443</v>
      </c>
      <c r="AC135" s="157">
        <f t="shared" si="12"/>
        <v>33846.262628561897</v>
      </c>
      <c r="AD135" s="157">
        <f t="shared" si="12"/>
        <v>34347.596569256501</v>
      </c>
      <c r="AE135" s="157">
        <f t="shared" si="12"/>
        <v>34856.356314178003</v>
      </c>
      <c r="AF135" s="157">
        <f t="shared" si="12"/>
        <v>35372.65185501847</v>
      </c>
      <c r="AG135" s="157">
        <f t="shared" si="12"/>
        <v>35896.594812676958</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0.3</v>
      </c>
      <c r="F4" s="65">
        <v>0.2</v>
      </c>
      <c r="G4" s="65">
        <v>0.18</v>
      </c>
      <c r="H4" s="65">
        <v>0.18</v>
      </c>
      <c r="I4" s="65">
        <v>0.15</v>
      </c>
      <c r="J4" s="65">
        <v>0.1</v>
      </c>
      <c r="K4" s="65">
        <v>0.06</v>
      </c>
      <c r="L4" s="65">
        <v>0.06</v>
      </c>
      <c r="M4" s="65">
        <v>0.05</v>
      </c>
      <c r="N4" s="65">
        <v>0.05</v>
      </c>
      <c r="O4" s="65">
        <v>0.05</v>
      </c>
      <c r="P4" s="65">
        <v>0.05</v>
      </c>
      <c r="Q4" s="65">
        <v>0.04</v>
      </c>
      <c r="R4" s="65">
        <v>0.04</v>
      </c>
      <c r="S4" s="65">
        <v>0.04</v>
      </c>
      <c r="T4" s="65">
        <v>0.04</v>
      </c>
      <c r="U4" s="65">
        <v>0.04</v>
      </c>
      <c r="V4" s="65">
        <v>0.04</v>
      </c>
      <c r="W4" s="65">
        <v>0.04</v>
      </c>
      <c r="X4" s="65">
        <v>0.03</v>
      </c>
      <c r="Y4" s="65">
        <v>0.03</v>
      </c>
      <c r="Z4" s="65">
        <v>0.03</v>
      </c>
      <c r="AA4" s="65">
        <v>0.03</v>
      </c>
      <c r="AB4" s="65">
        <v>0.03</v>
      </c>
      <c r="AC4" s="65">
        <v>0.03</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2.5017981059388257</v>
      </c>
      <c r="C6" s="25"/>
      <c r="D6" s="25"/>
      <c r="E6" s="27">
        <f>'Debt worksheet'!C5/'Profit and Loss'!C5</f>
        <v>1.4693676039670556</v>
      </c>
      <c r="F6" s="28">
        <f ca="1">'Debt worksheet'!D5/'Profit and Loss'!D5</f>
        <v>2.0252571001964172</v>
      </c>
      <c r="G6" s="28">
        <f ca="1">'Debt worksheet'!E5/'Profit and Loss'!E5</f>
        <v>2.3291511727872498</v>
      </c>
      <c r="H6" s="28">
        <f ca="1">'Debt worksheet'!F5/'Profit and Loss'!F5</f>
        <v>2.4276421967271919</v>
      </c>
      <c r="I6" s="28">
        <f ca="1">'Debt worksheet'!G5/'Profit and Loss'!G5</f>
        <v>2.4277348419734888</v>
      </c>
      <c r="J6" s="28">
        <f ca="1">'Debt worksheet'!H5/'Profit and Loss'!H5</f>
        <v>2.4255423199835029</v>
      </c>
      <c r="K6" s="28">
        <f ca="1">'Debt worksheet'!I5/'Profit and Loss'!I5</f>
        <v>2.4550506517394215</v>
      </c>
      <c r="L6" s="28">
        <f ca="1">'Debt worksheet'!J5/'Profit and Loss'!J5</f>
        <v>2.4645049304667834</v>
      </c>
      <c r="M6" s="28">
        <f ca="1">'Debt worksheet'!K5/'Profit and Loss'!K5</f>
        <v>2.4775264179938903</v>
      </c>
      <c r="N6" s="28">
        <f ca="1">'Debt worksheet'!L5/'Profit and Loss'!L5</f>
        <v>2.4799795450901971</v>
      </c>
      <c r="O6" s="28">
        <f ca="1">'Debt worksheet'!M5/'Profit and Loss'!M5</f>
        <v>2.4716219593441018</v>
      </c>
      <c r="P6" s="28">
        <f ca="1">'Debt worksheet'!N5/'Profit and Loss'!N5</f>
        <v>2.4521856347376727</v>
      </c>
      <c r="Q6" s="28">
        <f ca="1">'Debt worksheet'!O5/'Profit and Loss'!O5</f>
        <v>2.4447491113165123</v>
      </c>
      <c r="R6" s="28">
        <f ca="1">'Debt worksheet'!P5/'Profit and Loss'!P5</f>
        <v>2.4347328388587171</v>
      </c>
      <c r="S6" s="28">
        <f ca="1">'Debt worksheet'!Q5/'Profit and Loss'!Q5</f>
        <v>2.4216178007558482</v>
      </c>
      <c r="T6" s="28">
        <f ca="1">'Debt worksheet'!R5/'Profit and Loss'!R5</f>
        <v>2.4049472522296673</v>
      </c>
      <c r="U6" s="28">
        <f ca="1">'Debt worksheet'!S5/'Profit and Loss'!S5</f>
        <v>2.3842851877734295</v>
      </c>
      <c r="V6" s="28">
        <f ca="1">'Debt worksheet'!T5/'Profit and Loss'!T5</f>
        <v>2.3592339512586875</v>
      </c>
      <c r="W6" s="28">
        <f ca="1">'Debt worksheet'!U5/'Profit and Loss'!U5</f>
        <v>2.3294322042450939</v>
      </c>
      <c r="X6" s="28">
        <f ca="1">'Debt worksheet'!V5/'Profit and Loss'!V5</f>
        <v>2.3168301971554475</v>
      </c>
      <c r="Y6" s="28">
        <f ca="1">'Debt worksheet'!W5/'Profit and Loss'!W5</f>
        <v>2.3079505744374829</v>
      </c>
      <c r="Z6" s="28">
        <f ca="1">'Debt worksheet'!X5/'Profit and Loss'!X5</f>
        <v>2.3023655676285171</v>
      </c>
      <c r="AA6" s="28">
        <f ca="1">'Debt worksheet'!Y5/'Profit and Loss'!Y5</f>
        <v>2.2996645883229112</v>
      </c>
      <c r="AB6" s="28">
        <f ca="1">'Debt worksheet'!Z5/'Profit and Loss'!Z5</f>
        <v>2.2994536936774139</v>
      </c>
      <c r="AC6" s="28">
        <f ca="1">'Debt worksheet'!AA5/'Profit and Loss'!AA5</f>
        <v>2.3013550669446063</v>
      </c>
      <c r="AD6" s="28">
        <f ca="1">'Debt worksheet'!AB5/'Profit and Loss'!AB5</f>
        <v>2.3230496164491004</v>
      </c>
      <c r="AE6" s="28">
        <f ca="1">'Debt worksheet'!AC5/'Profit and Loss'!AC5</f>
        <v>2.3541890846708817</v>
      </c>
      <c r="AF6" s="28">
        <f ca="1">'Debt worksheet'!AD5/'Profit and Loss'!AD5</f>
        <v>2.3945231119833998</v>
      </c>
      <c r="AG6" s="28">
        <f ca="1">'Debt worksheet'!AE5/'Profit and Loss'!AE5</f>
        <v>2.4438062975119497</v>
      </c>
      <c r="AH6" s="28">
        <f ca="1">'Debt worksheet'!AF5/'Profit and Loss'!AF5</f>
        <v>2.5017981059388257</v>
      </c>
      <c r="AI6" s="31"/>
    </row>
    <row r="7" spans="1:35" ht="21" x14ac:dyDescent="0.5">
      <c r="A7" s="19" t="s">
        <v>38</v>
      </c>
      <c r="B7" s="26">
        <f ca="1">MIN('Price and Financial ratios'!E7:AH7)</f>
        <v>0.19135044989699498</v>
      </c>
      <c r="C7" s="26"/>
      <c r="D7" s="26"/>
      <c r="E7" s="56">
        <f ca="1">'Cash Flow'!C7/'Debt worksheet'!C5</f>
        <v>0.24279582245527601</v>
      </c>
      <c r="F7" s="32">
        <f ca="1">'Cash Flow'!D7/'Debt worksheet'!D5</f>
        <v>0.19928189912240843</v>
      </c>
      <c r="G7" s="32">
        <f ca="1">'Cash Flow'!E7/'Debt worksheet'!E5</f>
        <v>0.19135044989699498</v>
      </c>
      <c r="H7" s="32">
        <f ca="1">'Cash Flow'!F7/'Debt worksheet'!F5</f>
        <v>0.20249133421243737</v>
      </c>
      <c r="I7" s="32">
        <f ca="1">'Cash Flow'!G7/'Debt worksheet'!G5</f>
        <v>0.21695545891842699</v>
      </c>
      <c r="J7" s="32">
        <f ca="1">'Cash Flow'!H7/'Debt worksheet'!H5</f>
        <v>0.2236804417982792</v>
      </c>
      <c r="K7" s="32">
        <f ca="1">'Cash Flow'!I7/'Debt worksheet'!I5</f>
        <v>0.22110152683107845</v>
      </c>
      <c r="L7" s="32">
        <f ca="1">'Cash Flow'!J7/'Debt worksheet'!J5</f>
        <v>0.22099052131707145</v>
      </c>
      <c r="M7" s="17">
        <f ca="1">'Cash Flow'!K7/'Debt worksheet'!K5</f>
        <v>0.21927246528958869</v>
      </c>
      <c r="N7" s="17">
        <f ca="1">'Cash Flow'!L7/'Debt worksheet'!L5</f>
        <v>0.2189108768854533</v>
      </c>
      <c r="O7" s="17">
        <f ca="1">'Cash Flow'!M7/'Debt worksheet'!M5</f>
        <v>0.21992236541463048</v>
      </c>
      <c r="P7" s="17">
        <f ca="1">'Cash Flow'!N7/'Debt worksheet'!N5</f>
        <v>0.22234217778941789</v>
      </c>
      <c r="Q7" s="17">
        <f ca="1">'Cash Flow'!O7/'Debt worksheet'!O5</f>
        <v>0.22216445171660182</v>
      </c>
      <c r="R7" s="17">
        <f ca="1">'Cash Flow'!P7/'Debt worksheet'!P5</f>
        <v>0.22246344768849644</v>
      </c>
      <c r="S7" s="17">
        <f ca="1">'Cash Flow'!Q7/'Debt worksheet'!Q5</f>
        <v>0.22328492722730528</v>
      </c>
      <c r="T7" s="17">
        <f ca="1">'Cash Flow'!R7/'Debt worksheet'!R5</f>
        <v>0.22468399620731941</v>
      </c>
      <c r="U7" s="17">
        <f ca="1">'Cash Flow'!S7/'Debt worksheet'!S5</f>
        <v>0.2267163605396546</v>
      </c>
      <c r="V7" s="17">
        <f ca="1">'Cash Flow'!T7/'Debt worksheet'!T5</f>
        <v>0.2294433812207117</v>
      </c>
      <c r="W7" s="17">
        <f ca="1">'Cash Flow'!U7/'Debt worksheet'!U5</f>
        <v>0.23293460916805403</v>
      </c>
      <c r="X7" s="17">
        <f ca="1">'Cash Flow'!V7/'Debt worksheet'!V5</f>
        <v>0.23291748870565282</v>
      </c>
      <c r="Y7" s="17">
        <f ca="1">'Cash Flow'!W7/'Debt worksheet'!W5</f>
        <v>0.23259724849277646</v>
      </c>
      <c r="Z7" s="17">
        <f ca="1">'Cash Flow'!X7/'Debt worksheet'!X5</f>
        <v>0.23201684044911497</v>
      </c>
      <c r="AA7" s="17">
        <f ca="1">'Cash Flow'!Y7/'Debt worksheet'!Y5</f>
        <v>0.2312198289397322</v>
      </c>
      <c r="AB7" s="17">
        <f ca="1">'Cash Flow'!Z7/'Debt worksheet'!Z5</f>
        <v>0.23024946545714708</v>
      </c>
      <c r="AC7" s="17">
        <f ca="1">'Cash Flow'!AA7/'Debt worksheet'!AA5</f>
        <v>0.22914793068540212</v>
      </c>
      <c r="AD7" s="17">
        <f ca="1">'Cash Flow'!AB7/'Debt worksheet'!AB5</f>
        <v>0.22446391706401264</v>
      </c>
      <c r="AE7" s="17">
        <f ca="1">'Cash Flow'!AC7/'Debt worksheet'!AC5</f>
        <v>0.21891941597575229</v>
      </c>
      <c r="AF7" s="17">
        <f ca="1">'Cash Flow'!AD7/'Debt worksheet'!AD5</f>
        <v>0.21263777027487751</v>
      </c>
      <c r="AG7" s="17">
        <f ca="1">'Cash Flow'!AE7/'Debt worksheet'!AE5</f>
        <v>0.20574889610766464</v>
      </c>
      <c r="AH7" s="17">
        <f ca="1">'Cash Flow'!AF7/'Debt worksheet'!AF5</f>
        <v>0.19838345502707985</v>
      </c>
      <c r="AI7" s="29"/>
    </row>
    <row r="8" spans="1:35" ht="21" x14ac:dyDescent="0.5">
      <c r="A8" s="19" t="s">
        <v>33</v>
      </c>
      <c r="B8" s="26">
        <f ca="1">MAX('Price and Financial ratios'!E8:AH8)</f>
        <v>0.37344853138776363</v>
      </c>
      <c r="C8" s="26"/>
      <c r="D8" s="176"/>
      <c r="E8" s="17">
        <f>'Balance Sheet'!B11/'Balance Sheet'!B8</f>
        <v>0.13301405811927081</v>
      </c>
      <c r="F8" s="17">
        <f ca="1">'Balance Sheet'!C11/'Balance Sheet'!C8</f>
        <v>0.22400815140311001</v>
      </c>
      <c r="G8" s="17">
        <f ca="1">'Balance Sheet'!D11/'Balance Sheet'!D8</f>
        <v>0.28304307135242512</v>
      </c>
      <c r="H8" s="17">
        <f ca="1">'Balance Sheet'!E11/'Balance Sheet'!E8</f>
        <v>0.32557149563343918</v>
      </c>
      <c r="I8" s="17">
        <f ca="1">'Balance Sheet'!F11/'Balance Sheet'!F8</f>
        <v>0.35154450913980029</v>
      </c>
      <c r="J8" s="17">
        <f ca="1">'Balance Sheet'!G11/'Balance Sheet'!G8</f>
        <v>0.36399945428380526</v>
      </c>
      <c r="K8" s="17">
        <f ca="1">'Balance Sheet'!H11/'Balance Sheet'!H8</f>
        <v>0.36907242274383262</v>
      </c>
      <c r="L8" s="17">
        <f ca="1">'Balance Sheet'!I11/'Balance Sheet'!I8</f>
        <v>0.37216200923374487</v>
      </c>
      <c r="M8" s="17">
        <f ca="1">'Balance Sheet'!J11/'Balance Sheet'!J8</f>
        <v>0.37318722571424995</v>
      </c>
      <c r="N8" s="17">
        <f ca="1">'Balance Sheet'!K11/'Balance Sheet'!K8</f>
        <v>0.37344853138776363</v>
      </c>
      <c r="O8" s="17">
        <f ca="1">'Balance Sheet'!L11/'Balance Sheet'!L8</f>
        <v>0.37283339553747041</v>
      </c>
      <c r="P8" s="17">
        <f ca="1">'Balance Sheet'!M11/'Balance Sheet'!M8</f>
        <v>0.3712225668186514</v>
      </c>
      <c r="Q8" s="17">
        <f ca="1">'Balance Sheet'!N11/'Balance Sheet'!N8</f>
        <v>0.36850010484696577</v>
      </c>
      <c r="R8" s="17">
        <f ca="1">'Balance Sheet'!O11/'Balance Sheet'!O8</f>
        <v>0.3659711246289144</v>
      </c>
      <c r="S8" s="17">
        <f ca="1">'Balance Sheet'!P11/'Balance Sheet'!P8</f>
        <v>0.36350464216321887</v>
      </c>
      <c r="T8" s="17">
        <f ca="1">'Balance Sheet'!Q11/'Balance Sheet'!Q8</f>
        <v>0.36098366072406035</v>
      </c>
      <c r="U8" s="17">
        <f ca="1">'Balance Sheet'!R11/'Balance Sheet'!R8</f>
        <v>0.35829790774803283</v>
      </c>
      <c r="V8" s="17">
        <f ca="1">'Balance Sheet'!S11/'Balance Sheet'!S8</f>
        <v>0.35534452668202238</v>
      </c>
      <c r="W8" s="17">
        <f ca="1">'Balance Sheet'!T11/'Balance Sheet'!T8</f>
        <v>0.35202660840363165</v>
      </c>
      <c r="X8" s="17">
        <f ca="1">'Balance Sheet'!U11/'Balance Sheet'!U8</f>
        <v>0.34825201046451154</v>
      </c>
      <c r="Y8" s="17">
        <f ca="1">'Balance Sheet'!V11/'Balance Sheet'!V8</f>
        <v>0.34537771054968458</v>
      </c>
      <c r="Z8" s="17">
        <f ca="1">'Balance Sheet'!W11/'Balance Sheet'!W8</f>
        <v>0.34330439902105325</v>
      </c>
      <c r="AA8" s="17">
        <f ca="1">'Balance Sheet'!X11/'Balance Sheet'!X8</f>
        <v>0.34194208435910789</v>
      </c>
      <c r="AB8" s="17">
        <f ca="1">'Balance Sheet'!Y11/'Balance Sheet'!Y8</f>
        <v>0.34120873191792128</v>
      </c>
      <c r="AC8" s="17">
        <f ca="1">'Balance Sheet'!Z11/'Balance Sheet'!Z8</f>
        <v>0.34102912319622325</v>
      </c>
      <c r="AD8" s="17">
        <f ca="1">'Balance Sheet'!AA11/'Balance Sheet'!AA8</f>
        <v>0.34133389490420624</v>
      </c>
      <c r="AE8" s="17">
        <f ca="1">'Balance Sheet'!AB11/'Balance Sheet'!AB8</f>
        <v>0.34319892228998644</v>
      </c>
      <c r="AF8" s="17">
        <f ca="1">'Balance Sheet'!AC11/'Balance Sheet'!AC8</f>
        <v>0.34654733961838885</v>
      </c>
      <c r="AG8" s="17">
        <f ca="1">'Balance Sheet'!AD11/'Balance Sheet'!AD8</f>
        <v>0.35130999595177681</v>
      </c>
      <c r="AH8" s="17">
        <f ca="1">'Balance Sheet'!AE11/'Balance Sheet'!AE8</f>
        <v>0.35742452526173768</v>
      </c>
      <c r="AI8" s="29"/>
    </row>
    <row r="9" spans="1:35" ht="21.5" thickBot="1" x14ac:dyDescent="0.55000000000000004">
      <c r="A9" s="20" t="s">
        <v>32</v>
      </c>
      <c r="B9" s="21">
        <f ca="1">MIN('Price and Financial ratios'!E9:AH9)</f>
        <v>5.1329160469302231</v>
      </c>
      <c r="C9" s="21"/>
      <c r="D9" s="177"/>
      <c r="E9" s="21">
        <f ca="1">('Cash Flow'!C7+'Profit and Loss'!C8)/('Profit and Loss'!C8)</f>
        <v>5.1329160469302231</v>
      </c>
      <c r="F9" s="21">
        <f ca="1">('Cash Flow'!D7+'Profit and Loss'!D8)/('Profit and Loss'!D8)</f>
        <v>5.1344205881185756</v>
      </c>
      <c r="G9" s="21">
        <f ca="1">('Cash Flow'!E7+'Profit and Loss'!E8)/('Profit and Loss'!E8)</f>
        <v>5.3803297194646111</v>
      </c>
      <c r="H9" s="21">
        <f ca="1">('Cash Flow'!F7+'Profit and Loss'!F8)/('Profit and Loss'!F8)</f>
        <v>5.9572217956234201</v>
      </c>
      <c r="I9" s="21">
        <f ca="1">('Cash Flow'!G7+'Profit and Loss'!G8)/('Profit and Loss'!G8)</f>
        <v>6.5579753218003738</v>
      </c>
      <c r="J9" s="21">
        <f ca="1">('Cash Flow'!H7+'Profit and Loss'!H8)/('Profit and Loss'!H8)</f>
        <v>6.8697130240906494</v>
      </c>
      <c r="K9" s="21">
        <f ca="1">('Cash Flow'!I7+'Profit and Loss'!I8)/('Profit and Loss'!I8)</f>
        <v>6.8500956135818782</v>
      </c>
      <c r="L9" s="21">
        <f ca="1">('Cash Flow'!J7+'Profit and Loss'!J8)/('Profit and Loss'!J8)</f>
        <v>6.8944334265307576</v>
      </c>
      <c r="M9" s="21">
        <f ca="1">('Cash Flow'!K7+'Profit and Loss'!K8)/('Profit and Loss'!K8)</f>
        <v>6.8736940083370035</v>
      </c>
      <c r="N9" s="21">
        <f ca="1">('Cash Flow'!L7+'Profit and Loss'!L8)/('Profit and Loss'!L8)</f>
        <v>6.8896626203904416</v>
      </c>
      <c r="O9" s="21">
        <f ca="1">('Cash Flow'!M7+'Profit and Loss'!M8)/('Profit and Loss'!M8)</f>
        <v>6.9436759347563655</v>
      </c>
      <c r="P9" s="21">
        <f ca="1">('Cash Flow'!N7+'Profit and Loss'!N8)/('Profit and Loss'!N8)</f>
        <v>7.0374547014322211</v>
      </c>
      <c r="Q9" s="21">
        <f ca="1">('Cash Flow'!O7+'Profit and Loss'!O8)/('Profit and Loss'!O8)</f>
        <v>7.0390765664094026</v>
      </c>
      <c r="R9" s="21">
        <f ca="1">('Cash Flow'!P7+'Profit and Loss'!P8)/('Profit and Loss'!P8)</f>
        <v>7.0550447855220169</v>
      </c>
      <c r="S9" s="21">
        <f ca="1">('Cash Flow'!Q7+'Profit and Loss'!Q8)/('Profit and Loss'!Q8)</f>
        <v>7.0865673951456341</v>
      </c>
      <c r="T9" s="21">
        <f ca="1">('Cash Flow'!R7+'Profit and Loss'!R8)/('Profit and Loss'!R8)</f>
        <v>7.1352530127423552</v>
      </c>
      <c r="U9" s="21">
        <f ca="1">('Cash Flow'!S7+'Profit and Loss'!S8)/('Profit and Loss'!S8)</f>
        <v>7.202732265744932</v>
      </c>
      <c r="V9" s="21">
        <f ca="1">('Cash Flow'!T7+'Profit and Loss'!T8)/('Profit and Loss'!T8)</f>
        <v>7.29085175898794</v>
      </c>
      <c r="W9" s="21">
        <f ca="1">('Cash Flow'!U7+'Profit and Loss'!U8)/('Profit and Loss'!U8)</f>
        <v>7.401754099237408</v>
      </c>
      <c r="X9" s="21">
        <f ca="1">('Cash Flow'!V7+'Profit and Loss'!V8)/('Profit and Loss'!V8)</f>
        <v>7.3911483396081605</v>
      </c>
      <c r="Y9" s="21">
        <f ca="1">('Cash Flow'!W7+'Profit and Loss'!W8)/('Profit and Loss'!W8)</f>
        <v>7.3733224705017726</v>
      </c>
      <c r="Z9" s="21">
        <f ca="1">('Cash Flow'!X7+'Profit and Loss'!X8)/('Profit and Loss'!X8)</f>
        <v>7.3494833696058945</v>
      </c>
      <c r="AA9" s="21">
        <f ca="1">('Cash Flow'!Y7+'Profit and Loss'!Y8)/('Profit and Loss'!Y8)</f>
        <v>7.320828439234595</v>
      </c>
      <c r="AB9" s="21">
        <f ca="1">('Cash Flow'!Z7+'Profit and Loss'!Z8)/('Profit and Loss'!Z8)</f>
        <v>7.2885246427120869</v>
      </c>
      <c r="AC9" s="21">
        <f ca="1">('Cash Flow'!AA7+'Profit and Loss'!AA8)/('Profit and Loss'!AA8)</f>
        <v>7.2536923169325283</v>
      </c>
      <c r="AD9" s="21">
        <f ca="1">('Cash Flow'!AB7+'Profit and Loss'!AB8)/('Profit and Loss'!AB8)</f>
        <v>7.1018160087977282</v>
      </c>
      <c r="AE9" s="21">
        <f ca="1">('Cash Flow'!AC7+'Profit and Loss'!AC8)/('Profit and Loss'!AC8)</f>
        <v>6.9292807698857271</v>
      </c>
      <c r="AF9" s="21">
        <f ca="1">('Cash Flow'!AD7+'Profit and Loss'!AD8)/('Profit and Loss'!AD8)</f>
        <v>6.7396854138558311</v>
      </c>
      <c r="AG9" s="21">
        <f ca="1">('Cash Flow'!AE7+'Profit and Loss'!AE8)/('Profit and Loss'!AE8)</f>
        <v>6.5366549751098741</v>
      </c>
      <c r="AH9" s="21">
        <f ca="1">('Cash Flow'!AF7+'Profit and Loss'!AF8)/('Profit and Loss'!AF8)</f>
        <v>6.3237012772192651</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14270232.129796006</v>
      </c>
      <c r="D5" s="1">
        <f>Assumptions!E111</f>
        <v>14270232.129796006</v>
      </c>
      <c r="E5" s="1">
        <f>Assumptions!F111</f>
        <v>14270232.129796006</v>
      </c>
      <c r="F5" s="1">
        <f>Assumptions!G111</f>
        <v>14270232.129796006</v>
      </c>
      <c r="G5" s="1">
        <f>Assumptions!H111</f>
        <v>14270232.129796006</v>
      </c>
      <c r="H5" s="1">
        <f>Assumptions!I111</f>
        <v>14270232.129796006</v>
      </c>
      <c r="I5" s="1">
        <f>Assumptions!J111</f>
        <v>14270232.129796006</v>
      </c>
      <c r="J5" s="1">
        <f>Assumptions!K111</f>
        <v>14270232.129796006</v>
      </c>
      <c r="K5" s="1">
        <f>Assumptions!L111</f>
        <v>14270232.129796006</v>
      </c>
      <c r="L5" s="1">
        <f>Assumptions!M111</f>
        <v>14270232.129796006</v>
      </c>
      <c r="M5" s="1">
        <f>Assumptions!N111</f>
        <v>14270232.129796006</v>
      </c>
      <c r="N5" s="1">
        <f>Assumptions!O111</f>
        <v>14270232.129796006</v>
      </c>
      <c r="O5" s="1">
        <f>Assumptions!P111</f>
        <v>14270232.129796006</v>
      </c>
      <c r="P5" s="1">
        <f>Assumptions!Q111</f>
        <v>14270232.129796006</v>
      </c>
      <c r="Q5" s="1">
        <f>Assumptions!R111</f>
        <v>14270232.129796006</v>
      </c>
      <c r="R5" s="1">
        <f>Assumptions!S111</f>
        <v>14270232.129796006</v>
      </c>
      <c r="S5" s="1">
        <f>Assumptions!T111</f>
        <v>14270232.129796006</v>
      </c>
      <c r="T5" s="1">
        <f>Assumptions!U111</f>
        <v>14270232.129796006</v>
      </c>
      <c r="U5" s="1">
        <f>Assumptions!V111</f>
        <v>14270232.129796006</v>
      </c>
      <c r="V5" s="1">
        <f>Assumptions!W111</f>
        <v>14270232.129796006</v>
      </c>
      <c r="W5" s="1">
        <f>Assumptions!X111</f>
        <v>14270232.129796006</v>
      </c>
      <c r="X5" s="1">
        <f>Assumptions!Y111</f>
        <v>14270232.129796006</v>
      </c>
      <c r="Y5" s="1">
        <f>Assumptions!Z111</f>
        <v>14270232.129796006</v>
      </c>
      <c r="Z5" s="1">
        <f>Assumptions!AA111</f>
        <v>14270232.129796006</v>
      </c>
      <c r="AA5" s="1">
        <f>Assumptions!AB111</f>
        <v>14270232.129796006</v>
      </c>
      <c r="AB5" s="1">
        <f>Assumptions!AC111</f>
        <v>14270232.129796006</v>
      </c>
      <c r="AC5" s="1">
        <f>Assumptions!AD111</f>
        <v>14270232.129796006</v>
      </c>
      <c r="AD5" s="1">
        <f>Assumptions!AE111</f>
        <v>14270232.129796006</v>
      </c>
      <c r="AE5" s="1">
        <f>Assumptions!AF111</f>
        <v>14270232.129796006</v>
      </c>
      <c r="AF5" s="1">
        <f>Assumptions!AG111</f>
        <v>14270232.129796006</v>
      </c>
    </row>
    <row r="6" spans="1:32" x14ac:dyDescent="0.35">
      <c r="A6" t="s">
        <v>68</v>
      </c>
      <c r="C6" s="1">
        <f>Assumptions!D113</f>
        <v>42622492.025813408</v>
      </c>
      <c r="D6" s="1">
        <f>Assumptions!E113</f>
        <v>42622492.025813408</v>
      </c>
      <c r="E6" s="1">
        <f>Assumptions!F113</f>
        <v>42622492.025813408</v>
      </c>
      <c r="F6" s="1">
        <f>Assumptions!G113</f>
        <v>42622492.025813408</v>
      </c>
      <c r="G6" s="1">
        <f>Assumptions!H113</f>
        <v>42622492.025813408</v>
      </c>
      <c r="H6" s="1">
        <f>Assumptions!I113</f>
        <v>42622492.025813408</v>
      </c>
      <c r="I6" s="1">
        <f>Assumptions!J113</f>
        <v>42622492.025813408</v>
      </c>
      <c r="J6" s="1">
        <f>Assumptions!K113</f>
        <v>42622492.025813408</v>
      </c>
      <c r="K6" s="1">
        <f>Assumptions!L113</f>
        <v>42622492.025813408</v>
      </c>
      <c r="L6" s="1">
        <f>Assumptions!M113</f>
        <v>42622492.025813408</v>
      </c>
      <c r="M6" s="1">
        <f>Assumptions!N113</f>
        <v>42622492.025813408</v>
      </c>
      <c r="N6" s="1">
        <f>Assumptions!O113</f>
        <v>42622492.025813408</v>
      </c>
      <c r="O6" s="1">
        <f>Assumptions!P113</f>
        <v>42622492.025813408</v>
      </c>
      <c r="P6" s="1">
        <f>Assumptions!Q113</f>
        <v>42622492.025813408</v>
      </c>
      <c r="Q6" s="1">
        <f>Assumptions!R113</f>
        <v>42622492.025813408</v>
      </c>
      <c r="R6" s="1">
        <f>Assumptions!S113</f>
        <v>42622492.025813408</v>
      </c>
      <c r="S6" s="1">
        <f>Assumptions!T113</f>
        <v>42622492.025813408</v>
      </c>
      <c r="T6" s="1">
        <f>Assumptions!U113</f>
        <v>42622492.025813408</v>
      </c>
      <c r="U6" s="1">
        <f>Assumptions!V113</f>
        <v>42622492.025813408</v>
      </c>
      <c r="V6" s="1">
        <f>Assumptions!W113</f>
        <v>42622492.025813408</v>
      </c>
      <c r="W6" s="1">
        <f>Assumptions!X113</f>
        <v>42622492.025813408</v>
      </c>
      <c r="X6" s="1">
        <f>Assumptions!Y113</f>
        <v>42622492.025813408</v>
      </c>
      <c r="Y6" s="1">
        <f>Assumptions!Z113</f>
        <v>42622492.025813408</v>
      </c>
      <c r="Z6" s="1">
        <f>Assumptions!AA113</f>
        <v>42622492.025813408</v>
      </c>
      <c r="AA6" s="1">
        <f>Assumptions!AB113</f>
        <v>42622492.025813408</v>
      </c>
      <c r="AB6" s="1">
        <f>Assumptions!AC113</f>
        <v>42622492.025813408</v>
      </c>
      <c r="AC6" s="1">
        <f>Assumptions!AD113</f>
        <v>42622492.025813408</v>
      </c>
      <c r="AD6" s="1">
        <f>Assumptions!AE113</f>
        <v>42622492.025813408</v>
      </c>
      <c r="AE6" s="1">
        <f>Assumptions!AF113</f>
        <v>42622492.025813408</v>
      </c>
      <c r="AF6" s="1">
        <f>Assumptions!AG113</f>
        <v>42622492.025813408</v>
      </c>
    </row>
    <row r="7" spans="1:32" x14ac:dyDescent="0.35">
      <c r="A7" t="s">
        <v>73</v>
      </c>
      <c r="C7" s="1">
        <f>Assumptions!D120</f>
        <v>1022939.8086195217</v>
      </c>
      <c r="D7" s="1">
        <f>Assumptions!E120</f>
        <v>2045879.6172390433</v>
      </c>
      <c r="E7" s="1">
        <f>Assumptions!F120</f>
        <v>3068819.4258585656</v>
      </c>
      <c r="F7" s="1">
        <f>Assumptions!G120</f>
        <v>4091759.2344780867</v>
      </c>
      <c r="G7" s="1">
        <f>Assumptions!H120</f>
        <v>5114539.4146756241</v>
      </c>
      <c r="H7" s="1">
        <f>Assumptions!I120</f>
        <v>6137159.9913609829</v>
      </c>
      <c r="I7" s="1">
        <f>Assumptions!J120</f>
        <v>7159620.9894400835</v>
      </c>
      <c r="J7" s="1">
        <f>Assumptions!K120</f>
        <v>8181922.4338149605</v>
      </c>
      <c r="K7" s="1">
        <f>Assumptions!L120</f>
        <v>9204064.3493837584</v>
      </c>
      <c r="L7" s="1">
        <f>Assumptions!M120</f>
        <v>10226142.425534623</v>
      </c>
      <c r="M7" s="1">
        <f>Assumptions!N120</f>
        <v>11248156.666254738</v>
      </c>
      <c r="N7" s="1">
        <f>Assumptions!O120</f>
        <v>12270107.075531051</v>
      </c>
      <c r="O7" s="1">
        <f>Assumptions!P120</f>
        <v>13291993.657350238</v>
      </c>
      <c r="P7" s="1">
        <f>Assumptions!Q120</f>
        <v>14313816.415698744</v>
      </c>
      <c r="Q7" s="1">
        <f>Assumptions!R120</f>
        <v>15335596.616206385</v>
      </c>
      <c r="R7" s="1">
        <f>Assumptions!S120</f>
        <v>16357334.260645647</v>
      </c>
      <c r="S7" s="1">
        <f>Assumptions!T120</f>
        <v>17379029.35078894</v>
      </c>
      <c r="T7" s="1">
        <f>Assumptions!U120</f>
        <v>18400681.888408612</v>
      </c>
      <c r="U7" s="1">
        <f>Assumptions!V120</f>
        <v>19422291.875276931</v>
      </c>
      <c r="V7" s="1">
        <f>Assumptions!W120</f>
        <v>20443901.862145249</v>
      </c>
      <c r="W7" s="1">
        <f>Assumptions!X120</f>
        <v>21465511.849013567</v>
      </c>
      <c r="X7" s="1">
        <f>Assumptions!Y120</f>
        <v>22487121.835881881</v>
      </c>
      <c r="Y7" s="1">
        <f>Assumptions!Z120</f>
        <v>23508731.8227502</v>
      </c>
      <c r="Z7" s="1">
        <f>Assumptions!AA120</f>
        <v>24530341.809618518</v>
      </c>
      <c r="AA7" s="1">
        <f>Assumptions!AB120</f>
        <v>25551951.796486836</v>
      </c>
      <c r="AB7" s="1">
        <f>Assumptions!AC120</f>
        <v>26573561.783355158</v>
      </c>
      <c r="AC7" s="1">
        <f>Assumptions!AD120</f>
        <v>27595171.770223469</v>
      </c>
      <c r="AD7" s="1">
        <f>Assumptions!AE120</f>
        <v>28616781.757091783</v>
      </c>
      <c r="AE7" s="1">
        <f>Assumptions!AF120</f>
        <v>29638391.743960101</v>
      </c>
      <c r="AF7" s="1">
        <f>Assumptions!AG120</f>
        <v>30660001.730828412</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14726879.557949478</v>
      </c>
      <c r="D11" s="1">
        <f>D5*D$9</f>
        <v>15198139.703803862</v>
      </c>
      <c r="E11" s="1">
        <f t="shared" ref="D11:AF13" si="1">E5*E$9</f>
        <v>15684480.174325584</v>
      </c>
      <c r="F11" s="1">
        <f t="shared" si="1"/>
        <v>16186383.539904002</v>
      </c>
      <c r="G11" s="1">
        <f t="shared" si="1"/>
        <v>16704347.813180933</v>
      </c>
      <c r="H11" s="1">
        <f t="shared" si="1"/>
        <v>17238886.943202719</v>
      </c>
      <c r="I11" s="1">
        <f t="shared" si="1"/>
        <v>17790531.325385205</v>
      </c>
      <c r="J11" s="1">
        <f t="shared" si="1"/>
        <v>18359828.327797532</v>
      </c>
      <c r="K11" s="1">
        <f t="shared" si="1"/>
        <v>18947342.834287055</v>
      </c>
      <c r="L11" s="1">
        <f t="shared" si="1"/>
        <v>19553657.804984238</v>
      </c>
      <c r="M11" s="1">
        <f t="shared" si="1"/>
        <v>20179374.854743734</v>
      </c>
      <c r="N11" s="1">
        <f t="shared" si="1"/>
        <v>20825114.850095537</v>
      </c>
      <c r="O11" s="1">
        <f t="shared" si="1"/>
        <v>21491518.525298595</v>
      </c>
      <c r="P11" s="1">
        <f t="shared" si="1"/>
        <v>22179247.118108146</v>
      </c>
      <c r="Q11" s="1">
        <f t="shared" si="1"/>
        <v>22888983.025887601</v>
      </c>
      <c r="R11" s="1">
        <f t="shared" si="1"/>
        <v>23621430.482716013</v>
      </c>
      <c r="S11" s="1">
        <f t="shared" si="1"/>
        <v>24377316.258162927</v>
      </c>
      <c r="T11" s="1">
        <f t="shared" si="1"/>
        <v>25157390.378424134</v>
      </c>
      <c r="U11" s="1">
        <f t="shared" si="1"/>
        <v>25962426.870533705</v>
      </c>
      <c r="V11" s="1">
        <f t="shared" si="1"/>
        <v>26793224.530390788</v>
      </c>
      <c r="W11" s="1">
        <f t="shared" si="1"/>
        <v>27650607.715363294</v>
      </c>
      <c r="X11" s="1">
        <f t="shared" si="1"/>
        <v>28535427.162254918</v>
      </c>
      <c r="Y11" s="1">
        <f t="shared" si="1"/>
        <v>29448560.831447069</v>
      </c>
      <c r="Z11" s="1">
        <f t="shared" si="1"/>
        <v>30390914.778053377</v>
      </c>
      <c r="AA11" s="1">
        <f t="shared" si="1"/>
        <v>31363424.050951093</v>
      </c>
      <c r="AB11" s="1">
        <f t="shared" si="1"/>
        <v>32367053.620581523</v>
      </c>
      <c r="AC11" s="1">
        <f t="shared" si="1"/>
        <v>33402799.336440127</v>
      </c>
      <c r="AD11" s="1">
        <f t="shared" si="1"/>
        <v>34471688.915206216</v>
      </c>
      <c r="AE11" s="1">
        <f t="shared" si="1"/>
        <v>35574782.960492812</v>
      </c>
      <c r="AF11" s="1">
        <f t="shared" si="1"/>
        <v>36713176.015228577</v>
      </c>
    </row>
    <row r="12" spans="1:32" x14ac:dyDescent="0.35">
      <c r="A12" t="s">
        <v>71</v>
      </c>
      <c r="C12" s="1">
        <f t="shared" ref="C12:R12" si="2">C6*C$9</f>
        <v>43986411.770639442</v>
      </c>
      <c r="D12" s="1">
        <f t="shared" si="2"/>
        <v>45393976.947299898</v>
      </c>
      <c r="E12" s="1">
        <f t="shared" si="2"/>
        <v>46846584.209613495</v>
      </c>
      <c r="F12" s="1">
        <f t="shared" si="2"/>
        <v>48345674.904321127</v>
      </c>
      <c r="G12" s="1">
        <f t="shared" si="2"/>
        <v>49892736.501259409</v>
      </c>
      <c r="H12" s="1">
        <f t="shared" si="2"/>
        <v>51489304.069299698</v>
      </c>
      <c r="I12" s="1">
        <f t="shared" si="2"/>
        <v>53136961.799517281</v>
      </c>
      <c r="J12" s="1">
        <f t="shared" si="2"/>
        <v>54837344.577101842</v>
      </c>
      <c r="K12" s="1">
        <f t="shared" si="2"/>
        <v>56592139.603569105</v>
      </c>
      <c r="L12" s="1">
        <f t="shared" si="2"/>
        <v>58403088.070883311</v>
      </c>
      <c r="M12" s="1">
        <f t="shared" si="2"/>
        <v>60271986.889151573</v>
      </c>
      <c r="N12" s="1">
        <f t="shared" si="2"/>
        <v>62200690.469604433</v>
      </c>
      <c r="O12" s="1">
        <f t="shared" si="2"/>
        <v>64191112.564631775</v>
      </c>
      <c r="P12" s="1">
        <f t="shared" si="2"/>
        <v>66245228.166699983</v>
      </c>
      <c r="Q12" s="1">
        <f t="shared" si="2"/>
        <v>68365075.468034372</v>
      </c>
      <c r="R12" s="1">
        <f t="shared" si="2"/>
        <v>70552757.88301149</v>
      </c>
      <c r="S12" s="1">
        <f t="shared" si="1"/>
        <v>72810446.135267854</v>
      </c>
      <c r="T12" s="1">
        <f t="shared" si="1"/>
        <v>75140380.411596417</v>
      </c>
      <c r="U12" s="1">
        <f t="shared" si="1"/>
        <v>77544872.584767506</v>
      </c>
      <c r="V12" s="1">
        <f t="shared" si="1"/>
        <v>80026308.50748007</v>
      </c>
      <c r="W12" s="1">
        <f t="shared" si="1"/>
        <v>82587150.379719436</v>
      </c>
      <c r="X12" s="1">
        <f t="shared" si="1"/>
        <v>85229939.191870451</v>
      </c>
      <c r="Y12" s="1">
        <f t="shared" si="1"/>
        <v>87957297.246010289</v>
      </c>
      <c r="Z12" s="1">
        <f t="shared" si="1"/>
        <v>90771930.757882625</v>
      </c>
      <c r="AA12" s="1">
        <f t="shared" si="1"/>
        <v>93676632.542134896</v>
      </c>
      <c r="AB12" s="1">
        <f t="shared" si="1"/>
        <v>96674284.783483192</v>
      </c>
      <c r="AC12" s="1">
        <f t="shared" si="1"/>
        <v>99767861.896554649</v>
      </c>
      <c r="AD12" s="1">
        <f t="shared" si="1"/>
        <v>102960433.47724441</v>
      </c>
      <c r="AE12" s="1">
        <f t="shared" si="1"/>
        <v>106255167.34851623</v>
      </c>
      <c r="AF12" s="1">
        <f t="shared" si="1"/>
        <v>109655332.70366873</v>
      </c>
    </row>
    <row r="13" spans="1:32" x14ac:dyDescent="0.35">
      <c r="A13" t="s">
        <v>74</v>
      </c>
      <c r="C13" s="1">
        <f>C7*C$9</f>
        <v>1055673.8824953465</v>
      </c>
      <c r="D13" s="1">
        <f t="shared" si="1"/>
        <v>2178910.8934703949</v>
      </c>
      <c r="E13" s="1">
        <f t="shared" si="1"/>
        <v>3372954.0630921717</v>
      </c>
      <c r="F13" s="1">
        <f t="shared" si="1"/>
        <v>4641184.7908148272</v>
      </c>
      <c r="G13" s="1">
        <f t="shared" si="1"/>
        <v>5986941.5234372746</v>
      </c>
      <c r="H13" s="1">
        <f t="shared" si="1"/>
        <v>7413881.3076848909</v>
      </c>
      <c r="I13" s="1">
        <f t="shared" si="1"/>
        <v>8925815.6652242225</v>
      </c>
      <c r="J13" s="1">
        <f t="shared" si="1"/>
        <v>10526716.728212425</v>
      </c>
      <c r="K13" s="1">
        <f t="shared" si="1"/>
        <v>12220723.609147504</v>
      </c>
      <c r="L13" s="1">
        <f t="shared" si="1"/>
        <v>14012280.097141907</v>
      </c>
      <c r="M13" s="1">
        <f t="shared" si="1"/>
        <v>15905891.910427086</v>
      </c>
      <c r="N13" s="1">
        <f t="shared" si="1"/>
        <v>17906253.153189369</v>
      </c>
      <c r="O13" s="1">
        <f t="shared" si="1"/>
        <v>20018253.755566459</v>
      </c>
      <c r="P13" s="1">
        <f t="shared" si="1"/>
        <v>22246987.196805585</v>
      </c>
      <c r="Q13" s="1">
        <f t="shared" si="1"/>
        <v>24597792.62506118</v>
      </c>
      <c r="R13" s="1">
        <f t="shared" si="1"/>
        <v>27076198.243028402</v>
      </c>
      <c r="S13" s="1">
        <f t="shared" si="1"/>
        <v>29687960.986948155</v>
      </c>
      <c r="T13" s="1">
        <f t="shared" si="1"/>
        <v>32439075.502446748</v>
      </c>
      <c r="U13" s="1">
        <f t="shared" si="1"/>
        <v>35335783.460534818</v>
      </c>
      <c r="V13" s="1">
        <f t="shared" si="1"/>
        <v>38384663.114626028</v>
      </c>
      <c r="W13" s="1">
        <f t="shared" si="1"/>
        <v>41592487.224315487</v>
      </c>
      <c r="X13" s="1">
        <f t="shared" si="1"/>
        <v>44966306.181995675</v>
      </c>
      <c r="Y13" s="1">
        <f t="shared" si="1"/>
        <v>48513458.846049711</v>
      </c>
      <c r="Z13" s="1">
        <f t="shared" si="1"/>
        <v>52241583.783072844</v>
      </c>
      <c r="AA13" s="1">
        <f t="shared" si="1"/>
        <v>56158630.934207112</v>
      </c>
      <c r="AB13" s="1">
        <f t="shared" si="1"/>
        <v>60272873.721220091</v>
      </c>
      <c r="AC13" s="1">
        <f t="shared" si="1"/>
        <v>64592921.608525261</v>
      </c>
      <c r="AD13" s="1">
        <f t="shared" si="1"/>
        <v>69127733.137927443</v>
      </c>
      <c r="AE13" s="1">
        <f t="shared" si="1"/>
        <v>73886629.453484237</v>
      </c>
      <c r="AF13" s="1">
        <f t="shared" si="1"/>
        <v>78879308.334503412</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0.99984395130520909</v>
      </c>
      <c r="H15" s="38">
        <f>Assumptions!I44</f>
        <v>0.99968792696161335</v>
      </c>
      <c r="I15" s="38">
        <f>Assumptions!J44</f>
        <v>0.99953192696541271</v>
      </c>
      <c r="J15" s="38">
        <f>Assumptions!K44</f>
        <v>0.99937595131280788</v>
      </c>
      <c r="K15" s="38">
        <f>Assumptions!L44</f>
        <v>0.99922000000000011</v>
      </c>
      <c r="L15" s="38">
        <f>Assumptions!M44</f>
        <v>0.99915759220494071</v>
      </c>
      <c r="M15" s="38">
        <f>Assumptions!N44</f>
        <v>0.99909518830765442</v>
      </c>
      <c r="N15" s="38">
        <f>Assumptions!O44</f>
        <v>0.99903278830789788</v>
      </c>
      <c r="O15" s="38">
        <f>Assumptions!P44</f>
        <v>0.9989703922054276</v>
      </c>
      <c r="P15" s="38">
        <f>Assumptions!Q44</f>
        <v>0.99890800000000013</v>
      </c>
      <c r="Q15" s="38">
        <f>Assumptions!R44</f>
        <v>0.99886639653466347</v>
      </c>
      <c r="R15" s="38">
        <f>Assumptions!S44</f>
        <v>0.99882479480206732</v>
      </c>
      <c r="S15" s="38">
        <f>Assumptions!T44</f>
        <v>0.9987831948021394</v>
      </c>
      <c r="T15" s="38">
        <f>Assumptions!U44</f>
        <v>0.99874159653480765</v>
      </c>
      <c r="U15" s="38">
        <f>Assumptions!V44</f>
        <v>0.99869999999999992</v>
      </c>
      <c r="V15" s="38">
        <f>Assumptions!W44</f>
        <v>0.99869999999999992</v>
      </c>
      <c r="W15" s="38">
        <f>Assumptions!X44</f>
        <v>0.99869999999999992</v>
      </c>
      <c r="X15" s="38">
        <f>Assumptions!Y44</f>
        <v>0.99869999999999992</v>
      </c>
      <c r="Y15" s="38">
        <f>Assumptions!Z44</f>
        <v>0.99869999999999992</v>
      </c>
      <c r="Z15" s="38">
        <f>Assumptions!AA44</f>
        <v>0.99869999999999992</v>
      </c>
      <c r="AA15" s="38">
        <f>Assumptions!AB44</f>
        <v>0.99869999999999992</v>
      </c>
      <c r="AB15" s="38">
        <f>Assumptions!AC44</f>
        <v>0.99869999999999992</v>
      </c>
      <c r="AC15" s="38">
        <f>Assumptions!AD44</f>
        <v>0.99869999999999992</v>
      </c>
      <c r="AD15" s="38">
        <f>Assumptions!AE44</f>
        <v>0.99869999999999992</v>
      </c>
      <c r="AE15" s="38">
        <f>Assumptions!AF44</f>
        <v>0.99869999999999992</v>
      </c>
      <c r="AF15" s="38">
        <f>Assumptions!AG44</f>
        <v>0.99869999999999992</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-7785.6964105665684</v>
      </c>
      <c r="H20" s="1">
        <f t="shared" si="4"/>
        <v>-16068.423565320671</v>
      </c>
      <c r="I20" s="1">
        <f t="shared" si="4"/>
        <v>-24871.978958249092</v>
      </c>
      <c r="J20" s="1">
        <f t="shared" si="4"/>
        <v>-34221.172892443836</v>
      </c>
      <c r="K20" s="1">
        <f t="shared" si="4"/>
        <v>-44141.86889077723</v>
      </c>
      <c r="L20" s="1">
        <f t="shared" si="4"/>
        <v>-49199.216646447778</v>
      </c>
      <c r="M20" s="1">
        <f t="shared" si="4"/>
        <v>-54534.798458203673</v>
      </c>
      <c r="N20" s="1">
        <f t="shared" si="4"/>
        <v>-60161.235079027712</v>
      </c>
      <c r="O20" s="1">
        <f t="shared" si="4"/>
        <v>-66091.669838815928</v>
      </c>
      <c r="P20" s="1">
        <f t="shared" si="4"/>
        <v>-72339.789158031344</v>
      </c>
      <c r="Q20" s="1">
        <f t="shared" si="4"/>
        <v>-77498.886458560824</v>
      </c>
      <c r="R20" s="1">
        <f t="shared" si="4"/>
        <v>-82913.967792600393</v>
      </c>
      <c r="S20" s="1">
        <f t="shared" si="4"/>
        <v>-88596.129315942526</v>
      </c>
      <c r="T20" s="1">
        <f t="shared" si="4"/>
        <v>-94556.915085822344</v>
      </c>
      <c r="U20" s="1">
        <f t="shared" si="4"/>
        <v>-100808.33436019719</v>
      </c>
      <c r="V20" s="1">
        <f t="shared" si="4"/>
        <v>-104034.20105972886</v>
      </c>
      <c r="W20" s="1">
        <f t="shared" si="4"/>
        <v>-107363.29549364746</v>
      </c>
      <c r="X20" s="1">
        <f t="shared" si="4"/>
        <v>-110798.92094944417</v>
      </c>
      <c r="Y20" s="1">
        <f t="shared" si="4"/>
        <v>-114344.48641982675</v>
      </c>
      <c r="Z20" s="1">
        <f t="shared" si="4"/>
        <v>-118003.50998525321</v>
      </c>
      <c r="AA20" s="1">
        <f t="shared" si="4"/>
        <v>-121779.62230478227</v>
      </c>
      <c r="AB20" s="1">
        <f t="shared" si="4"/>
        <v>-125676.57021853328</v>
      </c>
      <c r="AC20" s="1">
        <f t="shared" si="4"/>
        <v>-129698.22046552598</v>
      </c>
      <c r="AD20" s="1">
        <f t="shared" si="4"/>
        <v>-133848.56352043152</v>
      </c>
      <c r="AE20" s="1">
        <f t="shared" si="4"/>
        <v>-138131.71755307913</v>
      </c>
      <c r="AF20" s="1">
        <f t="shared" si="4"/>
        <v>-142551.93251477182</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59768965.211084262</v>
      </c>
      <c r="D25" s="40">
        <f>SUM(D11:D13,D18:D23)</f>
        <v>62771027.544574149</v>
      </c>
      <c r="E25" s="40">
        <f t="shared" ref="E25:AF25" si="7">SUM(E11:E13,E18:E23)</f>
        <v>65904018.447031252</v>
      </c>
      <c r="F25" s="40">
        <f t="shared" si="7"/>
        <v>69173243.235039964</v>
      </c>
      <c r="G25" s="40">
        <f t="shared" si="7"/>
        <v>72576240.14146705</v>
      </c>
      <c r="H25" s="40">
        <f t="shared" si="7"/>
        <v>76126003.896621972</v>
      </c>
      <c r="I25" s="40">
        <f t="shared" si="7"/>
        <v>79828436.811168462</v>
      </c>
      <c r="J25" s="40">
        <f t="shared" si="7"/>
        <v>83689668.460219353</v>
      </c>
      <c r="K25" s="40">
        <f t="shared" si="7"/>
        <v>87716064.178112894</v>
      </c>
      <c r="L25" s="40">
        <f t="shared" si="7"/>
        <v>91919826.756363004</v>
      </c>
      <c r="M25" s="40">
        <f t="shared" si="7"/>
        <v>96302718.855864182</v>
      </c>
      <c r="N25" s="40">
        <f t="shared" si="7"/>
        <v>100871897.23781031</v>
      </c>
      <c r="O25" s="40">
        <f t="shared" si="7"/>
        <v>105634793.17565802</v>
      </c>
      <c r="P25" s="40">
        <f t="shared" si="7"/>
        <v>110599122.69245568</v>
      </c>
      <c r="Q25" s="40">
        <f t="shared" si="7"/>
        <v>115774352.23252459</v>
      </c>
      <c r="R25" s="40">
        <f t="shared" si="7"/>
        <v>121167472.6409633</v>
      </c>
      <c r="S25" s="40">
        <f t="shared" si="7"/>
        <v>126787127.25106299</v>
      </c>
      <c r="T25" s="40">
        <f t="shared" si="7"/>
        <v>132642289.37738147</v>
      </c>
      <c r="U25" s="40">
        <f t="shared" si="7"/>
        <v>138742274.58147585</v>
      </c>
      <c r="V25" s="40">
        <f t="shared" si="7"/>
        <v>145100161.95143715</v>
      </c>
      <c r="W25" s="40">
        <f t="shared" si="7"/>
        <v>151722882.02390456</v>
      </c>
      <c r="X25" s="40">
        <f t="shared" si="7"/>
        <v>158620873.61517161</v>
      </c>
      <c r="Y25" s="40">
        <f t="shared" si="7"/>
        <v>165804972.43708724</v>
      </c>
      <c r="Z25" s="40">
        <f t="shared" si="7"/>
        <v>173286425.80902356</v>
      </c>
      <c r="AA25" s="40">
        <f t="shared" si="7"/>
        <v>181076907.90498829</v>
      </c>
      <c r="AB25" s="40">
        <f t="shared" si="7"/>
        <v>189188535.55506626</v>
      </c>
      <c r="AC25" s="40">
        <f t="shared" si="7"/>
        <v>197633884.62105453</v>
      </c>
      <c r="AD25" s="40">
        <f t="shared" si="7"/>
        <v>206426006.96685764</v>
      </c>
      <c r="AE25" s="40">
        <f t="shared" si="7"/>
        <v>215578448.0449402</v>
      </c>
      <c r="AF25" s="40">
        <f t="shared" si="7"/>
        <v>225105265.12088597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44152454.627297595</v>
      </c>
      <c r="D5" s="59">
        <f>C5*('Price and Financial ratios'!F4+1)*(1+Assumptions!$C$13)</f>
        <v>53767733.792896695</v>
      </c>
      <c r="E5" s="59">
        <f>D5*('Price and Financial ratios'!G4+1)*(1+Assumptions!$C$13)</f>
        <v>64385692.738190383</v>
      </c>
      <c r="F5" s="59">
        <f>E5*('Price and Financial ratios'!H4+1)*(1+Assumptions!$C$13)</f>
        <v>77100467.826009244</v>
      </c>
      <c r="G5" s="59">
        <f>F5*('Price and Financial ratios'!I4+1)*(1+Assumptions!$C$13)</f>
        <v>89978860.066134587</v>
      </c>
      <c r="H5" s="59">
        <f>G5*('Price and Financial ratios'!J4+1)*(1+Assumptions!$C$13)</f>
        <v>100442798.69694255</v>
      </c>
      <c r="I5" s="59">
        <f>H5*('Price and Financial ratios'!K4+1)*(1+Assumptions!$C$13)</f>
        <v>108046400.62443386</v>
      </c>
      <c r="J5" s="59">
        <f>I5*('Price and Financial ratios'!L4+1)*(1+Assumptions!$C$13)</f>
        <v>116225601.43030955</v>
      </c>
      <c r="K5" s="59">
        <f>J5*('Price and Financial ratios'!M4+1)*(1+Assumptions!$C$13)</f>
        <v>123844502.96316063</v>
      </c>
      <c r="L5" s="59">
        <f>K5*('Price and Financial ratios'!N4+1)*(1+Assumptions!$C$13)</f>
        <v>131962844.0330236</v>
      </c>
      <c r="M5" s="59">
        <f>L5*('Price and Financial ratios'!O4+1)*(1+Assumptions!$C$13)</f>
        <v>140613364.24810246</v>
      </c>
      <c r="N5" s="59">
        <f>M5*('Price and Financial ratios'!P4+1)*(1+Assumptions!$C$13)</f>
        <v>149830949.38618919</v>
      </c>
      <c r="O5" s="59">
        <f>N5*('Price and Financial ratios'!Q4+1)*(1+Assumptions!$C$13)</f>
        <v>158132269.49061072</v>
      </c>
      <c r="P5" s="59">
        <f>O5*('Price and Financial ratios'!R4+1)*(1+Assumptions!$C$13)</f>
        <v>166893520.70912039</v>
      </c>
      <c r="Q5" s="59">
        <f>P5*('Price and Financial ratios'!S4+1)*(1+Assumptions!$C$13)</f>
        <v>176140185.32972124</v>
      </c>
      <c r="R5" s="59">
        <f>Q5*('Price and Financial ratios'!T4+1)*(1+Assumptions!$C$13)</f>
        <v>185899157.47575855</v>
      </c>
      <c r="S5" s="59">
        <f>R5*('Price and Financial ratios'!U4+1)*(1+Assumptions!$C$13)</f>
        <v>196198821.32805732</v>
      </c>
      <c r="T5" s="59">
        <f>S5*('Price and Financial ratios'!V4+1)*(1+Assumptions!$C$13)</f>
        <v>207069133.68092382</v>
      </c>
      <c r="U5" s="59">
        <f>T5*('Price and Financial ratios'!W4+1)*(1+Assumptions!$C$13)</f>
        <v>218541711.07212767</v>
      </c>
      <c r="V5" s="59">
        <f>U5*('Price and Financial ratios'!X4+1)*(1+Assumptions!$C$13)</f>
        <v>228432134.03124207</v>
      </c>
      <c r="W5" s="59">
        <f>V5*('Price and Financial ratios'!Y4+1)*(1+Assumptions!$C$13)</f>
        <v>238770162.4649832</v>
      </c>
      <c r="X5" s="59">
        <f>W5*('Price and Financial ratios'!Z4+1)*(1+Assumptions!$C$13)</f>
        <v>249576053.41005656</v>
      </c>
      <c r="Y5" s="59">
        <f>X5*('Price and Financial ratios'!AA4+1)*(1+Assumptions!$C$13)</f>
        <v>260870980.66482353</v>
      </c>
      <c r="Z5" s="59">
        <f>Y5*('Price and Financial ratios'!AB4+1)*(1+Assumptions!$C$13)</f>
        <v>272677076.2786833</v>
      </c>
      <c r="AA5" s="59">
        <f>Z5*('Price and Financial ratios'!AC4+1)*(1+Assumptions!$C$13)</f>
        <v>285017473.91911727</v>
      </c>
      <c r="AB5" s="59">
        <f>AA5*('Price and Financial ratios'!AD4+1)*(1+Assumptions!$C$13)</f>
        <v>295602440.7706815</v>
      </c>
      <c r="AC5" s="59">
        <f>AB5*('Price and Financial ratios'!AE4+1)*(1+Assumptions!$C$13)</f>
        <v>306580511.67200136</v>
      </c>
      <c r="AD5" s="59">
        <f>AC5*('Price and Financial ratios'!AF4+1)*(1+Assumptions!$C$13)</f>
        <v>317966285.70459503</v>
      </c>
      <c r="AE5" s="59">
        <f>AD5*('Price and Financial ratios'!AG4+1)*(1+Assumptions!$C$13)</f>
        <v>329774904.13005078</v>
      </c>
      <c r="AF5" s="59">
        <f>AE5*('Price and Financial ratios'!AH4+1)*(1+Assumptions!$C$13)</f>
        <v>342022070.52548707</v>
      </c>
    </row>
    <row r="6" spans="1:32" s="11" customFormat="1" x14ac:dyDescent="0.35">
      <c r="A6" s="11" t="s">
        <v>20</v>
      </c>
      <c r="C6" s="59">
        <f>C27</f>
        <v>24589515.614878085</v>
      </c>
      <c r="D6" s="59">
        <f t="shared" ref="D6:AF6" si="1">D27</f>
        <v>26818492.963347673</v>
      </c>
      <c r="E6" s="59">
        <f>E27</f>
        <v>29138979.403246783</v>
      </c>
      <c r="F6" s="59">
        <f t="shared" si="1"/>
        <v>31554120.655927546</v>
      </c>
      <c r="G6" s="59">
        <f t="shared" si="1"/>
        <v>34059076.213877976</v>
      </c>
      <c r="H6" s="59">
        <f t="shared" si="1"/>
        <v>36663843.574928559</v>
      </c>
      <c r="I6" s="59">
        <f t="shared" si="1"/>
        <v>39371795.44161424</v>
      </c>
      <c r="J6" s="59">
        <f t="shared" si="1"/>
        <v>42186412.039668821</v>
      </c>
      <c r="K6" s="59">
        <f t="shared" si="1"/>
        <v>45111284.49733717</v>
      </c>
      <c r="L6" s="59">
        <f t="shared" si="1"/>
        <v>48156934.455844879</v>
      </c>
      <c r="M6" s="59">
        <f t="shared" si="1"/>
        <v>51321402.702960648</v>
      </c>
      <c r="N6" s="59">
        <f t="shared" si="1"/>
        <v>54608695.346325055</v>
      </c>
      <c r="O6" s="59">
        <f t="shared" si="1"/>
        <v>58022946.729348175</v>
      </c>
      <c r="P6" s="59">
        <f t="shared" si="1"/>
        <v>61568423.488507986</v>
      </c>
      <c r="Q6" s="59">
        <f t="shared" si="1"/>
        <v>65251574.458735585</v>
      </c>
      <c r="R6" s="59">
        <f t="shared" si="1"/>
        <v>69075172.398463905</v>
      </c>
      <c r="S6" s="59">
        <f t="shared" si="1"/>
        <v>73043922.398339376</v>
      </c>
      <c r="T6" s="59">
        <f t="shared" si="1"/>
        <v>77162680.117045403</v>
      </c>
      <c r="U6" s="59">
        <f t="shared" si="1"/>
        <v>81436456.558304727</v>
      </c>
      <c r="V6" s="59">
        <f t="shared" si="1"/>
        <v>85875798.898466259</v>
      </c>
      <c r="W6" s="59">
        <f t="shared" si="1"/>
        <v>90481322.781761944</v>
      </c>
      <c r="X6" s="59">
        <f t="shared" si="1"/>
        <v>95258572.802461684</v>
      </c>
      <c r="Y6" s="59">
        <f t="shared" si="1"/>
        <v>100213271.24389094</v>
      </c>
      <c r="Z6" s="59">
        <f t="shared" si="1"/>
        <v>105351323.73899323</v>
      </c>
      <c r="AA6" s="59">
        <f t="shared" si="1"/>
        <v>110678825.11348462</v>
      </c>
      <c r="AB6" s="59">
        <f t="shared" si="1"/>
        <v>116202065.41761878</v>
      </c>
      <c r="AC6" s="59">
        <f t="shared" si="1"/>
        <v>121927536.1527862</v>
      </c>
      <c r="AD6" s="59">
        <f t="shared" si="1"/>
        <v>127861936.69938058</v>
      </c>
      <c r="AE6" s="59">
        <f t="shared" si="1"/>
        <v>134012180.9525841</v>
      </c>
      <c r="AF6" s="59">
        <f t="shared" si="1"/>
        <v>140385404.17294729</v>
      </c>
    </row>
    <row r="7" spans="1:32" x14ac:dyDescent="0.35">
      <c r="A7" t="s">
        <v>21</v>
      </c>
      <c r="C7" s="4">
        <f>Depreciation!C8+Depreciation!C9</f>
        <v>15782553.440444823</v>
      </c>
      <c r="D7" s="4">
        <f>Depreciation!D8+Depreciation!D9</f>
        <v>17377050.597274255</v>
      </c>
      <c r="E7" s="4">
        <f>Depreciation!E8+Depreciation!E9</f>
        <v>19057434.237417754</v>
      </c>
      <c r="F7" s="4">
        <f>Depreciation!F8+Depreciation!F9</f>
        <v>20827568.33071883</v>
      </c>
      <c r="G7" s="4">
        <f>Depreciation!G8+Depreciation!G9</f>
        <v>22691289.336618207</v>
      </c>
      <c r="H7" s="4">
        <f>Depreciation!H8+Depreciation!H9</f>
        <v>24652768.25088761</v>
      </c>
      <c r="I7" s="4">
        <f>Depreciation!I8+Depreciation!I9</f>
        <v>26716346.99060943</v>
      </c>
      <c r="J7" s="4">
        <f>Depreciation!J8+Depreciation!J9</f>
        <v>28886545.056009956</v>
      </c>
      <c r="K7" s="4">
        <f>Depreciation!K8+Depreciation!K9</f>
        <v>31168066.443434559</v>
      </c>
      <c r="L7" s="4">
        <f>Depreciation!L8+Depreciation!L9</f>
        <v>33565937.902126148</v>
      </c>
      <c r="M7" s="4">
        <f>Depreciation!M8+Depreciation!M9</f>
        <v>36085266.76517082</v>
      </c>
      <c r="N7" s="4">
        <f>Depreciation!N8+Depreciation!N9</f>
        <v>38731368.003284901</v>
      </c>
      <c r="O7" s="4">
        <f>Depreciation!O8+Depreciation!O9</f>
        <v>41509772.280865058</v>
      </c>
      <c r="P7" s="4">
        <f>Depreciation!P8+Depreciation!P9</f>
        <v>44426234.314913735</v>
      </c>
      <c r="Q7" s="4">
        <f>Depreciation!Q8+Depreciation!Q9</f>
        <v>47486775.650948778</v>
      </c>
      <c r="R7" s="4">
        <f>Depreciation!R8+Depreciation!R9</f>
        <v>50697628.725744411</v>
      </c>
      <c r="S7" s="4">
        <f>Depreciation!S8+Depreciation!S9</f>
        <v>54065277.245111078</v>
      </c>
      <c r="T7" s="4">
        <f>Depreciation!T8+Depreciation!T9</f>
        <v>57596465.880870879</v>
      </c>
      <c r="U7" s="4">
        <f>Depreciation!U8+Depreciation!U9</f>
        <v>61298210.331068523</v>
      </c>
      <c r="V7" s="4">
        <f>Depreciation!V8+Depreciation!V9</f>
        <v>65177887.645016819</v>
      </c>
      <c r="W7" s="4">
        <f>Depreciation!W8+Depreciation!W9</f>
        <v>69243094.939678788</v>
      </c>
      <c r="X7" s="4">
        <f>Depreciation!X8+Depreciation!X9</f>
        <v>73501733.34425059</v>
      </c>
      <c r="Y7" s="4">
        <f>Depreciation!Y8+Depreciation!Y9</f>
        <v>77962019.677496776</v>
      </c>
      <c r="Z7" s="4">
        <f>Depreciation!Z8+Depreciation!Z9</f>
        <v>82632498.561126217</v>
      </c>
      <c r="AA7" s="4">
        <f>Depreciation!AA8+Depreciation!AA9</f>
        <v>87522054.985158205</v>
      </c>
      <c r="AB7" s="4">
        <f>Depreciation!AB8+Depreciation!AB9</f>
        <v>92639927.341801614</v>
      </c>
      <c r="AC7" s="4">
        <f>Depreciation!AC8+Depreciation!AC9</f>
        <v>97995720.944965392</v>
      </c>
      <c r="AD7" s="4">
        <f>Depreciation!AD8+Depreciation!AD9</f>
        <v>103599422.05313367</v>
      </c>
      <c r="AE7" s="4">
        <f>Depreciation!AE8+Depreciation!AE9</f>
        <v>109461412.41397706</v>
      </c>
      <c r="AF7" s="4">
        <f>Depreciation!AF8+Depreciation!AF9</f>
        <v>115592484.34973198</v>
      </c>
    </row>
    <row r="8" spans="1:32" x14ac:dyDescent="0.35">
      <c r="A8" t="s">
        <v>6</v>
      </c>
      <c r="C8" s="4">
        <f ca="1">'Debt worksheet'!C8</f>
        <v>3811271.9618937206</v>
      </c>
      <c r="D8" s="4">
        <f ca="1">'Debt worksheet'!D8</f>
        <v>5248740.4113156479</v>
      </c>
      <c r="E8" s="4">
        <f ca="1">'Debt worksheet'!E8</f>
        <v>6551032.2178639546</v>
      </c>
      <c r="F8" s="4">
        <f ca="1">'Debt worksheet'!F8</f>
        <v>7645568.4768264182</v>
      </c>
      <c r="G8" s="4">
        <f ca="1">'Debt worksheet'!G8</f>
        <v>8526989.0641956311</v>
      </c>
      <c r="H8" s="4">
        <f ca="1">'Debt worksheet'!H8</f>
        <v>9284078.5194890257</v>
      </c>
      <c r="I8" s="4">
        <f ca="1">'Debt worksheet'!I8</f>
        <v>10025349.872001281</v>
      </c>
      <c r="J8" s="4">
        <f ca="1">'Debt worksheet'!J8</f>
        <v>10738980.973509358</v>
      </c>
      <c r="K8" s="4">
        <f ca="1">'Debt worksheet'!K8</f>
        <v>11454280.386983927</v>
      </c>
      <c r="L8" s="4">
        <f ca="1">'Debt worksheet'!L8</f>
        <v>12164007.759850131</v>
      </c>
      <c r="M8" s="4">
        <f ca="1">'Debt worksheet'!M8</f>
        <v>12859465.560337218</v>
      </c>
      <c r="N8" s="4">
        <f ca="1">'Debt worksheet'!N8</f>
        <v>13530780.385767184</v>
      </c>
      <c r="O8" s="4">
        <f ca="1">'Debt worksheet'!O8</f>
        <v>14221939.741213499</v>
      </c>
      <c r="P8" s="4">
        <f ca="1">'Debt worksheet'!P8</f>
        <v>14929047.28780105</v>
      </c>
      <c r="Q8" s="4">
        <f ca="1">'Debt worksheet'!Q8</f>
        <v>15647718.378709754</v>
      </c>
      <c r="R8" s="4">
        <f ca="1">'Debt worksheet'!R8</f>
        <v>16372788.024288246</v>
      </c>
      <c r="S8" s="4">
        <f ca="1">'Debt worksheet'!S8</f>
        <v>17098358.565321576</v>
      </c>
      <c r="T8" s="4">
        <f ca="1">'Debt worksheet'!T8</f>
        <v>17817733.490978431</v>
      </c>
      <c r="U8" s="4">
        <f ca="1">'Debt worksheet'!U8</f>
        <v>18523346.314348478</v>
      </c>
      <c r="V8" s="4">
        <f ca="1">'Debt worksheet'!V8</f>
        <v>19287440.67668562</v>
      </c>
      <c r="W8" s="4">
        <f ca="1">'Debt worksheet'!W8</f>
        <v>20111535.91565755</v>
      </c>
      <c r="X8" s="4">
        <f ca="1">'Debt worksheet'!X8</f>
        <v>20997051.472458795</v>
      </c>
      <c r="Y8" s="4">
        <f ca="1">'Debt worksheet'!Y8</f>
        <v>21945290.858056173</v>
      </c>
      <c r="Z8" s="4">
        <f ca="1">'Debt worksheet'!Z8</f>
        <v>22957424.272002947</v>
      </c>
      <c r="AA8" s="4">
        <f ca="1">'Debt worksheet'!AA8</f>
        <v>24034469.782881238</v>
      </c>
      <c r="AB8" s="4">
        <f ca="1">'Debt worksheet'!AB8</f>
        <v>25261197.295286383</v>
      </c>
      <c r="AC8" s="4">
        <f ca="1">'Debt worksheet'!AC8</f>
        <v>26648216.698290944</v>
      </c>
      <c r="AD8" s="4">
        <f ca="1">'Debt worksheet'!AD8</f>
        <v>28206709.561604619</v>
      </c>
      <c r="AE8" s="4">
        <f ca="1">'Debt worksheet'!AE8</f>
        <v>29948455.888047867</v>
      </c>
      <c r="AF8" s="4">
        <f ca="1">'Debt worksheet'!AF8</f>
        <v>31885862.015481848</v>
      </c>
    </row>
    <row r="9" spans="1:32" x14ac:dyDescent="0.35">
      <c r="A9" t="s">
        <v>22</v>
      </c>
      <c r="C9" s="4">
        <f ca="1">C5-C6-C7-C8</f>
        <v>-30886.389919033274</v>
      </c>
      <c r="D9" s="4">
        <f t="shared" ref="D9:AF9" ca="1" si="2">D5-D6-D7-D8</f>
        <v>4323449.8209591191</v>
      </c>
      <c r="E9" s="4">
        <f t="shared" ca="1" si="2"/>
        <v>9638246.8796618916</v>
      </c>
      <c r="F9" s="4">
        <f t="shared" ca="1" si="2"/>
        <v>17073210.362536449</v>
      </c>
      <c r="G9" s="4">
        <f t="shared" ca="1" si="2"/>
        <v>24701505.451442771</v>
      </c>
      <c r="H9" s="4">
        <f t="shared" ca="1" si="2"/>
        <v>29842108.351637356</v>
      </c>
      <c r="I9" s="4">
        <f t="shared" ca="1" si="2"/>
        <v>31932908.320208907</v>
      </c>
      <c r="J9" s="4">
        <f t="shared" ca="1" si="2"/>
        <v>34413663.361121424</v>
      </c>
      <c r="K9" s="4">
        <f t="shared" ca="1" si="2"/>
        <v>36110871.635404989</v>
      </c>
      <c r="L9" s="4">
        <f t="shared" ca="1" si="2"/>
        <v>38075963.915202439</v>
      </c>
      <c r="M9" s="4">
        <f t="shared" ca="1" si="2"/>
        <v>40347229.21963378</v>
      </c>
      <c r="N9" s="4">
        <f t="shared" ca="1" si="2"/>
        <v>42960105.650812052</v>
      </c>
      <c r="O9" s="4">
        <f t="shared" ca="1" si="2"/>
        <v>44377610.739183977</v>
      </c>
      <c r="P9" s="4">
        <f t="shared" ca="1" si="2"/>
        <v>45969815.617897622</v>
      </c>
      <c r="Q9" s="4">
        <f t="shared" ca="1" si="2"/>
        <v>47754116.841327123</v>
      </c>
      <c r="R9" s="4">
        <f t="shared" ca="1" si="2"/>
        <v>49753568.327261992</v>
      </c>
      <c r="S9" s="4">
        <f t="shared" ca="1" si="2"/>
        <v>51991263.119285285</v>
      </c>
      <c r="T9" s="4">
        <f t="shared" ca="1" si="2"/>
        <v>54492254.192029104</v>
      </c>
      <c r="U9" s="4">
        <f t="shared" ca="1" si="2"/>
        <v>57283697.868405953</v>
      </c>
      <c r="V9" s="4">
        <f t="shared" ca="1" si="2"/>
        <v>58091006.811073378</v>
      </c>
      <c r="W9" s="4">
        <f t="shared" ca="1" si="2"/>
        <v>58934208.827884912</v>
      </c>
      <c r="X9" s="4">
        <f t="shared" ca="1" si="2"/>
        <v>59818695.790885493</v>
      </c>
      <c r="Y9" s="4">
        <f t="shared" ca="1" si="2"/>
        <v>60750398.885379642</v>
      </c>
      <c r="Z9" s="4">
        <f t="shared" ca="1" si="2"/>
        <v>61735829.70656091</v>
      </c>
      <c r="AA9" s="4">
        <f t="shared" ca="1" si="2"/>
        <v>62782124.037593208</v>
      </c>
      <c r="AB9" s="4">
        <f t="shared" ca="1" si="2"/>
        <v>61499250.715974718</v>
      </c>
      <c r="AC9" s="4">
        <f t="shared" ca="1" si="2"/>
        <v>60009037.87595883</v>
      </c>
      <c r="AD9" s="4">
        <f t="shared" ca="1" si="2"/>
        <v>58298217.390476167</v>
      </c>
      <c r="AE9" s="4">
        <f t="shared" ca="1" si="2"/>
        <v>56352854.875441767</v>
      </c>
      <c r="AF9" s="4">
        <f t="shared" ca="1" si="2"/>
        <v>54158319.987325951</v>
      </c>
    </row>
    <row r="12" spans="1:32" x14ac:dyDescent="0.35">
      <c r="A12" t="s">
        <v>79</v>
      </c>
      <c r="C12" s="2">
        <f>Assumptions!$C$25*Assumptions!D9*Assumptions!D13</f>
        <v>23282710.009366646</v>
      </c>
      <c r="D12" s="2">
        <f>Assumptions!$C$25*Assumptions!E9*Assumptions!E13</f>
        <v>24147382.305682294</v>
      </c>
      <c r="E12" s="2">
        <f>Assumptions!$C$25*Assumptions!F9*Assumptions!F13</f>
        <v>25044166.765045755</v>
      </c>
      <c r="F12" s="2">
        <f>Assumptions!$C$25*Assumptions!G9*Assumptions!G13</f>
        <v>25974255.967605609</v>
      </c>
      <c r="G12" s="2">
        <f>Assumptions!$C$25*Assumptions!H9*Assumptions!H13</f>
        <v>26938886.783501379</v>
      </c>
      <c r="H12" s="2">
        <f>Assumptions!$C$25*Assumptions!I9*Assumptions!I13</f>
        <v>27939342.017703339</v>
      </c>
      <c r="I12" s="2">
        <f>Assumptions!$C$25*Assumptions!J9*Assumptions!J13</f>
        <v>28976952.115938336</v>
      </c>
      <c r="J12" s="2">
        <f>Assumptions!$C$25*Assumptions!K9*Assumptions!K13</f>
        <v>30053096.933970138</v>
      </c>
      <c r="K12" s="2">
        <f>Assumptions!$C$25*Assumptions!L9*Assumptions!L13</f>
        <v>31169207.572587315</v>
      </c>
      <c r="L12" s="2">
        <f>Assumptions!$C$25*Assumptions!M9*Assumptions!M13</f>
        <v>32326768.280738801</v>
      </c>
      <c r="M12" s="2">
        <f>Assumptions!$C$25*Assumptions!N9*Assumptions!N13</f>
        <v>33527318.429348014</v>
      </c>
      <c r="N12" s="2">
        <f>Assumptions!$C$25*Assumptions!O9*Assumptions!O13</f>
        <v>34772454.558430389</v>
      </c>
      <c r="O12" s="2">
        <f>Assumptions!$C$25*Assumptions!P9*Assumptions!P13</f>
        <v>36063832.50023672</v>
      </c>
      <c r="P12" s="2">
        <f>Assumptions!$C$25*Assumptions!Q9*Assumptions!Q13</f>
        <v>37403169.581245638</v>
      </c>
      <c r="Q12" s="2">
        <f>Assumptions!$C$25*Assumptions!R9*Assumptions!R13</f>
        <v>38792246.905933723</v>
      </c>
      <c r="R12" s="2">
        <f>Assumptions!$C$25*Assumptions!S9*Assumptions!S13</f>
        <v>40232911.725359946</v>
      </c>
      <c r="S12" s="2">
        <f>Assumptions!$C$25*Assumptions!T9*Assumptions!T13</f>
        <v>41727079.893714763</v>
      </c>
      <c r="T12" s="2">
        <f>Assumptions!$C$25*Assumptions!U9*Assumptions!U13</f>
        <v>43276738.416100249</v>
      </c>
      <c r="U12" s="2">
        <f>Assumptions!$C$25*Assumptions!V9*Assumptions!V13</f>
        <v>44883948.090929627</v>
      </c>
      <c r="V12" s="2">
        <f>Assumptions!$C$25*Assumptions!W9*Assumptions!W13</f>
        <v>46550846.250460163</v>
      </c>
      <c r="W12" s="2">
        <f>Assumptions!$C$25*Assumptions!X9*Assumptions!X13</f>
        <v>48279649.603103779</v>
      </c>
      <c r="X12" s="2">
        <f>Assumptions!$C$25*Assumptions!Y9*Assumptions!Y13</f>
        <v>50072657.181295313</v>
      </c>
      <c r="Y12" s="2">
        <f>Assumptions!$C$25*Assumptions!Z9*Assumptions!Z13</f>
        <v>51932253.398838669</v>
      </c>
      <c r="Z12" s="2">
        <f>Assumptions!$C$25*Assumptions!AA9*Assumptions!AA13</f>
        <v>53860911.221796356</v>
      </c>
      <c r="AA12" s="2">
        <f>Assumptions!$C$25*Assumptions!AB9*Assumptions!AB13</f>
        <v>55861195.457139567</v>
      </c>
      <c r="AB12" s="2">
        <f>Assumptions!$C$25*Assumptions!AC9*Assumptions!AC13</f>
        <v>57935766.163532011</v>
      </c>
      <c r="AC12" s="2">
        <f>Assumptions!$C$25*Assumptions!AD9*Assumptions!AD13</f>
        <v>60087382.188783124</v>
      </c>
      <c r="AD12" s="2">
        <f>Assumptions!$C$25*Assumptions!AE9*Assumptions!AE13</f>
        <v>62318904.838675208</v>
      </c>
      <c r="AE12" s="2">
        <f>Assumptions!$C$25*Assumptions!AF9*Assumptions!AF13</f>
        <v>64633301.682043336</v>
      </c>
      <c r="AF12" s="2">
        <f>Assumptions!$C$25*Assumptions!AG9*Assumptions!AG13</f>
        <v>67033650.497167997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1306805.605511439</v>
      </c>
      <c r="D14" s="5">
        <f>Assumptions!E122*Assumptions!E9</f>
        <v>2671110.6576653812</v>
      </c>
      <c r="E14" s="5">
        <f>Assumptions!F122*Assumptions!F9</f>
        <v>4094812.63820103</v>
      </c>
      <c r="F14" s="5">
        <f>Assumptions!G122*Assumptions!G9</f>
        <v>5579864.6883219369</v>
      </c>
      <c r="G14" s="5">
        <f>Assumptions!H122*Assumptions!H9</f>
        <v>7128054.6676625339</v>
      </c>
      <c r="H14" s="5">
        <f>Assumptions!I122*Assumptions!I9</f>
        <v>8741437.0210196916</v>
      </c>
      <c r="I14" s="5">
        <f>Assumptions!J122*Assumptions!J9</f>
        <v>10422125.923882781</v>
      </c>
      <c r="J14" s="5">
        <f>Assumptions!K122*Assumptions!K9</f>
        <v>12172296.913915135</v>
      </c>
      <c r="K14" s="5">
        <f>Assumptions!L122*Assumptions!L9</f>
        <v>13994188.56526039</v>
      </c>
      <c r="L14" s="5">
        <f>Assumptions!M122*Assumptions!M9</f>
        <v>15890252.858422497</v>
      </c>
      <c r="M14" s="5">
        <f>Assumptions!N122*Assumptions!N9</f>
        <v>17862869.418033086</v>
      </c>
      <c r="N14" s="5">
        <f>Assumptions!O122*Assumptions!O9</f>
        <v>19914486.624914762</v>
      </c>
      <c r="O14" s="5">
        <f>Assumptions!P122*Assumptions!P9</f>
        <v>22047623.488568079</v>
      </c>
      <c r="P14" s="5">
        <f>Assumptions!Q122*Assumptions!Q9</f>
        <v>24264871.568746973</v>
      </c>
      <c r="Q14" s="5">
        <f>Assumptions!R122*Assumptions!R9</f>
        <v>26568933.783190876</v>
      </c>
      <c r="R14" s="5">
        <f>Assumptions!S122*Assumptions!S9</f>
        <v>28962555.186782159</v>
      </c>
      <c r="S14" s="5">
        <f>Assumptions!T122*Assumptions!T9</f>
        <v>31448559.563228942</v>
      </c>
      <c r="T14" s="5">
        <f>Assumptions!U122*Assumptions!U9</f>
        <v>34029851.55974634</v>
      </c>
      <c r="U14" s="5">
        <f>Assumptions!V122*Assumptions!V9</f>
        <v>36709418.877541751</v>
      </c>
      <c r="V14" s="5">
        <f>Assumptions!W122*Assumptions!W9</f>
        <v>39490416.709165238</v>
      </c>
      <c r="W14" s="5">
        <f>Assumptions!X122*Assumptions!X9</f>
        <v>42376011.086643428</v>
      </c>
      <c r="X14" s="5">
        <f>Assumptions!Y122*Assumptions!Y9</f>
        <v>45369458.255043417</v>
      </c>
      <c r="Y14" s="5">
        <f>Assumptions!Z122*Assumptions!Z9</f>
        <v>48474107.109487079</v>
      </c>
      <c r="Z14" s="5">
        <f>Assumptions!AA122*Assumptions!AA9</f>
        <v>51693401.69573082</v>
      </c>
      <c r="AA14" s="5">
        <f>Assumptions!AB122*Assumptions!AB9</f>
        <v>55030883.775928289</v>
      </c>
      <c r="AB14" s="5">
        <f>Assumptions!AC122*Assumptions!AC9</f>
        <v>58490195.46123372</v>
      </c>
      <c r="AC14" s="5">
        <f>Assumptions!AD122*Assumptions!AD9</f>
        <v>62075081.912945032</v>
      </c>
      <c r="AD14" s="5">
        <f>Assumptions!AE122*Assumptions!AE9</f>
        <v>65789394.1139284</v>
      </c>
      <c r="AE14" s="5">
        <f>Assumptions!AF122*Assumptions!AF9</f>
        <v>69637091.712109163</v>
      </c>
      <c r="AF14" s="5">
        <f>Assumptions!AG122*Assumptions!AG9</f>
        <v>73622245.937858745</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0.9997691240554365</v>
      </c>
      <c r="H16" s="37">
        <f>Assumptions!I43</f>
        <v>0.99953830141457478</v>
      </c>
      <c r="I16" s="37">
        <f>Assumptions!J43</f>
        <v>0.99930753206510825</v>
      </c>
      <c r="J16" s="37">
        <f>Assumptions!K43</f>
        <v>0.9990768159947333</v>
      </c>
      <c r="K16" s="37">
        <f>Assumptions!L43</f>
        <v>0.998846153191149</v>
      </c>
      <c r="L16" s="37">
        <f>Assumptions!M43</f>
        <v>0.99875382838058391</v>
      </c>
      <c r="M16" s="37">
        <f>Assumptions!N43</f>
        <v>0.99866151210373599</v>
      </c>
      <c r="N16" s="37">
        <f>Assumptions!O43</f>
        <v>0.99856920435981655</v>
      </c>
      <c r="O16" s="37">
        <f>Assumptions!P43</f>
        <v>0.99847690514803689</v>
      </c>
      <c r="P16" s="37">
        <f>Assumptions!Q43</f>
        <v>0.99838461446760829</v>
      </c>
      <c r="Q16" s="37">
        <f>Assumptions!R43</f>
        <v>0.99832306838350537</v>
      </c>
      <c r="R16" s="37">
        <f>Assumptions!S43</f>
        <v>0.99826152609345176</v>
      </c>
      <c r="S16" s="37">
        <f>Assumptions!T43</f>
        <v>0.99819998759721362</v>
      </c>
      <c r="T16" s="37">
        <f>Assumptions!U43</f>
        <v>0.99813845289455705</v>
      </c>
      <c r="U16" s="37">
        <f>Assumptions!V43</f>
        <v>0.99807692198524811</v>
      </c>
      <c r="V16" s="37">
        <f>Assumptions!W43</f>
        <v>0.99807692198524811</v>
      </c>
      <c r="W16" s="37">
        <f>Assumptions!X43</f>
        <v>0.99807692198524811</v>
      </c>
      <c r="X16" s="37">
        <f>Assumptions!Y43</f>
        <v>0.99807692198524811</v>
      </c>
      <c r="Y16" s="37">
        <f>Assumptions!Z43</f>
        <v>0.99807692198524811</v>
      </c>
      <c r="Z16" s="37">
        <f>Assumptions!AA43</f>
        <v>0.99807692198524811</v>
      </c>
      <c r="AA16" s="37">
        <f>Assumptions!AB43</f>
        <v>0.99807692198524811</v>
      </c>
      <c r="AB16" s="37">
        <f>Assumptions!AC43</f>
        <v>0.99807692198524811</v>
      </c>
      <c r="AC16" s="37">
        <f>Assumptions!AD43</f>
        <v>0.99807692198524811</v>
      </c>
      <c r="AD16" s="37">
        <f>Assumptions!AE43</f>
        <v>0.99807692198524811</v>
      </c>
      <c r="AE16" s="37">
        <f>Assumptions!AF43</f>
        <v>0.99807692198524811</v>
      </c>
      <c r="AF16" s="37">
        <f>Assumptions!AG43</f>
        <v>0.99807692198524811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-6219.5409316308796</v>
      </c>
      <c r="H19" s="44">
        <f t="shared" si="3"/>
        <v>-12899.554687283933</v>
      </c>
      <c r="I19" s="44">
        <f t="shared" si="3"/>
        <v>-20065.610191181302</v>
      </c>
      <c r="J19" s="44">
        <f t="shared" si="3"/>
        <v>-27744.538398172706</v>
      </c>
      <c r="K19" s="44">
        <f t="shared" si="3"/>
        <v>-35964.49069204554</v>
      </c>
      <c r="L19" s="44">
        <f t="shared" si="3"/>
        <v>-40284.701178897172</v>
      </c>
      <c r="M19" s="44">
        <f t="shared" si="3"/>
        <v>-44875.909911870956</v>
      </c>
      <c r="N19" s="44">
        <f t="shared" si="3"/>
        <v>-49752.276380680501</v>
      </c>
      <c r="O19" s="44">
        <f t="shared" si="3"/>
        <v>-54928.637623168528</v>
      </c>
      <c r="P19" s="44">
        <f t="shared" si="3"/>
        <v>-60420.539007134736</v>
      </c>
      <c r="Q19" s="44">
        <f t="shared" si="3"/>
        <v>-65051.945311427116</v>
      </c>
      <c r="R19" s="44">
        <f t="shared" si="3"/>
        <v>-69943.867218993604</v>
      </c>
      <c r="S19" s="44">
        <f t="shared" si="3"/>
        <v>-75109.261340744793</v>
      </c>
      <c r="T19" s="44">
        <f t="shared" si="3"/>
        <v>-80561.687131501734</v>
      </c>
      <c r="U19" s="44">
        <f t="shared" si="3"/>
        <v>-86315.33378893137</v>
      </c>
      <c r="V19" s="44">
        <f t="shared" si="3"/>
        <v>-89520.908992357552</v>
      </c>
      <c r="W19" s="44">
        <f t="shared" si="3"/>
        <v>-92845.532711654902</v>
      </c>
      <c r="X19" s="44">
        <f t="shared" si="3"/>
        <v>-96293.626165553927</v>
      </c>
      <c r="Y19" s="44">
        <f t="shared" si="3"/>
        <v>-99869.774767830968</v>
      </c>
      <c r="Z19" s="44">
        <f t="shared" si="3"/>
        <v>-103578.73422513902</v>
      </c>
      <c r="AA19" s="44">
        <f t="shared" si="3"/>
        <v>-107425.43686138093</v>
      </c>
      <c r="AB19" s="44">
        <f t="shared" si="3"/>
        <v>-111414.99817689508</v>
      </c>
      <c r="AC19" s="44">
        <f t="shared" si="3"/>
        <v>-115552.72365124524</v>
      </c>
      <c r="AD19" s="44">
        <f t="shared" si="3"/>
        <v>-119844.11579867452</v>
      </c>
      <c r="AE19" s="44">
        <f t="shared" si="3"/>
        <v>-124294.8814855665</v>
      </c>
      <c r="AF19" s="44">
        <f t="shared" si="3"/>
        <v>-128910.93951966614</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-1645.6963542969897</v>
      </c>
      <c r="H24" s="44">
        <f t="shared" si="6"/>
        <v>-4035.9091071877629</v>
      </c>
      <c r="I24" s="44">
        <f t="shared" si="6"/>
        <v>-7216.9880156926811</v>
      </c>
      <c r="J24" s="44">
        <f t="shared" si="6"/>
        <v>-11237.269818283617</v>
      </c>
      <c r="K24" s="44">
        <f t="shared" si="6"/>
        <v>-16147.149818485603</v>
      </c>
      <c r="L24" s="44">
        <f t="shared" si="6"/>
        <v>-19801.982137512416</v>
      </c>
      <c r="M24" s="44">
        <f t="shared" si="6"/>
        <v>-23909.23450858146</v>
      </c>
      <c r="N24" s="44">
        <f t="shared" si="6"/>
        <v>-28493.560639418662</v>
      </c>
      <c r="O24" s="44">
        <f t="shared" si="6"/>
        <v>-33580.621833458543</v>
      </c>
      <c r="P24" s="44">
        <f t="shared" si="6"/>
        <v>-39197.122477497905</v>
      </c>
      <c r="Q24" s="44">
        <f t="shared" si="6"/>
        <v>-44554.28507758677</v>
      </c>
      <c r="R24" s="44">
        <f t="shared" si="6"/>
        <v>-50350.646459184587</v>
      </c>
      <c r="S24" s="44">
        <f t="shared" si="6"/>
        <v>-56607.79726357758</v>
      </c>
      <c r="T24" s="44">
        <f t="shared" si="6"/>
        <v>-63348.171669699252</v>
      </c>
      <c r="U24" s="44">
        <f t="shared" si="6"/>
        <v>-70595.076377719641</v>
      </c>
      <c r="V24" s="44">
        <f t="shared" si="6"/>
        <v>-75943.15216678381</v>
      </c>
      <c r="W24" s="44">
        <f t="shared" si="6"/>
        <v>-81492.375273607671</v>
      </c>
      <c r="X24" s="44">
        <f t="shared" si="6"/>
        <v>-87249.007711477578</v>
      </c>
      <c r="Y24" s="44">
        <f t="shared" si="6"/>
        <v>-93219.489666983485</v>
      </c>
      <c r="Z24" s="44">
        <f t="shared" si="6"/>
        <v>-99410.444308795035</v>
      </c>
      <c r="AA24" s="44">
        <f t="shared" si="6"/>
        <v>-105828.68272185326</v>
      </c>
      <c r="AB24" s="44">
        <f t="shared" si="6"/>
        <v>-112481.20897004008</v>
      </c>
      <c r="AC24" s="44">
        <f t="shared" si="6"/>
        <v>-119375.22529070824</v>
      </c>
      <c r="AD24" s="44">
        <f t="shared" si="6"/>
        <v>-126518.13742434233</v>
      </c>
      <c r="AE24" s="44">
        <f t="shared" si="6"/>
        <v>-133917.56008282304</v>
      </c>
      <c r="AF24" s="44">
        <f t="shared" si="6"/>
        <v>-141581.32255975902</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24589515.614878085</v>
      </c>
      <c r="D27" s="2">
        <f t="shared" ref="D27:AF27" si="8">D12+D13+D14+D19+D20+D22+D24+D25</f>
        <v>26818492.963347673</v>
      </c>
      <c r="E27" s="2">
        <f t="shared" si="8"/>
        <v>29138979.403246783</v>
      </c>
      <c r="F27" s="2">
        <f t="shared" si="8"/>
        <v>31554120.655927546</v>
      </c>
      <c r="G27" s="2">
        <f t="shared" si="8"/>
        <v>34059076.213877976</v>
      </c>
      <c r="H27" s="2">
        <f t="shared" si="8"/>
        <v>36663843.574928559</v>
      </c>
      <c r="I27" s="2">
        <f t="shared" si="8"/>
        <v>39371795.44161424</v>
      </c>
      <c r="J27" s="2">
        <f t="shared" si="8"/>
        <v>42186412.039668821</v>
      </c>
      <c r="K27" s="2">
        <f t="shared" si="8"/>
        <v>45111284.49733717</v>
      </c>
      <c r="L27" s="2">
        <f t="shared" si="8"/>
        <v>48156934.455844879</v>
      </c>
      <c r="M27" s="2">
        <f t="shared" si="8"/>
        <v>51321402.702960648</v>
      </c>
      <c r="N27" s="2">
        <f t="shared" si="8"/>
        <v>54608695.346325055</v>
      </c>
      <c r="O27" s="2">
        <f t="shared" si="8"/>
        <v>58022946.729348175</v>
      </c>
      <c r="P27" s="2">
        <f t="shared" si="8"/>
        <v>61568423.488507986</v>
      </c>
      <c r="Q27" s="2">
        <f t="shared" si="8"/>
        <v>65251574.458735585</v>
      </c>
      <c r="R27" s="2">
        <f t="shared" si="8"/>
        <v>69075172.398463905</v>
      </c>
      <c r="S27" s="2">
        <f t="shared" si="8"/>
        <v>73043922.398339376</v>
      </c>
      <c r="T27" s="2">
        <f t="shared" si="8"/>
        <v>77162680.117045403</v>
      </c>
      <c r="U27" s="2">
        <f t="shared" si="8"/>
        <v>81436456.558304727</v>
      </c>
      <c r="V27" s="2">
        <f t="shared" si="8"/>
        <v>85875798.898466259</v>
      </c>
      <c r="W27" s="2">
        <f t="shared" si="8"/>
        <v>90481322.781761944</v>
      </c>
      <c r="X27" s="2">
        <f t="shared" si="8"/>
        <v>95258572.802461684</v>
      </c>
      <c r="Y27" s="2">
        <f t="shared" si="8"/>
        <v>100213271.24389094</v>
      </c>
      <c r="Z27" s="2">
        <f t="shared" si="8"/>
        <v>105351323.73899323</v>
      </c>
      <c r="AA27" s="2">
        <f t="shared" si="8"/>
        <v>110678825.11348462</v>
      </c>
      <c r="AB27" s="2">
        <f t="shared" si="8"/>
        <v>116202065.41761878</v>
      </c>
      <c r="AC27" s="2">
        <f t="shared" si="8"/>
        <v>121927536.1527862</v>
      </c>
      <c r="AD27" s="2">
        <f t="shared" si="8"/>
        <v>127861936.69938058</v>
      </c>
      <c r="AE27" s="2">
        <f t="shared" si="8"/>
        <v>134012180.9525841</v>
      </c>
      <c r="AF27" s="2">
        <f t="shared" si="8"/>
        <v>140385404.17294729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3W2DU3RAJ5R2-1900874439-832</_dlc_DocId>
    <_dlc_DocIdUrl xmlns="f54e2983-00ce-40fc-8108-18f351fc47bf">
      <Url>https://dia.cohesion.net.nz/Sites/LGV/TWRP/CAE/_layouts/15/DocIdRedir.aspx?ID=3W2DU3RAJ5R2-1900874439-832</Url>
      <Description>3W2DU3RAJ5R2-1900874439-832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BED6AC-54FE-49D3-8E62-68B80DCBD1B8}"/>
</file>

<file path=customXml/itemProps2.xml><?xml version="1.0" encoding="utf-8"?>
<ds:datastoreItem xmlns:ds="http://schemas.openxmlformats.org/officeDocument/2006/customXml" ds:itemID="{CBCC2D2A-763C-48F8-A3E5-6B0A81386C39}">
  <ds:schemaRefs>
    <ds:schemaRef ds:uri="http://schemas.microsoft.com/sharepoint/v3"/>
    <ds:schemaRef ds:uri="http://schemas.microsoft.com/office/2006/documentManagement/types"/>
    <ds:schemaRef ds:uri="http://purl.org/dc/terms/"/>
    <ds:schemaRef ds:uri="http://www.w3.org/XML/1998/namespace"/>
    <ds:schemaRef ds:uri="http://purl.org/dc/dcmitype/"/>
    <ds:schemaRef ds:uri="http://purl.org/dc/elements/1.1/"/>
    <ds:schemaRef ds:uri="http://schemas.openxmlformats.org/package/2006/metadata/core-properties"/>
    <ds:schemaRef ds:uri="08a23fc5-e034-477c-ac83-93bc1440f322"/>
    <ds:schemaRef ds:uri="http://schemas.microsoft.com/office/infopath/2007/PartnerControls"/>
    <ds:schemaRef ds:uri="65b6d800-2dda-48d6-88d8-9e2b35e6f7ea"/>
    <ds:schemaRef ds:uri="http://schemas.microsoft.com/office/2006/metadata/properties"/>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57205F69-E1F7-4164-BD4D-0CBCFE4C81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2021-07-02T13:44:17Z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75abdb15-993e-4dbc-9dfc-ce3c7e56033c</vt:lpwstr>
  </property>
</Properties>
</file>