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3" documentId="8_{C6156C77-AEFF-41F5-B9A3-99A9123D7FA9}" xr6:coauthVersionLast="47" xr6:coauthVersionMax="47" xr10:uidLastSave="{69865B87-FBFF-4F98-9E1F-2423A1924085}"/>
  <bookViews>
    <workbookView xWindow="2070" yWindow="380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5" i="9"/>
  <c r="C11" i="9"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<sst xmlns="http://schemas.openxmlformats.org/spreadsheetml/2006/main" count="277" uniqueCount="205">
  <si>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</si>
  <si>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</si>
  <si>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</si>
  <si>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</si>
  <si>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</si>
  <si>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</si>
  <si>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</si>
  <si>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</si>
  <si>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</si>
  <si>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</si>
  <si>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</si>
  <si>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</si>
  <si>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</si>
  <si>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</si>
  <si>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</si>
  <si>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</si>
  <si>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</si>
  <si>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</si>
  <si>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</si>
  <si>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</si>
  <si>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</si>
  <si>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</si>
  <si>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</si>
  <si>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</si>
  <si>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</si>
  <si>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</si>
  <si>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</si>
  <si>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</si>
  <si>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</si>
  <si>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</si>
  <si>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</si>
  <si>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</si>
  <si>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</si>
  <si>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</si>
  <si>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</si>
  <si>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</si>
  <si>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</si>
  <si>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</si>
  <si>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</si>
  <si>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</si>
  <si>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</si>
  <si>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</si>
  <si>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</si>
  <si>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</si>
  <si>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</si>
  <si>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</si>
  <si>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</si>
  <si>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</si>
  <si>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</si>
  <si>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</si>
  <si>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</si>
  <si>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</si>
  <si>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</si>
  <si>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</si>
  <si>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</si>
  <si>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</si>
  <si>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</si>
  <si>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</si>
  <si>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</si>
  <si>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</si>
  <si>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</si>
  <si>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</si>
  <si>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</si>
  <si>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</si>
  <si>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</si>
  <si>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</si>
  <si>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</si>
  <si>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</si>
  <si>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</si>
  <si>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</si>
  <si>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</si>
  <si>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</si>
  <si>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</si>
  <si>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</si>
  <si>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</si>
  <si>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</si>
  <si>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</si>
  <si>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</si>
  <si>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</si>
  <si>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</si>
  <si>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</si>
  <si>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</si>
  <si>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</si>
  <si>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</si>
  <si>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</si>
  <si>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</si>
  <si>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</si>
  <si>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</si>
  <si>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</si>
  <si>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</si>
  <si>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</si>
  <si>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</si>
  <si>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</si>
  <si>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</si>
  <si>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</si>
  <si>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</si>
  <si>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</si>
  <si>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</si>
  <si>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</si>
  <si>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</si>
  <si>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</si>
  <si>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</si>
  <si>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</si>
  <si>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</si>
  <si>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</si>
  <si>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</si>
  <si>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</si>
  <si>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</si>
  <si>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</si>
  <si>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</si>
  <si>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</si>
  <si>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</si>
  <si>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</si>
  <si>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</si>
  <si>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</si>
  <si>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</si>
  <si>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</si>
  <si>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</si>
  <si>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</si>
  <si>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</si>
  <si>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</si>
  <si>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</si>
  <si>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</si>
  <si>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</si>
  <si>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</si>
  <si>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</si>
  <si>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</si>
  <si>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</si>
  <si>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</si>
  <si>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</si>
  <si>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</si>
  <si>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</si>
  <si>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</si>
  <si>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</si>
  <si>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</si>
  <si>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</si>
  <si>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</si>
  <si>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</si>
  <si>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</si>
  <si>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</si>
  <si>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</si>
  <si>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</si>
  <si>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</si>
  <si>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</si>
  <si>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</si>
  <si>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</si>
  <si>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</si>
  <si>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</si>
  <si>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</si>
  <si>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</si>
  <si>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</si>
  <si>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</si>
  <si>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</si>
  <si>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</si>
  <si>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</si>
  <si>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</si>
  <si>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</si>
  <si>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</si>
  <si>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</si>
  <si>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</si>
  <si>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</si>
  <si>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</si>
  <si>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</si>
  <si>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</si>
  <si>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</si>
  <si>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</si>
  <si>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</si>
  <si>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</si>
  <si>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</si>
  <si>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</si>
  <si>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</si>
  <si>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</si>
  <si>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</si>
  <si>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</si>
  <si>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</si>
  <si>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</si>
  <si>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</si>
  <si>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</si>
  <si>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</si>
  <si>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</si>
  <si>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</si>
  <si>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</si>
  <si>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</si>
  <si>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</si>
  <si>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</si>
  <si>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</si>
  <si>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</si>
  <si>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</si>
  <si>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</si>
  <si>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</si>
  <si>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</si>
  <si>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</si>
  <si>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</si>
  <si>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</si>
  <si>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</si>
  <si>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</si>
  <si>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Rangitikei Stand-alone Council</t>
  </si>
  <si>
    <t>RFI Table A1; Line A1.43</t>
  </si>
  <si>
    <t>RFI Table F10; Line F10.62 minus F10.61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</si>
  <si>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</si>
  <si>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</si>
  <si>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</si>
  <si>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</si>
  <si>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</si>
  <si>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Assumption that individual councils would be unable to match NZ wide productivity of 0.8% per annum.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</si>
</sst>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9" xfId="0" applyFont="1" applyFill="1" applyBorder="1" applyAlignment="1">
      <alignment vertical="top" wrapText="1"/>
    </xf>
    <xf numFmtId="0" fontId="0" fillId="0" borderId="0" xfId="0" applyAlignment="1">
      <alignment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activeCell="A2"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196</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activeCell="A2" sqref="A1:XFD1048576"/>
      <selection pane="topRight" activeCell="A2"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166652000</v>
      </c>
      <c r="C6" s="12">
        <f ca="1">B6+Depreciation!C18+'Cash Flow'!C13</f>
        <v>174476859.35260665</v>
      </c>
      <c r="D6" s="1">
        <f ca="1">C6+Depreciation!D18</f>
        <v>216727846.93008289</v>
      </c>
      <c r="E6" s="1">
        <f ca="1">D6+Depreciation!E18</f>
        <v>261271380.87748891</v>
      </c>
      <c r="F6" s="1">
        <f ca="1">E6+Depreciation!F18</f>
        <v>308210919.15122092</v>
      </c>
      <c r="G6" s="1">
        <f ca="1">F6+Depreciation!G18</f>
        <v>357654193.44940162</v>
      </c>
      <c r="H6" s="1">
        <f ca="1">G6+Depreciation!H18</f>
        <v>409713376.79040337</v>
      </c>
      <c r="I6" s="1">
        <f ca="1">H6+Depreciation!I18</f>
        <v>464505257.44008541</v>
      </c>
      <c r="J6" s="1">
        <f ca="1">I6+Depreciation!J18</f>
        <v>522151419.42246211</v>
      </c>
      <c r="K6" s="1">
        <f ca="1">J6+Depreciation!K18</f>
        <v>582778429.85704064</v>
      </c>
      <c r="L6" s="1">
        <f ca="1">K6+Depreciation!L18</f>
        <v>646518033.374892</v>
      </c>
      <c r="M6" s="1">
        <f ca="1">L6+Depreciation!M18</f>
        <v>713507353.87466061</v>
      </c>
      <c r="N6" s="1">
        <f ca="1">M6+Depreciation!N18</f>
        <v>783889103.88918686</v>
      </c>
      <c r="O6" s="1">
        <f ca="1">N6+Depreciation!O18</f>
        <v>857811801.84322357</v>
      </c>
      <c r="P6" s="1">
        <f ca="1">O6+Depreciation!P18</f>
        <v>935429997.4928844</v>
      </c>
      <c r="Q6" s="1">
        <f ca="1">P6+Depreciation!Q18</f>
        <v>1016904505.8479844</v>
      </c>
      <c r="R6" s="1">
        <f ca="1">Q6+Depreciation!R18</f>
        <v>1102402649.8893266</v>
      </c>
      <c r="S6" s="1">
        <f ca="1">R6+Depreciation!S18</f>
        <v>1192098512.4042747</v>
      </c>
      <c r="T6" s="1">
        <f ca="1">S6+Depreciation!T18</f>
        <v>1286173197.2756412</v>
      </c>
      <c r="U6" s="1">
        <f ca="1">T6+Depreciation!U18</f>
        <v>1384815100.5710216</v>
      </c>
      <c r="V6" s="1">
        <f ca="1">U6+Depreciation!V18</f>
        <v>1488220191.7922444</v>
      </c>
      <c r="W6" s="1">
        <f ca="1">V6+Depreciation!W18</f>
        <v>1596592305.6575892</v>
      </c>
      <c r="X6" s="1">
        <f ca="1">W6+Depreciation!X18</f>
        <v>1710143444.8028691</v>
      </c>
      <c r="Y6" s="1">
        <f ca="1">X6+Depreciation!Y18</f>
        <v>1829094093.8014019</v>
      </c>
      <c r="Z6" s="1">
        <f ca="1">Y6+Depreciation!Z18</f>
        <v>1953673544.917311</v>
      </c>
      <c r="AA6" s="1">
        <f ca="1">Z6+Depreciation!AA18</f>
        <v>2084120236.021534</v>
      </c>
      <c r="AB6" s="1">
        <f ca="1">AA6+Depreciation!AB18</f>
        <v>2220682101.1153803</v>
      </c>
      <c r="AC6" s="1">
        <f ca="1">AB6+Depreciation!AC18</f>
        <v>2363616933.9224954</v>
      </c>
      <c r="AD6" s="1">
        <f ca="1">AC6+Depreciation!AD18</f>
        <v>2513192765.0266719</v>
      </c>
      <c r="AE6" s="1">
        <f ca="1">AD6+Depreciation!AE18</f>
        <v>2669688253.0501275</v>
      </c>
      <c r="AF6" s="1"/>
      <c r="AG6" s="1"/>
      <c r="AH6" s="1"/>
      <c r="AI6" s="1"/>
      <c r="AJ6" s="1"/>
      <c r="AK6" s="1"/>
      <c r="AL6" s="1"/>
      <c r="AM6" s="1"/>
      <c r="AN6" s="1"/>
      <c r="AO6" s="1"/>
      <c r="AP6" s="1"/>
    </row>
    <row r="7" spans="1:42" x14ac:dyDescent="0.35">
      <c r="A7" t="s">
        <v>12</v>
      </c>
      <c r="B7" s="1">
        <f>Depreciation!C12</f>
        <v>86588263.669236988</v>
      </c>
      <c r="C7" s="1">
        <f>Depreciation!D12</f>
        <v>90866271.294736996</v>
      </c>
      <c r="D7" s="1">
        <f>Depreciation!E12</f>
        <v>96221689.931703538</v>
      </c>
      <c r="E7" s="1">
        <f>Depreciation!F12</f>
        <v>102719093.20506199</v>
      </c>
      <c r="F7" s="1">
        <f>Depreciation!G12</f>
        <v>110426084.18285716</v>
      </c>
      <c r="G7" s="1">
        <f>Depreciation!H12</f>
        <v>119413423.13722108</v>
      </c>
      <c r="H7" s="1">
        <f>Depreciation!I12</f>
        <v>129755160.3798929</v>
      </c>
      <c r="I7" s="1">
        <f>Depreciation!J12</f>
        <v>141528774.36623505</v>
      </c>
      <c r="J7" s="1">
        <f>Depreciation!K12</f>
        <v>154815315.26890591</v>
      </c>
      <c r="K7" s="1">
        <f>Depreciation!L12</f>
        <v>169699554.22982854</v>
      </c>
      <c r="L7" s="1">
        <f>Depreciation!M12</f>
        <v>186270138.5068467</v>
      </c>
      <c r="M7" s="1">
        <f>Depreciation!N12</f>
        <v>204619752.73949453</v>
      </c>
      <c r="N7" s="1">
        <f>Depreciation!O12</f>
        <v>224845286.56663269</v>
      </c>
      <c r="O7" s="1">
        <f>Depreciation!P12</f>
        <v>247048008.83733428</v>
      </c>
      <c r="P7" s="1">
        <f>Depreciation!Q12</f>
        <v>271333748.66534835</v>
      </c>
      <c r="Q7" s="1">
        <f>Depreciation!R12</f>
        <v>297813083.58673775</v>
      </c>
      <c r="R7" s="1">
        <f>Depreciation!S12</f>
        <v>326601535.08989459</v>
      </c>
      <c r="S7" s="1">
        <f>Depreciation!T12</f>
        <v>357819771.7970925</v>
      </c>
      <c r="T7" s="1">
        <f>Depreciation!U12</f>
        <v>391593820.58705086</v>
      </c>
      <c r="U7" s="1">
        <f>Depreciation!V12</f>
        <v>428055285.95867825</v>
      </c>
      <c r="V7" s="1">
        <f>Depreciation!W12</f>
        <v>467341577.94724041</v>
      </c>
      <c r="W7" s="1">
        <f>Depreciation!X12</f>
        <v>509596148.91568077</v>
      </c>
      <c r="X7" s="1">
        <f>Depreciation!Y12</f>
        <v>554968739.55571508</v>
      </c>
      <c r="Y7" s="1">
        <f>Depreciation!Z12</f>
        <v>603615634.44565392</v>
      </c>
      <c r="Z7" s="1">
        <f>Depreciation!AA12</f>
        <v>655699927.52467561</v>
      </c>
      <c r="AA7" s="1">
        <f>Depreciation!AB12</f>
        <v>711391797.85651422</v>
      </c>
      <c r="AB7" s="1">
        <f>Depreciation!AC12</f>
        <v>770868796.06923699</v>
      </c>
      <c r="AC7" s="1">
        <f>Depreciation!AD12</f>
        <v>834316141.87200081</v>
      </c>
      <c r="AD7" s="1">
        <f>Depreciation!AE12</f>
        <v>901927033.06439853</v>
      </c>
      <c r="AE7" s="1">
        <f>Depreciation!AF12</f>
        <v>973902966.46926451</v>
      </c>
      <c r="AF7" s="1"/>
      <c r="AG7" s="1"/>
      <c r="AH7" s="1"/>
      <c r="AI7" s="1"/>
      <c r="AJ7" s="1"/>
      <c r="AK7" s="1"/>
      <c r="AL7" s="1"/>
      <c r="AM7" s="1"/>
      <c r="AN7" s="1"/>
      <c r="AO7" s="1"/>
      <c r="AP7" s="1"/>
    </row>
    <row r="8" spans="1:42" x14ac:dyDescent="0.35">
      <c r="A8" t="s">
        <v>190</v>
      </c>
      <c r="B8" s="1">
        <f t="shared" ref="B8:AE8" si="1">B6-B7</f>
        <v>80063736.330763012</v>
      </c>
      <c r="C8" s="1">
        <f t="shared" ca="1" si="1"/>
        <v>83610588.057869658</v>
      </c>
      <c r="D8" s="1">
        <f ca="1">D6-D7</f>
        <v>120506156.99837935</v>
      </c>
      <c r="E8" s="1">
        <f t="shared" ca="1" si="1"/>
        <v>158552287.67242694</v>
      </c>
      <c r="F8" s="1">
        <f t="shared" ca="1" si="1"/>
        <v>197784834.96836376</v>
      </c>
      <c r="G8" s="1">
        <f t="shared" ca="1" si="1"/>
        <v>238240770.31218052</v>
      </c>
      <c r="H8" s="1">
        <f t="shared" ca="1" si="1"/>
        <v>279958216.41051048</v>
      </c>
      <c r="I8" s="1">
        <f t="shared" ca="1" si="1"/>
        <v>322976483.07385039</v>
      </c>
      <c r="J8" s="1">
        <f t="shared" ca="1" si="1"/>
        <v>367336104.15355623</v>
      </c>
      <c r="K8" s="1">
        <f t="shared" ca="1" si="1"/>
        <v>413078875.62721211</v>
      </c>
      <c r="L8" s="1">
        <f t="shared" ca="1" si="1"/>
        <v>460247894.86804533</v>
      </c>
      <c r="M8" s="1">
        <f t="shared" ca="1" si="1"/>
        <v>508887601.13516605</v>
      </c>
      <c r="N8" s="1">
        <f t="shared" ca="1" si="1"/>
        <v>559043817.32255411</v>
      </c>
      <c r="O8" s="1">
        <f t="shared" ca="1" si="1"/>
        <v>610763793.0058893</v>
      </c>
      <c r="P8" s="1">
        <f t="shared" ca="1" si="1"/>
        <v>664096248.82753611</v>
      </c>
      <c r="Q8" s="1">
        <f t="shared" ca="1" si="1"/>
        <v>719091422.26124668</v>
      </c>
      <c r="R8" s="1">
        <f t="shared" ca="1" si="1"/>
        <v>775801114.79943204</v>
      </c>
      <c r="S8" s="1">
        <f t="shared" ca="1" si="1"/>
        <v>834278740.60718226</v>
      </c>
      <c r="T8" s="1">
        <f t="shared" ca="1" si="1"/>
        <v>894579376.68859029</v>
      </c>
      <c r="U8" s="1">
        <f t="shared" ca="1" si="1"/>
        <v>956759814.61234331</v>
      </c>
      <c r="V8" s="1">
        <f t="shared" ca="1" si="1"/>
        <v>1020878613.8450041</v>
      </c>
      <c r="W8" s="1">
        <f t="shared" ca="1" si="1"/>
        <v>1086996156.7419086</v>
      </c>
      <c r="X8" s="1">
        <f t="shared" ca="1" si="1"/>
        <v>1155174705.247154</v>
      </c>
      <c r="Y8" s="1">
        <f t="shared" ca="1" si="1"/>
        <v>1225478459.3557479</v>
      </c>
      <c r="Z8" s="1">
        <f t="shared" ca="1" si="1"/>
        <v>1297973617.3926353</v>
      </c>
      <c r="AA8" s="1">
        <f t="shared" ca="1" si="1"/>
        <v>1372728438.1650198</v>
      </c>
      <c r="AB8" s="1">
        <f t="shared" ca="1" si="1"/>
        <v>1449813305.0461433</v>
      </c>
      <c r="AC8" s="1">
        <f t="shared" ca="1" si="1"/>
        <v>1529300792.0504947</v>
      </c>
      <c r="AD8" s="1">
        <f t="shared" ca="1" si="1"/>
        <v>1611265731.9622734</v>
      </c>
      <c r="AE8" s="1">
        <f t="shared" ca="1" si="1"/>
        <v>1695785286.580863</v>
      </c>
      <c r="AF8" s="1"/>
      <c r="AG8" s="1"/>
      <c r="AH8" s="1"/>
      <c r="AI8" s="1"/>
      <c r="AJ8" s="1"/>
      <c r="AK8" s="1"/>
      <c r="AL8" s="1"/>
      <c r="AM8" s="1"/>
      <c r="AN8" s="1"/>
      <c r="AO8" s="1"/>
      <c r="AP8" s="1"/>
    </row>
    <row r="10" spans="1:42" x14ac:dyDescent="0.35">
      <c r="A10" t="s">
        <v>17</v>
      </c>
      <c r="B10" s="1">
        <f>B8-B11</f>
        <v>59193736.330763012</v>
      </c>
      <c r="C10" s="1">
        <f ca="1">C8-C11</f>
        <v>30507660.531959981</v>
      </c>
      <c r="D10" s="1">
        <f ca="1">D8-D11</f>
        <v>40284322.703455865</v>
      </c>
      <c r="E10" s="1">
        <f t="shared" ref="E10:AE10" ca="1" si="2">E8-E11</f>
        <v>55924837.175869256</v>
      </c>
      <c r="F10" s="1">
        <f t="shared" ca="1" si="2"/>
        <v>75566240.440540895</v>
      </c>
      <c r="G10" s="1">
        <f ca="1">G8-G11</f>
        <v>100795749.43990403</v>
      </c>
      <c r="H10" s="1">
        <f t="shared" ca="1" si="2"/>
        <v>128322141.37157145</v>
      </c>
      <c r="I10" s="1">
        <f t="shared" ca="1" si="2"/>
        <v>157526126.91470373</v>
      </c>
      <c r="J10" s="1">
        <f t="shared" ca="1" si="2"/>
        <v>188766631.76497155</v>
      </c>
      <c r="K10" s="1">
        <f t="shared" ca="1" si="2"/>
        <v>222454148.11368471</v>
      </c>
      <c r="L10" s="1">
        <f t="shared" ca="1" si="2"/>
        <v>257524910.92420119</v>
      </c>
      <c r="M10" s="1">
        <f t="shared" ca="1" si="2"/>
        <v>293791843.52851486</v>
      </c>
      <c r="N10" s="1">
        <f t="shared" ca="1" si="2"/>
        <v>330996381.19806886</v>
      </c>
      <c r="O10" s="1">
        <f t="shared" ca="1" si="2"/>
        <v>369268137.93308222</v>
      </c>
      <c r="P10" s="1">
        <f t="shared" ca="1" si="2"/>
        <v>408753328.65697241</v>
      </c>
      <c r="Q10" s="1">
        <f t="shared" ca="1" si="2"/>
        <v>449616349.386976</v>
      </c>
      <c r="R10" s="1">
        <f t="shared" ca="1" si="2"/>
        <v>492041484.35576361</v>
      </c>
      <c r="S10" s="1">
        <f t="shared" ca="1" si="2"/>
        <v>536234749.33626199</v>
      </c>
      <c r="T10" s="1">
        <f t="shared" ca="1" si="2"/>
        <v>582425881.0578146</v>
      </c>
      <c r="U10" s="1">
        <f t="shared" ca="1" si="2"/>
        <v>630201569.23721147</v>
      </c>
      <c r="V10" s="1">
        <f t="shared" ca="1" si="2"/>
        <v>679034249.91273224</v>
      </c>
      <c r="W10" s="1">
        <f t="shared" ca="1" si="2"/>
        <v>729020293.44424605</v>
      </c>
      <c r="X10" s="1">
        <f t="shared" ca="1" si="2"/>
        <v>780267440.89911044</v>
      </c>
      <c r="Y10" s="1">
        <f t="shared" ca="1" si="2"/>
        <v>832895822.76771367</v>
      </c>
      <c r="Z10" s="1">
        <f t="shared" ca="1" si="2"/>
        <v>887039053.49007785</v>
      </c>
      <c r="AA10" s="1">
        <f t="shared" ca="1" si="2"/>
        <v>942845406.82883155</v>
      </c>
      <c r="AB10" s="1">
        <f t="shared" ca="1" si="2"/>
        <v>998560369.4629395</v>
      </c>
      <c r="AC10" s="1">
        <f t="shared" ca="1" si="2"/>
        <v>1052515657.2861032</v>
      </c>
      <c r="AD10" s="1">
        <f t="shared" ca="1" si="2"/>
        <v>1104459790.970026</v>
      </c>
      <c r="AE10" s="1">
        <f t="shared" ca="1" si="2"/>
        <v>1154124621.5101614</v>
      </c>
      <c r="AF10" s="1"/>
      <c r="AG10" s="1"/>
      <c r="AH10" s="1"/>
      <c r="AI10" s="1"/>
      <c r="AJ10" s="1"/>
      <c r="AK10" s="1"/>
      <c r="AL10" s="1"/>
      <c r="AM10" s="1"/>
      <c r="AN10" s="1"/>
      <c r="AO10" s="1"/>
    </row>
    <row r="11" spans="1:42" x14ac:dyDescent="0.35">
      <c r="A11" t="s">
        <v>9</v>
      </c>
      <c r="B11" s="1">
        <f>Assumptions!$C$20</f>
        <v>20870000</v>
      </c>
      <c r="C11" s="1">
        <f ca="1">'Debt worksheet'!D5</f>
        <v>53102927.525909677</v>
      </c>
      <c r="D11" s="1">
        <f ca="1">'Debt worksheet'!E5</f>
        <v>80221834.294923484</v>
      </c>
      <c r="E11" s="1">
        <f ca="1">'Debt worksheet'!F5</f>
        <v>102627450.49655768</v>
      </c>
      <c r="F11" s="1">
        <f ca="1">'Debt worksheet'!G5</f>
        <v>122218594.52782287</v>
      </c>
      <c r="G11" s="1">
        <f ca="1">'Debt worksheet'!H5</f>
        <v>137445020.87227648</v>
      </c>
      <c r="H11" s="1">
        <f ca="1">'Debt worksheet'!I5</f>
        <v>151636075.03893903</v>
      </c>
      <c r="I11" s="1">
        <f ca="1">'Debt worksheet'!J5</f>
        <v>165450356.15914667</v>
      </c>
      <c r="J11" s="1">
        <f ca="1">'Debt worksheet'!K5</f>
        <v>178569472.38858467</v>
      </c>
      <c r="K11" s="1">
        <f ca="1">'Debt worksheet'!L5</f>
        <v>190624727.51352739</v>
      </c>
      <c r="L11" s="1">
        <f ca="1">'Debt worksheet'!M5</f>
        <v>202722983.94384414</v>
      </c>
      <c r="M11" s="1">
        <f ca="1">'Debt worksheet'!N5</f>
        <v>215095757.60665119</v>
      </c>
      <c r="N11" s="1">
        <f ca="1">'Debt worksheet'!O5</f>
        <v>228047436.12448525</v>
      </c>
      <c r="O11" s="1">
        <f ca="1">'Debt worksheet'!P5</f>
        <v>241495655.07280707</v>
      </c>
      <c r="P11" s="1">
        <f ca="1">'Debt worksheet'!Q5</f>
        <v>255342920.17056367</v>
      </c>
      <c r="Q11" s="1">
        <f ca="1">'Debt worksheet'!R5</f>
        <v>269475072.87427068</v>
      </c>
      <c r="R11" s="1">
        <f ca="1">'Debt worksheet'!S5</f>
        <v>283759630.44366843</v>
      </c>
      <c r="S11" s="1">
        <f ca="1">'Debt worksheet'!T5</f>
        <v>298043991.27092028</v>
      </c>
      <c r="T11" s="1">
        <f ca="1">'Debt worksheet'!U5</f>
        <v>312153495.63077569</v>
      </c>
      <c r="U11" s="1">
        <f ca="1">'Debt worksheet'!V5</f>
        <v>326558245.37513185</v>
      </c>
      <c r="V11" s="1">
        <f ca="1">'Debt worksheet'!W5</f>
        <v>341844363.93227184</v>
      </c>
      <c r="W11" s="1">
        <f ca="1">'Debt worksheet'!X5</f>
        <v>357975863.2976625</v>
      </c>
      <c r="X11" s="1">
        <f ca="1">'Debt worksheet'!Y5</f>
        <v>374907264.34804356</v>
      </c>
      <c r="Y11" s="1">
        <f ca="1">'Debt worksheet'!Z5</f>
        <v>392582636.58803427</v>
      </c>
      <c r="Z11" s="1">
        <f ca="1">'Debt worksheet'!AA5</f>
        <v>410934563.90255749</v>
      </c>
      <c r="AA11" s="1">
        <f ca="1">'Debt worksheet'!AB5</f>
        <v>429883031.3361882</v>
      </c>
      <c r="AB11" s="1">
        <f ca="1">'Debt worksheet'!AC5</f>
        <v>451252935.58320379</v>
      </c>
      <c r="AC11" s="1">
        <f ca="1">'Debt worksheet'!AD5</f>
        <v>476785134.76439148</v>
      </c>
      <c r="AD11" s="1">
        <f ca="1">'Debt worksheet'!AE5</f>
        <v>506805940.99224734</v>
      </c>
      <c r="AE11" s="1">
        <f ca="1">'Debt worksheet'!AF5</f>
        <v>541660665.0707016</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activeCell="A2" sqref="A1:XFD1048576"/>
      <selection pane="topRight" activeCell="A2"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4562595.6833696328</v>
      </c>
      <c r="D5" s="4">
        <f ca="1">'Profit and Loss'!D9</f>
        <v>10854073.182962425</v>
      </c>
      <c r="E5" s="4">
        <f ca="1">'Profit and Loss'!E9</f>
        <v>16782499.108805284</v>
      </c>
      <c r="F5" s="4">
        <f ca="1">'Profit and Loss'!F9</f>
        <v>20850990.969108365</v>
      </c>
      <c r="G5" s="4">
        <f ca="1">'Profit and Loss'!G9</f>
        <v>26509856.975931901</v>
      </c>
      <c r="H5" s="4">
        <f ca="1">'Profit and Loss'!H9</f>
        <v>28880790.219975278</v>
      </c>
      <c r="I5" s="4">
        <f ca="1">'Profit and Loss'!I9</f>
        <v>30635862.286802601</v>
      </c>
      <c r="J5" s="4">
        <f ca="1">'Profit and Loss'!J9</f>
        <v>32753431.766596563</v>
      </c>
      <c r="K5" s="4">
        <f ca="1">'Profit and Loss'!K9</f>
        <v>35285214.406964958</v>
      </c>
      <c r="L5" s="4">
        <f ca="1">'Profit and Loss'!L9</f>
        <v>36757108.126611963</v>
      </c>
      <c r="M5" s="4">
        <f ca="1">'Profit and Loss'!M9</f>
        <v>38045962.559943408</v>
      </c>
      <c r="N5" s="4">
        <f ca="1">'Profit and Loss'!N9</f>
        <v>39080457.264044389</v>
      </c>
      <c r="O5" s="4">
        <f ca="1">'Profit and Loss'!O9</f>
        <v>40248945.178576738</v>
      </c>
      <c r="P5" s="4">
        <f ca="1">'Profit and Loss'!P9</f>
        <v>41568208.281202726</v>
      </c>
      <c r="Q5" s="4">
        <f ca="1">'Profit and Loss'!Q9</f>
        <v>43056615.82337901</v>
      </c>
      <c r="R5" s="4">
        <f ca="1">'Profit and Loss'!R9</f>
        <v>44734251.550555035</v>
      </c>
      <c r="S5" s="4">
        <f ca="1">'Profit and Loss'!S9</f>
        <v>46623050.184539422</v>
      </c>
      <c r="T5" s="4">
        <f ca="1">'Profit and Loss'!T9</f>
        <v>48746943.804313198</v>
      </c>
      <c r="U5" s="4">
        <f ca="1">'Profit and Loss'!U9</f>
        <v>50463104.761065818</v>
      </c>
      <c r="V5" s="4">
        <f ca="1">'Profit and Loss'!V9</f>
        <v>51657507.292455509</v>
      </c>
      <c r="W5" s="4">
        <f ca="1">'Profit and Loss'!W9</f>
        <v>52954322.511391856</v>
      </c>
      <c r="X5" s="4">
        <f ca="1">'Profit and Loss'!X9</f>
        <v>54365167.126458511</v>
      </c>
      <c r="Y5" s="4">
        <f ca="1">'Profit and Loss'!Y9</f>
        <v>55902686.118507721</v>
      </c>
      <c r="Z5" s="4">
        <f ca="1">'Profit and Loss'!Z9</f>
        <v>57580628.911447145</v>
      </c>
      <c r="AA5" s="4">
        <f ca="1">'Profit and Loss'!AA9</f>
        <v>59413930.591570735</v>
      </c>
      <c r="AB5" s="4">
        <f ca="1">'Profit and Loss'!AB9</f>
        <v>59500090.514992274</v>
      </c>
      <c r="AC5" s="4">
        <f ca="1">'Profit and Loss'!AC9</f>
        <v>57925635.413204432</v>
      </c>
      <c r="AD5" s="4">
        <f ca="1">'Profit and Loss'!AD9</f>
        <v>56107679.073556848</v>
      </c>
      <c r="AE5" s="4">
        <f ca="1">'Profit and Loss'!AE9</f>
        <v>54029872.752603635</v>
      </c>
      <c r="AF5" s="4">
        <f ca="1">'Profit and Loss'!AF9</f>
        <v>51674993.402417436</v>
      </c>
      <c r="AG5" s="4"/>
      <c r="AH5" s="4"/>
      <c r="AI5" s="4"/>
      <c r="AJ5" s="4"/>
      <c r="AK5" s="4"/>
      <c r="AL5" s="4"/>
      <c r="AM5" s="4"/>
      <c r="AN5" s="4"/>
      <c r="AO5" s="4"/>
      <c r="AP5" s="4"/>
    </row>
    <row r="6" spans="1:42" x14ac:dyDescent="0.35">
      <c r="A6" t="s">
        <v>21</v>
      </c>
      <c r="C6" s="4">
        <f>Depreciation!C8+Depreciation!C9</f>
        <v>3262263.6692369906</v>
      </c>
      <c r="D6" s="4">
        <f>Depreciation!D8+Depreciation!D9</f>
        <v>4278007.6255000038</v>
      </c>
      <c r="E6" s="4">
        <f>Depreciation!E8+Depreciation!E9</f>
        <v>5355418.6369665517</v>
      </c>
      <c r="F6" s="4">
        <f>Depreciation!F8+Depreciation!F9</f>
        <v>6497403.2733584456</v>
      </c>
      <c r="G6" s="4">
        <f>Depreciation!G8+Depreciation!G9</f>
        <v>7706990.9777951688</v>
      </c>
      <c r="H6" s="4">
        <f>Depreciation!H8+Depreciation!H9</f>
        <v>8987338.9543639198</v>
      </c>
      <c r="I6" s="4">
        <f>Depreciation!I8+Depreciation!I9</f>
        <v>10341737.24267181</v>
      </c>
      <c r="J6" s="4">
        <f>Depreciation!J8+Depreciation!J9</f>
        <v>11773613.98634214</v>
      </c>
      <c r="K6" s="4">
        <f>Depreciation!K8+Depreciation!K9</f>
        <v>13286540.902670875</v>
      </c>
      <c r="L6" s="4">
        <f>Depreciation!L8+Depreciation!L9</f>
        <v>14884238.960922631</v>
      </c>
      <c r="M6" s="4">
        <f>Depreciation!M8+Depreciation!M9</f>
        <v>16570584.277018165</v>
      </c>
      <c r="N6" s="4">
        <f>Depreciation!N8+Depreciation!N9</f>
        <v>18349614.232647832</v>
      </c>
      <c r="O6" s="4">
        <f>Depreciation!O8+Depreciation!O9</f>
        <v>20225533.827138133</v>
      </c>
      <c r="P6" s="4">
        <f>Depreciation!P8+Depreciation!P9</f>
        <v>22202722.270701569</v>
      </c>
      <c r="Q6" s="4">
        <f>Depreciation!Q8+Depreciation!Q9</f>
        <v>24285739.828014083</v>
      </c>
      <c r="R6" s="4">
        <f>Depreciation!R8+Depreciation!R9</f>
        <v>26479334.921389397</v>
      </c>
      <c r="S6" s="4">
        <f>Depreciation!S8+Depreciation!S9</f>
        <v>28788451.503156856</v>
      </c>
      <c r="T6" s="4">
        <f>Depreciation!T8+Depreciation!T9</f>
        <v>31218236.707197919</v>
      </c>
      <c r="U6" s="4">
        <f>Depreciation!U8+Depreciation!U9</f>
        <v>33774048.789958373</v>
      </c>
      <c r="V6" s="4">
        <f>Depreciation!V8+Depreciation!V9</f>
        <v>36461465.371627346</v>
      </c>
      <c r="W6" s="4">
        <f>Depreciation!W8+Depreciation!W9</f>
        <v>39286291.988562204</v>
      </c>
      <c r="X6" s="4">
        <f>Depreciation!X8+Depreciation!X9</f>
        <v>42254570.968440339</v>
      </c>
      <c r="Y6" s="4">
        <f>Depreciation!Y8+Depreciation!Y9</f>
        <v>45372590.640034385</v>
      </c>
      <c r="Z6" s="4">
        <f>Depreciation!Z8+Depreciation!Z9</f>
        <v>48646894.889938779</v>
      </c>
      <c r="AA6" s="4">
        <f>Depreciation!AA8+Depreciation!AA9</f>
        <v>52084293.07902167</v>
      </c>
      <c r="AB6" s="4">
        <f>Depreciation!AB8+Depreciation!AB9</f>
        <v>55691870.331838548</v>
      </c>
      <c r="AC6" s="4">
        <f>Depreciation!AC8+Depreciation!AC9</f>
        <v>59476998.212722793</v>
      </c>
      <c r="AD6" s="4">
        <f>Depreciation!AD8+Depreciation!AD9</f>
        <v>63447345.802763835</v>
      </c>
      <c r="AE6" s="4">
        <f>Depreciation!AE8+Depreciation!AE9</f>
        <v>67610891.192397669</v>
      </c>
      <c r="AF6" s="4">
        <f>Depreciation!AF8+Depreciation!AF9</f>
        <v>71975933.404866025</v>
      </c>
      <c r="AG6" s="4"/>
      <c r="AH6" s="4"/>
      <c r="AI6" s="4"/>
      <c r="AJ6" s="4"/>
      <c r="AK6" s="4"/>
      <c r="AL6" s="4"/>
      <c r="AM6" s="4"/>
      <c r="AN6" s="4"/>
      <c r="AO6" s="4"/>
      <c r="AP6" s="4"/>
    </row>
    <row r="7" spans="1:42" x14ac:dyDescent="0.35">
      <c r="A7" t="s">
        <v>23</v>
      </c>
      <c r="C7" s="4">
        <f ca="1">C6+C5</f>
        <v>7824859.3526066234</v>
      </c>
      <c r="D7" s="4">
        <f ca="1">D6+D5</f>
        <v>15132080.80846243</v>
      </c>
      <c r="E7" s="4">
        <f t="shared" ref="E7:AF7" ca="1" si="1">E6+E5</f>
        <v>22137917.745771836</v>
      </c>
      <c r="F7" s="4">
        <f t="shared" ca="1" si="1"/>
        <v>27348394.242466811</v>
      </c>
      <c r="G7" s="4">
        <f ca="1">G6+G5</f>
        <v>34216847.953727067</v>
      </c>
      <c r="H7" s="4">
        <f t="shared" ca="1" si="1"/>
        <v>37868129.174339198</v>
      </c>
      <c r="I7" s="4">
        <f t="shared" ca="1" si="1"/>
        <v>40977599.529474407</v>
      </c>
      <c r="J7" s="4">
        <f t="shared" ca="1" si="1"/>
        <v>44527045.752938703</v>
      </c>
      <c r="K7" s="4">
        <f t="shared" ca="1" si="1"/>
        <v>48571755.309635833</v>
      </c>
      <c r="L7" s="4">
        <f t="shared" ca="1" si="1"/>
        <v>51641347.087534592</v>
      </c>
      <c r="M7" s="4">
        <f t="shared" ca="1" si="1"/>
        <v>54616546.836961575</v>
      </c>
      <c r="N7" s="4">
        <f t="shared" ca="1" si="1"/>
        <v>57430071.496692225</v>
      </c>
      <c r="O7" s="4">
        <f t="shared" ca="1" si="1"/>
        <v>60474479.005714871</v>
      </c>
      <c r="P7" s="4">
        <f t="shared" ca="1" si="1"/>
        <v>63770930.551904291</v>
      </c>
      <c r="Q7" s="4">
        <f t="shared" ca="1" si="1"/>
        <v>67342355.651393086</v>
      </c>
      <c r="R7" s="4">
        <f t="shared" ca="1" si="1"/>
        <v>71213586.471944436</v>
      </c>
      <c r="S7" s="4">
        <f t="shared" ca="1" si="1"/>
        <v>75411501.687696278</v>
      </c>
      <c r="T7" s="4">
        <f t="shared" ca="1" si="1"/>
        <v>79965180.511511117</v>
      </c>
      <c r="U7" s="4">
        <f t="shared" ca="1" si="1"/>
        <v>84237153.551024199</v>
      </c>
      <c r="V7" s="4">
        <f t="shared" ca="1" si="1"/>
        <v>88118972.664082855</v>
      </c>
      <c r="W7" s="4">
        <f t="shared" ca="1" si="1"/>
        <v>92240614.49995406</v>
      </c>
      <c r="X7" s="4">
        <f t="shared" ca="1" si="1"/>
        <v>96619738.09489885</v>
      </c>
      <c r="Y7" s="4">
        <f t="shared" ca="1" si="1"/>
        <v>101275276.75854211</v>
      </c>
      <c r="Z7" s="4">
        <f t="shared" ca="1" si="1"/>
        <v>106227523.80138592</v>
      </c>
      <c r="AA7" s="4">
        <f t="shared" ca="1" si="1"/>
        <v>111498223.6705924</v>
      </c>
      <c r="AB7" s="4">
        <f t="shared" ca="1" si="1"/>
        <v>115191960.84683082</v>
      </c>
      <c r="AC7" s="4">
        <f t="shared" ca="1" si="1"/>
        <v>117402633.62592722</v>
      </c>
      <c r="AD7" s="4">
        <f t="shared" ca="1" si="1"/>
        <v>119555024.87632069</v>
      </c>
      <c r="AE7" s="4">
        <f t="shared" ca="1" si="1"/>
        <v>121640763.9450013</v>
      </c>
      <c r="AF7" s="4">
        <f t="shared" ca="1" si="1"/>
        <v>123650926.80728346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40057786.878516302</v>
      </c>
      <c r="D10" s="9">
        <f>Investment!D25</f>
        <v>42250987.577476241</v>
      </c>
      <c r="E10" s="9">
        <f>Investment!E25</f>
        <v>44543533.947406031</v>
      </c>
      <c r="F10" s="9">
        <f>Investment!F25</f>
        <v>46939538.273731992</v>
      </c>
      <c r="G10" s="9">
        <f>Investment!G25</f>
        <v>49443274.29818067</v>
      </c>
      <c r="H10" s="9">
        <f>Investment!H25</f>
        <v>52059183.341001749</v>
      </c>
      <c r="I10" s="9">
        <f>Investment!I25</f>
        <v>54791880.649682038</v>
      </c>
      <c r="J10" s="9">
        <f>Investment!J25</f>
        <v>57646161.98237671</v>
      </c>
      <c r="K10" s="9">
        <f>Investment!K25</f>
        <v>60627010.434578553</v>
      </c>
      <c r="L10" s="9">
        <f>Investment!L25</f>
        <v>63739603.517851345</v>
      </c>
      <c r="M10" s="9">
        <f>Investment!M25</f>
        <v>66989320.499768607</v>
      </c>
      <c r="N10" s="9">
        <f>Investment!N25</f>
        <v>70381750.014526293</v>
      </c>
      <c r="O10" s="9">
        <f>Investment!O25</f>
        <v>73922697.954036698</v>
      </c>
      <c r="P10" s="9">
        <f>Investment!P25</f>
        <v>77618195.649660885</v>
      </c>
      <c r="Q10" s="9">
        <f>Investment!Q25</f>
        <v>81474508.35510008</v>
      </c>
      <c r="R10" s="9">
        <f>Investment!R25</f>
        <v>85498144.041342169</v>
      </c>
      <c r="S10" s="9">
        <f>Investment!S25</f>
        <v>89695862.514948115</v>
      </c>
      <c r="T10" s="9">
        <f>Investment!T25</f>
        <v>94074684.871366501</v>
      </c>
      <c r="U10" s="9">
        <f>Investment!U25</f>
        <v>98641903.295380324</v>
      </c>
      <c r="V10" s="9">
        <f>Investment!V25</f>
        <v>103405091.22122282</v>
      </c>
      <c r="W10" s="9">
        <f>Investment!W25</f>
        <v>108372113.86534473</v>
      </c>
      <c r="X10" s="9">
        <f>Investment!X25</f>
        <v>113551139.1452799</v>
      </c>
      <c r="Y10" s="9">
        <f>Investment!Y25</f>
        <v>118950648.9985328</v>
      </c>
      <c r="Z10" s="9">
        <f>Investment!Z25</f>
        <v>124579451.11590916</v>
      </c>
      <c r="AA10" s="9">
        <f>Investment!AA25</f>
        <v>130446691.1042231</v>
      </c>
      <c r="AB10" s="9">
        <f>Investment!AB25</f>
        <v>136561865.09384644</v>
      </c>
      <c r="AC10" s="9">
        <f>Investment!AC25</f>
        <v>142934832.8071149</v>
      </c>
      <c r="AD10" s="9">
        <f>Investment!AD25</f>
        <v>149575831.10417652</v>
      </c>
      <c r="AE10" s="9">
        <f>Investment!AE25</f>
        <v>156495488.02345556</v>
      </c>
      <c r="AF10" s="9">
        <f>Investment!AF25</f>
        <v>163704837.33451775</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-32232927.525909677</v>
      </c>
      <c r="D12" s="1">
        <f t="shared" ref="D12:AF12" ca="1" si="2">D7-D9-D10</f>
        <v>-27118906.769013811</v>
      </c>
      <c r="E12" s="1">
        <f ca="1">E7-E9-E10</f>
        <v>-22405616.201634195</v>
      </c>
      <c r="F12" s="1">
        <f t="shared" ca="1" si="2"/>
        <v>-19591144.031265181</v>
      </c>
      <c r="G12" s="1">
        <f ca="1">G7-G9-G10</f>
        <v>-15226426.344453603</v>
      </c>
      <c r="H12" s="1">
        <f t="shared" ca="1" si="2"/>
        <v>-14191054.166662551</v>
      </c>
      <c r="I12" s="1">
        <f t="shared" ca="1" si="2"/>
        <v>-13814281.12020763</v>
      </c>
      <c r="J12" s="1">
        <f t="shared" ca="1" si="2"/>
        <v>-13119116.229438007</v>
      </c>
      <c r="K12" s="1">
        <f t="shared" ca="1" si="2"/>
        <v>-12055255.12494272</v>
      </c>
      <c r="L12" s="1">
        <f t="shared" ca="1" si="2"/>
        <v>-12098256.430316754</v>
      </c>
      <c r="M12" s="1">
        <f t="shared" ca="1" si="2"/>
        <v>-12372773.662807032</v>
      </c>
      <c r="N12" s="1">
        <f t="shared" ca="1" si="2"/>
        <v>-12951678.517834067</v>
      </c>
      <c r="O12" s="1">
        <f t="shared" ca="1" si="2"/>
        <v>-13448218.948321827</v>
      </c>
      <c r="P12" s="1">
        <f t="shared" ca="1" si="2"/>
        <v>-13847265.097756594</v>
      </c>
      <c r="Q12" s="1">
        <f t="shared" ca="1" si="2"/>
        <v>-14132152.703706995</v>
      </c>
      <c r="R12" s="1">
        <f t="shared" ca="1" si="2"/>
        <v>-14284557.569397733</v>
      </c>
      <c r="S12" s="1">
        <f t="shared" ca="1" si="2"/>
        <v>-14284360.827251837</v>
      </c>
      <c r="T12" s="1">
        <f t="shared" ca="1" si="2"/>
        <v>-14109504.359855384</v>
      </c>
      <c r="U12" s="1">
        <f t="shared" ca="1" si="2"/>
        <v>-14404749.744356126</v>
      </c>
      <c r="V12" s="1">
        <f t="shared" ca="1" si="2"/>
        <v>-15286118.557139963</v>
      </c>
      <c r="W12" s="1">
        <f t="shared" ca="1" si="2"/>
        <v>-16131499.365390673</v>
      </c>
      <c r="X12" s="1">
        <f t="shared" ca="1" si="2"/>
        <v>-16931401.05038105</v>
      </c>
      <c r="Y12" s="1">
        <f t="shared" ca="1" si="2"/>
        <v>-17675372.239990696</v>
      </c>
      <c r="Z12" s="1">
        <f t="shared" ca="1" si="2"/>
        <v>-18351927.314523235</v>
      </c>
      <c r="AA12" s="1">
        <f t="shared" ca="1" si="2"/>
        <v>-18948467.433630705</v>
      </c>
      <c r="AB12" s="1">
        <f t="shared" ca="1" si="2"/>
        <v>-21369904.247015625</v>
      </c>
      <c r="AC12" s="1">
        <f t="shared" ca="1" si="2"/>
        <v>-25532199.181187674</v>
      </c>
      <c r="AD12" s="1">
        <f t="shared" ca="1" si="2"/>
        <v>-30020806.227855831</v>
      </c>
      <c r="AE12" s="1">
        <f t="shared" ca="1" si="2"/>
        <v>-34854724.078454256</v>
      </c>
      <c r="AF12" s="1">
        <f t="shared" ca="1" si="2"/>
        <v>-40053910.527234286</v>
      </c>
      <c r="AG12" s="1"/>
      <c r="AH12" s="1"/>
      <c r="AI12" s="1"/>
      <c r="AJ12" s="1"/>
      <c r="AK12" s="1"/>
      <c r="AL12" s="1"/>
      <c r="AM12" s="1"/>
      <c r="AN12" s="1"/>
      <c r="AO12" s="1"/>
      <c r="AP12" s="1"/>
    </row>
    <row r="13" spans="1:42" x14ac:dyDescent="0.35">
      <c r="A13" t="s">
        <v>19</v>
      </c>
      <c r="C13" s="1">
        <f ca="1">C12</f>
        <v>-32232927.525909677</v>
      </c>
      <c r="D13" s="1">
        <f ca="1">D12</f>
        <v>-27118906.769013811</v>
      </c>
      <c r="E13" s="1">
        <f ca="1">E12</f>
        <v>-22405616.201634195</v>
      </c>
      <c r="F13" s="1">
        <f t="shared" ref="F13:AF13" ca="1" si="3">F12</f>
        <v>-19591144.031265181</v>
      </c>
      <c r="G13" s="1">
        <f ca="1">G12</f>
        <v>-15226426.344453603</v>
      </c>
      <c r="H13" s="1">
        <f t="shared" ca="1" si="3"/>
        <v>-14191054.166662551</v>
      </c>
      <c r="I13" s="1">
        <f t="shared" ca="1" si="3"/>
        <v>-13814281.12020763</v>
      </c>
      <c r="J13" s="1">
        <f t="shared" ca="1" si="3"/>
        <v>-13119116.229438007</v>
      </c>
      <c r="K13" s="1">
        <f t="shared" ca="1" si="3"/>
        <v>-12055255.12494272</v>
      </c>
      <c r="L13" s="1">
        <f t="shared" ca="1" si="3"/>
        <v>-12098256.430316754</v>
      </c>
      <c r="M13" s="1">
        <f t="shared" ca="1" si="3"/>
        <v>-12372773.662807032</v>
      </c>
      <c r="N13" s="1">
        <f t="shared" ca="1" si="3"/>
        <v>-12951678.517834067</v>
      </c>
      <c r="O13" s="1">
        <f t="shared" ca="1" si="3"/>
        <v>-13448218.948321827</v>
      </c>
      <c r="P13" s="1">
        <f t="shared" ca="1" si="3"/>
        <v>-13847265.097756594</v>
      </c>
      <c r="Q13" s="1">
        <f t="shared" ca="1" si="3"/>
        <v>-14132152.703706995</v>
      </c>
      <c r="R13" s="1">
        <f t="shared" ca="1" si="3"/>
        <v>-14284557.569397733</v>
      </c>
      <c r="S13" s="1">
        <f t="shared" ca="1" si="3"/>
        <v>-14284360.827251837</v>
      </c>
      <c r="T13" s="1">
        <f t="shared" ca="1" si="3"/>
        <v>-14109504.359855384</v>
      </c>
      <c r="U13" s="1">
        <f t="shared" ca="1" si="3"/>
        <v>-14404749.744356126</v>
      </c>
      <c r="V13" s="1">
        <f t="shared" ca="1" si="3"/>
        <v>-15286118.557139963</v>
      </c>
      <c r="W13" s="1">
        <f t="shared" ca="1" si="3"/>
        <v>-16131499.365390673</v>
      </c>
      <c r="X13" s="1">
        <f t="shared" ca="1" si="3"/>
        <v>-16931401.05038105</v>
      </c>
      <c r="Y13" s="1">
        <f t="shared" ca="1" si="3"/>
        <v>-17675372.239990696</v>
      </c>
      <c r="Z13" s="1">
        <f t="shared" ca="1" si="3"/>
        <v>-18351927.314523235</v>
      </c>
      <c r="AA13" s="1">
        <f t="shared" ca="1" si="3"/>
        <v>-18948467.433630705</v>
      </c>
      <c r="AB13" s="1">
        <f t="shared" ca="1" si="3"/>
        <v>-21369904.247015625</v>
      </c>
      <c r="AC13" s="1">
        <f t="shared" ca="1" si="3"/>
        <v>-25532199.181187674</v>
      </c>
      <c r="AD13" s="1">
        <f t="shared" ca="1" si="3"/>
        <v>-30020806.227855831</v>
      </c>
      <c r="AE13" s="1">
        <f t="shared" ca="1" si="3"/>
        <v>-34854724.078454256</v>
      </c>
      <c r="AF13" s="1">
        <f t="shared" ca="1" si="3"/>
        <v>-40053910.527234286</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activeCell="A2" sqref="A1:XFD1048576"/>
      <selection pane="topRight" activeCell="A2"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166652000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83326000</v>
      </c>
      <c r="D7" s="9">
        <f>C12</f>
        <v>86588263.669236988</v>
      </c>
      <c r="E7" s="9">
        <f>D12</f>
        <v>90866271.294736996</v>
      </c>
      <c r="F7" s="9">
        <f t="shared" ref="F7:H7" si="1">E12</f>
        <v>96221689.931703538</v>
      </c>
      <c r="G7" s="9">
        <f t="shared" si="1"/>
        <v>102719093.20506199</v>
      </c>
      <c r="H7" s="9">
        <f t="shared" si="1"/>
        <v>110426084.18285716</v>
      </c>
      <c r="I7" s="9">
        <f t="shared" ref="I7" si="2">H12</f>
        <v>119413423.13722108</v>
      </c>
      <c r="J7" s="9">
        <f t="shared" ref="J7" si="3">I12</f>
        <v>129755160.3798929</v>
      </c>
      <c r="K7" s="9">
        <f t="shared" ref="K7" si="4">J12</f>
        <v>141528774.36623505</v>
      </c>
      <c r="L7" s="9">
        <f t="shared" ref="L7" si="5">K12</f>
        <v>154815315.26890591</v>
      </c>
      <c r="M7" s="9">
        <f t="shared" ref="M7" si="6">L12</f>
        <v>169699554.22982854</v>
      </c>
      <c r="N7" s="9">
        <f t="shared" ref="N7" si="7">M12</f>
        <v>186270138.5068467</v>
      </c>
      <c r="O7" s="9">
        <f t="shared" ref="O7" si="8">N12</f>
        <v>204619752.73949453</v>
      </c>
      <c r="P7" s="9">
        <f t="shared" ref="P7" si="9">O12</f>
        <v>224845286.56663269</v>
      </c>
      <c r="Q7" s="9">
        <f t="shared" ref="Q7" si="10">P12</f>
        <v>247048008.83733428</v>
      </c>
      <c r="R7" s="9">
        <f t="shared" ref="R7" si="11">Q12</f>
        <v>271333748.66534835</v>
      </c>
      <c r="S7" s="9">
        <f t="shared" ref="S7" si="12">R12</f>
        <v>297813083.58673775</v>
      </c>
      <c r="T7" s="9">
        <f t="shared" ref="T7" si="13">S12</f>
        <v>326601535.08989459</v>
      </c>
      <c r="U7" s="9">
        <f t="shared" ref="U7" si="14">T12</f>
        <v>357819771.7970925</v>
      </c>
      <c r="V7" s="9">
        <f t="shared" ref="V7" si="15">U12</f>
        <v>391593820.58705086</v>
      </c>
      <c r="W7" s="9">
        <f t="shared" ref="W7" si="16">V12</f>
        <v>428055285.95867825</v>
      </c>
      <c r="X7" s="9">
        <f t="shared" ref="X7" si="17">W12</f>
        <v>467341577.94724041</v>
      </c>
      <c r="Y7" s="9">
        <f t="shared" ref="Y7" si="18">X12</f>
        <v>509596148.91568077</v>
      </c>
      <c r="Z7" s="9">
        <f t="shared" ref="Z7" si="19">Y12</f>
        <v>554968739.55571508</v>
      </c>
      <c r="AA7" s="9">
        <f t="shared" ref="AA7" si="20">Z12</f>
        <v>603615634.44565392</v>
      </c>
      <c r="AB7" s="9">
        <f t="shared" ref="AB7" si="21">AA12</f>
        <v>655699927.52467561</v>
      </c>
      <c r="AC7" s="9">
        <f t="shared" ref="AC7" si="22">AB12</f>
        <v>711391797.85651422</v>
      </c>
      <c r="AD7" s="9">
        <f t="shared" ref="AD7" si="23">AC12</f>
        <v>770868796.06923699</v>
      </c>
      <c r="AE7" s="9">
        <f t="shared" ref="AE7" si="24">AD12</f>
        <v>834316141.87200081</v>
      </c>
      <c r="AF7" s="9">
        <f t="shared" ref="AF7" si="25">AE12</f>
        <v>901927033.06439853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2379171.1122142873</v>
      </c>
      <c r="D8" s="9">
        <f>Assumptions!E111*Assumptions!E11</f>
        <v>2455304.5878051445</v>
      </c>
      <c r="E8" s="9">
        <f>Assumptions!F111*Assumptions!F11</f>
        <v>2533874.3346149088</v>
      </c>
      <c r="F8" s="9">
        <f>Assumptions!G111*Assumptions!G11</f>
        <v>2614958.313322586</v>
      </c>
      <c r="G8" s="9">
        <f>Assumptions!H111*Assumptions!H11</f>
        <v>2698636.9793489091</v>
      </c>
      <c r="H8" s="9">
        <f>Assumptions!I111*Assumptions!I11</f>
        <v>2784993.3626880734</v>
      </c>
      <c r="I8" s="9">
        <f>Assumptions!J111*Assumptions!J11</f>
        <v>2874113.1502940916</v>
      </c>
      <c r="J8" s="9">
        <f>Assumptions!K111*Assumptions!K11</f>
        <v>2966084.7711035032</v>
      </c>
      <c r="K8" s="9">
        <f>Assumptions!L111*Assumptions!L11</f>
        <v>3060999.4837788153</v>
      </c>
      <c r="L8" s="9">
        <f>Assumptions!M111*Assumptions!M11</f>
        <v>3158951.4672597372</v>
      </c>
      <c r="M8" s="9">
        <f>Assumptions!N111*Assumptions!N11</f>
        <v>3260037.9142120485</v>
      </c>
      <c r="N8" s="9">
        <f>Assumptions!O111*Assumptions!O11</f>
        <v>3364359.1274668342</v>
      </c>
      <c r="O8" s="9">
        <f>Assumptions!P111*Assumptions!P11</f>
        <v>3472018.6195457731</v>
      </c>
      <c r="P8" s="9">
        <f>Assumptions!Q111*Assumptions!Q11</f>
        <v>3583123.2153712371</v>
      </c>
      <c r="Q8" s="9">
        <f>Assumptions!R111*Assumptions!R11</f>
        <v>3697783.1582631161</v>
      </c>
      <c r="R8" s="9">
        <f>Assumptions!S111*Assumptions!S11</f>
        <v>3816112.2193275369</v>
      </c>
      <c r="S8" s="9">
        <f>Assumptions!T111*Assumptions!T11</f>
        <v>3938227.8103460185</v>
      </c>
      <c r="T8" s="9">
        <f>Assumptions!U111*Assumptions!U11</f>
        <v>4064251.1002770904</v>
      </c>
      <c r="U8" s="9">
        <f>Assumptions!V111*Assumptions!V11</f>
        <v>4194307.1354859574</v>
      </c>
      <c r="V8" s="9">
        <f>Assumptions!W111*Assumptions!W11</f>
        <v>4328524.963821508</v>
      </c>
      <c r="W8" s="9">
        <f>Assumptions!X111*Assumptions!X11</f>
        <v>4467037.7626637965</v>
      </c>
      <c r="X8" s="9">
        <f>Assumptions!Y111*Assumptions!Y11</f>
        <v>4609982.9710690379</v>
      </c>
      <c r="Y8" s="9">
        <f>Assumptions!Z111*Assumptions!Z11</f>
        <v>4757502.4261432458</v>
      </c>
      <c r="Z8" s="9">
        <f>Assumptions!AA111*Assumptions!AA11</f>
        <v>4909742.5037798304</v>
      </c>
      <c r="AA8" s="9">
        <f>Assumptions!AB111*Assumptions!AB11</f>
        <v>5066854.2639007857</v>
      </c>
      <c r="AB8" s="9">
        <f>Assumptions!AC111*Assumptions!AC11</f>
        <v>5228993.6003456106</v>
      </c>
      <c r="AC8" s="9">
        <f>Assumptions!AD111*Assumptions!AD11</f>
        <v>5396321.3955566697</v>
      </c>
      <c r="AD8" s="9">
        <f>Assumptions!AE111*Assumptions!AE11</f>
        <v>5569003.6802144833</v>
      </c>
      <c r="AE8" s="9">
        <f>Assumptions!AF111*Assumptions!AF11</f>
        <v>5747211.797981347</v>
      </c>
      <c r="AF8" s="9">
        <f>Assumptions!AG111*Assumptions!AG11</f>
        <v>5931122.5755167492</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883092.55702270323</v>
      </c>
      <c r="D9" s="9">
        <f>Assumptions!E120*Assumptions!E11</f>
        <v>1822703.0376948593</v>
      </c>
      <c r="E9" s="9">
        <f>Assumptions!F120*Assumptions!F11</f>
        <v>2821544.3023516429</v>
      </c>
      <c r="F9" s="9">
        <f>Assumptions!G120*Assumptions!G11</f>
        <v>3882444.9600358596</v>
      </c>
      <c r="G9" s="9">
        <f>Assumptions!H120*Assumptions!H11</f>
        <v>5008353.9984462596</v>
      </c>
      <c r="H9" s="9">
        <f>Assumptions!I120*Assumptions!I11</f>
        <v>6202345.5916758468</v>
      </c>
      <c r="I9" s="9">
        <f>Assumptions!J120*Assumptions!J11</f>
        <v>7467624.0923777176</v>
      </c>
      <c r="J9" s="9">
        <f>Assumptions!K120*Assumptions!K11</f>
        <v>8807529.2152386364</v>
      </c>
      <c r="K9" s="9">
        <f>Assumptions!L120*Assumptions!L11</f>
        <v>10225541.418892059</v>
      </c>
      <c r="L9" s="9">
        <f>Assumptions!M120*Assumptions!M11</f>
        <v>11725287.493662894</v>
      </c>
      <c r="M9" s="9">
        <f>Assumptions!N120*Assumptions!N11</f>
        <v>13310546.362806117</v>
      </c>
      <c r="N9" s="9">
        <f>Assumptions!O120*Assumptions!O11</f>
        <v>14985255.105180997</v>
      </c>
      <c r="O9" s="9">
        <f>Assumptions!P120*Assumptions!P11</f>
        <v>16753515.207592359</v>
      </c>
      <c r="P9" s="9">
        <f>Assumptions!Q120*Assumptions!Q11</f>
        <v>18619599.055330332</v>
      </c>
      <c r="Q9" s="9">
        <f>Assumptions!R120*Assumptions!R11</f>
        <v>20587956.669750966</v>
      </c>
      <c r="R9" s="9">
        <f>Assumptions!S120*Assumptions!S11</f>
        <v>22663222.702061862</v>
      </c>
      <c r="S9" s="9">
        <f>Assumptions!T120*Assumptions!T11</f>
        <v>24850223.692810837</v>
      </c>
      <c r="T9" s="9">
        <f>Assumptions!U120*Assumptions!U11</f>
        <v>27153985.606920831</v>
      </c>
      <c r="U9" s="9">
        <f>Assumptions!V120*Assumptions!V11</f>
        <v>29579741.654472418</v>
      </c>
      <c r="V9" s="9">
        <f>Assumptions!W120*Assumptions!W11</f>
        <v>32132940.407805838</v>
      </c>
      <c r="W9" s="9">
        <f>Assumptions!X120*Assumptions!X11</f>
        <v>34819254.225898407</v>
      </c>
      <c r="X9" s="9">
        <f>Assumptions!Y120*Assumptions!Y11</f>
        <v>37644587.997371301</v>
      </c>
      <c r="Y9" s="9">
        <f>Assumptions!Z120*Assumptions!Z11</f>
        <v>40615088.213891141</v>
      </c>
      <c r="Z9" s="9">
        <f>Assumptions!AA120*Assumptions!AA11</f>
        <v>43737152.386158951</v>
      </c>
      <c r="AA9" s="9">
        <f>Assumptions!AB120*Assumptions!AB11</f>
        <v>47017438.815120883</v>
      </c>
      <c r="AB9" s="9">
        <f>Assumptions!AC120*Assumptions!AC11</f>
        <v>50462876.731492937</v>
      </c>
      <c r="AC9" s="9">
        <f>Assumptions!AD120*Assumptions!AD11</f>
        <v>54080676.81716612</v>
      </c>
      <c r="AD9" s="9">
        <f>Assumptions!AE120*Assumptions!AE11</f>
        <v>57878342.122549348</v>
      </c>
      <c r="AE9" s="9">
        <f>Assumptions!AF120*Assumptions!AF11</f>
        <v>61863679.394416317</v>
      </c>
      <c r="AF9" s="9">
        <f>Assumptions!AG120*Assumptions!AG11</f>
        <v>66044810.829349272</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3262263.6692369906</v>
      </c>
      <c r="D10" s="9">
        <f>SUM($C$8:D9)</f>
        <v>7540271.2947369944</v>
      </c>
      <c r="E10" s="9">
        <f>SUM($C$8:E9)</f>
        <v>12895689.931703545</v>
      </c>
      <c r="F10" s="9">
        <f>SUM($C$8:F9)</f>
        <v>19393093.205061991</v>
      </c>
      <c r="G10" s="9">
        <f>SUM($C$8:G9)</f>
        <v>27100084.18285716</v>
      </c>
      <c r="H10" s="9">
        <f>SUM($C$8:H9)</f>
        <v>36087423.137221083</v>
      </c>
      <c r="I10" s="9">
        <f>SUM($C$8:I9)</f>
        <v>46429160.379892886</v>
      </c>
      <c r="J10" s="9">
        <f>SUM($C$8:J9)</f>
        <v>58202774.366235025</v>
      </c>
      <c r="K10" s="9">
        <f>SUM($C$8:K9)</f>
        <v>71489315.268905893</v>
      </c>
      <c r="L10" s="9">
        <f>SUM($C$8:L9)</f>
        <v>86373554.229828522</v>
      </c>
      <c r="M10" s="9">
        <f>SUM($C$8:M9)</f>
        <v>102944138.5068467</v>
      </c>
      <c r="N10" s="9">
        <f>SUM($C$8:N9)</f>
        <v>121293752.73949452</v>
      </c>
      <c r="O10" s="9">
        <f>SUM($C$8:O9)</f>
        <v>141519286.56663266</v>
      </c>
      <c r="P10" s="9">
        <f>SUM($C$8:P9)</f>
        <v>163722008.83733422</v>
      </c>
      <c r="Q10" s="9">
        <f>SUM($C$8:Q9)</f>
        <v>188007748.66534829</v>
      </c>
      <c r="R10" s="9">
        <f>SUM($C$8:R9)</f>
        <v>214487083.58673772</v>
      </c>
      <c r="S10" s="9">
        <f>SUM($C$8:S9)</f>
        <v>243275535.08989456</v>
      </c>
      <c r="T10" s="9">
        <f>SUM($C$8:T9)</f>
        <v>274493771.7970925</v>
      </c>
      <c r="U10" s="9">
        <f>SUM($C$8:U9)</f>
        <v>308267820.58705086</v>
      </c>
      <c r="V10" s="9">
        <f>SUM($C$8:V9)</f>
        <v>344729285.95867825</v>
      </c>
      <c r="W10" s="9">
        <f>SUM($C$8:W9)</f>
        <v>384015577.94724041</v>
      </c>
      <c r="X10" s="9">
        <f>SUM($C$8:X9)</f>
        <v>426270148.91568077</v>
      </c>
      <c r="Y10" s="9">
        <f>SUM($C$8:Y9)</f>
        <v>471642739.55571514</v>
      </c>
      <c r="Z10" s="9">
        <f>SUM($C$8:Z9)</f>
        <v>520289634.44565392</v>
      </c>
      <c r="AA10" s="9">
        <f>SUM($C$8:AA9)</f>
        <v>572373927.52467561</v>
      </c>
      <c r="AB10" s="9">
        <f>SUM($C$8:AB9)</f>
        <v>628065797.85651422</v>
      </c>
      <c r="AC10" s="9">
        <f>SUM($C$8:AC9)</f>
        <v>687542796.06923699</v>
      </c>
      <c r="AD10" s="9">
        <f>SUM($C$8:AD9)</f>
        <v>750990141.87200069</v>
      </c>
      <c r="AE10" s="9">
        <f>SUM($C$8:AE9)</f>
        <v>818601033.06439853</v>
      </c>
      <c r="AF10" s="9">
        <f>SUM($C$8:AF9)</f>
        <v>890576966.46926451</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86588263.669236988</v>
      </c>
      <c r="D12" s="9">
        <f>D7+D8+D9</f>
        <v>90866271.294736996</v>
      </c>
      <c r="E12" s="9">
        <f>E7+E8+E9</f>
        <v>96221689.931703538</v>
      </c>
      <c r="F12" s="9">
        <f t="shared" ref="F12:H12" si="26">F7+F8+F9</f>
        <v>102719093.20506199</v>
      </c>
      <c r="G12" s="9">
        <f t="shared" si="26"/>
        <v>110426084.18285716</v>
      </c>
      <c r="H12" s="9">
        <f t="shared" si="26"/>
        <v>119413423.13722108</v>
      </c>
      <c r="I12" s="9">
        <f t="shared" ref="I12:AF12" si="27">I7+I8+I9</f>
        <v>129755160.3798929</v>
      </c>
      <c r="J12" s="9">
        <f t="shared" si="27"/>
        <v>141528774.36623505</v>
      </c>
      <c r="K12" s="9">
        <f t="shared" si="27"/>
        <v>154815315.26890591</v>
      </c>
      <c r="L12" s="9">
        <f t="shared" si="27"/>
        <v>169699554.22982854</v>
      </c>
      <c r="M12" s="9">
        <f t="shared" si="27"/>
        <v>186270138.5068467</v>
      </c>
      <c r="N12" s="9">
        <f t="shared" si="27"/>
        <v>204619752.73949453</v>
      </c>
      <c r="O12" s="9">
        <f t="shared" si="27"/>
        <v>224845286.56663269</v>
      </c>
      <c r="P12" s="9">
        <f t="shared" si="27"/>
        <v>247048008.83733428</v>
      </c>
      <c r="Q12" s="9">
        <f t="shared" si="27"/>
        <v>271333748.66534835</v>
      </c>
      <c r="R12" s="9">
        <f t="shared" si="27"/>
        <v>297813083.58673775</v>
      </c>
      <c r="S12" s="9">
        <f t="shared" si="27"/>
        <v>326601535.08989459</v>
      </c>
      <c r="T12" s="9">
        <f t="shared" si="27"/>
        <v>357819771.7970925</v>
      </c>
      <c r="U12" s="9">
        <f t="shared" si="27"/>
        <v>391593820.58705086</v>
      </c>
      <c r="V12" s="9">
        <f t="shared" si="27"/>
        <v>428055285.95867825</v>
      </c>
      <c r="W12" s="9">
        <f t="shared" si="27"/>
        <v>467341577.94724041</v>
      </c>
      <c r="X12" s="9">
        <f t="shared" si="27"/>
        <v>509596148.91568077</v>
      </c>
      <c r="Y12" s="9">
        <f t="shared" si="27"/>
        <v>554968739.55571508</v>
      </c>
      <c r="Z12" s="9">
        <f t="shared" si="27"/>
        <v>603615634.44565392</v>
      </c>
      <c r="AA12" s="9">
        <f t="shared" si="27"/>
        <v>655699927.52467561</v>
      </c>
      <c r="AB12" s="9">
        <f t="shared" si="27"/>
        <v>711391797.85651422</v>
      </c>
      <c r="AC12" s="9">
        <f t="shared" si="27"/>
        <v>770868796.06923699</v>
      </c>
      <c r="AD12" s="9">
        <f t="shared" si="27"/>
        <v>834316141.87200081</v>
      </c>
      <c r="AE12" s="9">
        <f t="shared" si="27"/>
        <v>901927033.06439853</v>
      </c>
      <c r="AF12" s="9">
        <f t="shared" si="27"/>
        <v>973902966.46926451</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40057786.878516302</v>
      </c>
      <c r="D18" s="9">
        <f>Investment!D25</f>
        <v>42250987.577476241</v>
      </c>
      <c r="E18" s="9">
        <f>Investment!E25</f>
        <v>44543533.947406031</v>
      </c>
      <c r="F18" s="9">
        <f>Investment!F25</f>
        <v>46939538.273731992</v>
      </c>
      <c r="G18" s="9">
        <f>Investment!G25</f>
        <v>49443274.29818067</v>
      </c>
      <c r="H18" s="9">
        <f>Investment!H25</f>
        <v>52059183.341001749</v>
      </c>
      <c r="I18" s="9">
        <f>Investment!I25</f>
        <v>54791880.649682038</v>
      </c>
      <c r="J18" s="9">
        <f>Investment!J25</f>
        <v>57646161.98237671</v>
      </c>
      <c r="K18" s="9">
        <f>Investment!K25</f>
        <v>60627010.434578553</v>
      </c>
      <c r="L18" s="9">
        <f>Investment!L25</f>
        <v>63739603.517851345</v>
      </c>
      <c r="M18" s="9">
        <f>Investment!M25</f>
        <v>66989320.499768607</v>
      </c>
      <c r="N18" s="9">
        <f>Investment!N25</f>
        <v>70381750.014526293</v>
      </c>
      <c r="O18" s="9">
        <f>Investment!O25</f>
        <v>73922697.954036698</v>
      </c>
      <c r="P18" s="9">
        <f>Investment!P25</f>
        <v>77618195.649660885</v>
      </c>
      <c r="Q18" s="9">
        <f>Investment!Q25</f>
        <v>81474508.35510008</v>
      </c>
      <c r="R18" s="9">
        <f>Investment!R25</f>
        <v>85498144.041342169</v>
      </c>
      <c r="S18" s="9">
        <f>Investment!S25</f>
        <v>89695862.514948115</v>
      </c>
      <c r="T18" s="9">
        <f>Investment!T25</f>
        <v>94074684.871366501</v>
      </c>
      <c r="U18" s="9">
        <f>Investment!U25</f>
        <v>98641903.295380324</v>
      </c>
      <c r="V18" s="9">
        <f>Investment!V25</f>
        <v>103405091.22122282</v>
      </c>
      <c r="W18" s="9">
        <f>Investment!W25</f>
        <v>108372113.86534473</v>
      </c>
      <c r="X18" s="9">
        <f>Investment!X25</f>
        <v>113551139.1452799</v>
      </c>
      <c r="Y18" s="9">
        <f>Investment!Y25</f>
        <v>118950648.9985328</v>
      </c>
      <c r="Z18" s="9">
        <f>Investment!Z25</f>
        <v>124579451.11590916</v>
      </c>
      <c r="AA18" s="9">
        <f>Investment!AA25</f>
        <v>130446691.1042231</v>
      </c>
      <c r="AB18" s="9">
        <f>Investment!AB25</f>
        <v>136561865.09384644</v>
      </c>
      <c r="AC18" s="9">
        <f>Investment!AC25</f>
        <v>142934832.8071149</v>
      </c>
      <c r="AD18" s="9">
        <f>Investment!AD25</f>
        <v>149575831.10417652</v>
      </c>
      <c r="AE18" s="9">
        <f>Investment!AE25</f>
        <v>156495488.02345556</v>
      </c>
      <c r="AF18" s="9">
        <f>Investment!AF25</f>
        <v>163704837.33451775</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123383786.8785163</v>
      </c>
      <c r="D19" s="9">
        <f>D18+C20</f>
        <v>162372510.78675556</v>
      </c>
      <c r="E19" s="9">
        <f>E18+D20</f>
        <v>202638037.10866156</v>
      </c>
      <c r="F19" s="9">
        <f t="shared" ref="F19:AF19" si="28">F18+E20</f>
        <v>244222156.74542701</v>
      </c>
      <c r="G19" s="9">
        <f t="shared" si="28"/>
        <v>287168027.77024925</v>
      </c>
      <c r="H19" s="9">
        <f t="shared" si="28"/>
        <v>331520220.13345581</v>
      </c>
      <c r="I19" s="9">
        <f t="shared" si="28"/>
        <v>377324761.82877398</v>
      </c>
      <c r="J19" s="9">
        <f t="shared" si="28"/>
        <v>424629186.56847888</v>
      </c>
      <c r="K19" s="9">
        <f t="shared" si="28"/>
        <v>473482583.01671529</v>
      </c>
      <c r="L19" s="9">
        <f t="shared" si="28"/>
        <v>523935645.63189572</v>
      </c>
      <c r="M19" s="9">
        <f t="shared" si="28"/>
        <v>576040727.17074168</v>
      </c>
      <c r="N19" s="9">
        <f t="shared" si="28"/>
        <v>629851892.90824974</v>
      </c>
      <c r="O19" s="9">
        <f t="shared" si="28"/>
        <v>685424976.62963867</v>
      </c>
      <c r="P19" s="9">
        <f t="shared" si="28"/>
        <v>742817638.45216131</v>
      </c>
      <c r="Q19" s="9">
        <f t="shared" si="28"/>
        <v>802089424.53655982</v>
      </c>
      <c r="R19" s="9">
        <f t="shared" si="28"/>
        <v>863301828.74988794</v>
      </c>
      <c r="S19" s="9">
        <f t="shared" si="28"/>
        <v>926518356.34344661</v>
      </c>
      <c r="T19" s="9">
        <f t="shared" si="28"/>
        <v>991804589.71165621</v>
      </c>
      <c r="U19" s="9">
        <f t="shared" si="28"/>
        <v>1059228256.2998387</v>
      </c>
      <c r="V19" s="9">
        <f t="shared" si="28"/>
        <v>1128859298.7311029</v>
      </c>
      <c r="W19" s="9">
        <f t="shared" si="28"/>
        <v>1200769947.2248204</v>
      </c>
      <c r="X19" s="9">
        <f t="shared" si="28"/>
        <v>1275034794.3815379</v>
      </c>
      <c r="Y19" s="9">
        <f t="shared" si="28"/>
        <v>1351730872.4116304</v>
      </c>
      <c r="Z19" s="9">
        <f t="shared" si="28"/>
        <v>1430937732.8875053</v>
      </c>
      <c r="AA19" s="9">
        <f t="shared" si="28"/>
        <v>1512737529.1017895</v>
      </c>
      <c r="AB19" s="9">
        <f t="shared" si="28"/>
        <v>1597215101.1166143</v>
      </c>
      <c r="AC19" s="9">
        <f t="shared" si="28"/>
        <v>1684458063.5918906</v>
      </c>
      <c r="AD19" s="9">
        <f t="shared" si="28"/>
        <v>1774556896.4833443</v>
      </c>
      <c r="AE19" s="9">
        <f t="shared" si="28"/>
        <v>1867605038.7040362</v>
      </c>
      <c r="AF19" s="9">
        <f t="shared" si="28"/>
        <v>1963698984.8461564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120121523.20927931</v>
      </c>
      <c r="D20" s="9">
        <f>D19-D8-D9</f>
        <v>158094503.16125554</v>
      </c>
      <c r="E20" s="9">
        <f t="shared" ref="E20:AF20" si="29">E19-E8-E9</f>
        <v>197282618.47169501</v>
      </c>
      <c r="F20" s="9">
        <f t="shared" si="29"/>
        <v>237724753.47206858</v>
      </c>
      <c r="G20" s="9">
        <f t="shared" si="29"/>
        <v>279461036.79245406</v>
      </c>
      <c r="H20" s="9">
        <f t="shared" si="29"/>
        <v>322532881.17909193</v>
      </c>
      <c r="I20" s="9">
        <f t="shared" si="29"/>
        <v>366983024.58610219</v>
      </c>
      <c r="J20" s="9">
        <f t="shared" si="29"/>
        <v>412855572.58213675</v>
      </c>
      <c r="K20" s="9">
        <f t="shared" si="29"/>
        <v>460196042.11404437</v>
      </c>
      <c r="L20" s="9">
        <f t="shared" si="29"/>
        <v>509051406.67097306</v>
      </c>
      <c r="M20" s="9">
        <f t="shared" si="29"/>
        <v>559470142.89372349</v>
      </c>
      <c r="N20" s="9">
        <f t="shared" si="29"/>
        <v>611502278.67560196</v>
      </c>
      <c r="O20" s="9">
        <f t="shared" si="29"/>
        <v>665199442.80250049</v>
      </c>
      <c r="P20" s="9">
        <f t="shared" si="29"/>
        <v>720614916.18145978</v>
      </c>
      <c r="Q20" s="9">
        <f t="shared" si="29"/>
        <v>777803684.7085458</v>
      </c>
      <c r="R20" s="9">
        <f t="shared" si="29"/>
        <v>836822493.82849848</v>
      </c>
      <c r="S20" s="9">
        <f t="shared" si="29"/>
        <v>897729904.84028971</v>
      </c>
      <c r="T20" s="9">
        <f t="shared" si="29"/>
        <v>960586353.00445831</v>
      </c>
      <c r="U20" s="9">
        <f t="shared" si="29"/>
        <v>1025454207.5098802</v>
      </c>
      <c r="V20" s="9">
        <f t="shared" si="29"/>
        <v>1092397833.3594756</v>
      </c>
      <c r="W20" s="9">
        <f t="shared" si="29"/>
        <v>1161483655.236258</v>
      </c>
      <c r="X20" s="9">
        <f t="shared" si="29"/>
        <v>1232780223.4130976</v>
      </c>
      <c r="Y20" s="9">
        <f t="shared" si="29"/>
        <v>1306358281.7715962</v>
      </c>
      <c r="Z20" s="9">
        <f t="shared" si="29"/>
        <v>1382290837.9975665</v>
      </c>
      <c r="AA20" s="9">
        <f t="shared" si="29"/>
        <v>1460653236.0227678</v>
      </c>
      <c r="AB20" s="9">
        <f t="shared" si="29"/>
        <v>1541523230.7847757</v>
      </c>
      <c r="AC20" s="9">
        <f t="shared" si="29"/>
        <v>1624981065.3791678</v>
      </c>
      <c r="AD20" s="9">
        <f t="shared" si="29"/>
        <v>1711109550.6805806</v>
      </c>
      <c r="AE20" s="9">
        <f t="shared" si="29"/>
        <v>1799994147.5116386</v>
      </c>
      <c r="AF20" s="9">
        <f t="shared" si="29"/>
        <v>1891723051.4412904</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20870000</v>
      </c>
      <c r="D22" s="9">
        <f ca="1">'Balance Sheet'!C11</f>
        <v>53102927.525909677</v>
      </c>
      <c r="E22" s="9">
        <f ca="1">'Balance Sheet'!D11</f>
        <v>80221834.294923484</v>
      </c>
      <c r="F22" s="9">
        <f ca="1">'Balance Sheet'!E11</f>
        <v>102627450.49655768</v>
      </c>
      <c r="G22" s="9">
        <f ca="1">'Balance Sheet'!F11</f>
        <v>122218594.52782287</v>
      </c>
      <c r="H22" s="9">
        <f ca="1">'Balance Sheet'!G11</f>
        <v>137445020.87227648</v>
      </c>
      <c r="I22" s="9">
        <f ca="1">'Balance Sheet'!H11</f>
        <v>151636075.03893903</v>
      </c>
      <c r="J22" s="9">
        <f ca="1">'Balance Sheet'!I11</f>
        <v>165450356.15914667</v>
      </c>
      <c r="K22" s="9">
        <f ca="1">'Balance Sheet'!J11</f>
        <v>178569472.38858467</v>
      </c>
      <c r="L22" s="9">
        <f ca="1">'Balance Sheet'!K11</f>
        <v>190624727.51352739</v>
      </c>
      <c r="M22" s="9">
        <f ca="1">'Balance Sheet'!L11</f>
        <v>202722983.94384414</v>
      </c>
      <c r="N22" s="9">
        <f ca="1">'Balance Sheet'!M11</f>
        <v>215095757.60665119</v>
      </c>
      <c r="O22" s="9">
        <f ca="1">'Balance Sheet'!N11</f>
        <v>228047436.12448525</v>
      </c>
      <c r="P22" s="9">
        <f ca="1">'Balance Sheet'!O11</f>
        <v>241495655.07280707</v>
      </c>
      <c r="Q22" s="9">
        <f ca="1">'Balance Sheet'!P11</f>
        <v>255342920.17056367</v>
      </c>
      <c r="R22" s="9">
        <f ca="1">'Balance Sheet'!Q11</f>
        <v>269475072.87427068</v>
      </c>
      <c r="S22" s="9">
        <f ca="1">'Balance Sheet'!R11</f>
        <v>283759630.44366843</v>
      </c>
      <c r="T22" s="9">
        <f ca="1">'Balance Sheet'!S11</f>
        <v>298043991.27092028</v>
      </c>
      <c r="U22" s="9">
        <f ca="1">'Balance Sheet'!T11</f>
        <v>312153495.63077569</v>
      </c>
      <c r="V22" s="9">
        <f ca="1">'Balance Sheet'!U11</f>
        <v>326558245.37513185</v>
      </c>
      <c r="W22" s="9">
        <f ca="1">'Balance Sheet'!V11</f>
        <v>341844363.93227184</v>
      </c>
      <c r="X22" s="9">
        <f ca="1">'Balance Sheet'!W11</f>
        <v>357975863.2976625</v>
      </c>
      <c r="Y22" s="9">
        <f ca="1">'Balance Sheet'!X11</f>
        <v>374907264.34804356</v>
      </c>
      <c r="Z22" s="9">
        <f ca="1">'Balance Sheet'!Y11</f>
        <v>392582636.58803427</v>
      </c>
      <c r="AA22" s="9">
        <f ca="1">'Balance Sheet'!Z11</f>
        <v>410934563.90255749</v>
      </c>
      <c r="AB22" s="9">
        <f ca="1">'Balance Sheet'!AA11</f>
        <v>429883031.3361882</v>
      </c>
      <c r="AC22" s="9">
        <f ca="1">'Balance Sheet'!AB11</f>
        <v>451252935.58320379</v>
      </c>
      <c r="AD22" s="9">
        <f ca="1">'Balance Sheet'!AC11</f>
        <v>476785134.76439148</v>
      </c>
      <c r="AE22" s="9">
        <f ca="1">'Balance Sheet'!AD11</f>
        <v>506805940.99224734</v>
      </c>
      <c r="AF22" s="9">
        <f ca="1">'Balance Sheet'!AE11</f>
        <v>541660665.0707016</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99251523.209279314</v>
      </c>
      <c r="D23" s="9">
        <f t="shared" ref="D23:AF23" ca="1" si="30">D20-D22</f>
        <v>104991575.63534586</v>
      </c>
      <c r="E23" s="9">
        <f t="shared" ca="1" si="30"/>
        <v>117060784.17677152</v>
      </c>
      <c r="F23" s="9">
        <f t="shared" ca="1" si="30"/>
        <v>135097302.9755109</v>
      </c>
      <c r="G23" s="9">
        <f t="shared" ca="1" si="30"/>
        <v>157242442.26463121</v>
      </c>
      <c r="H23" s="9">
        <f t="shared" ca="1" si="30"/>
        <v>185087860.30681545</v>
      </c>
      <c r="I23" s="9">
        <f t="shared" ca="1" si="30"/>
        <v>215346949.54716316</v>
      </c>
      <c r="J23" s="9">
        <f ca="1">J20-J22</f>
        <v>247405216.42299008</v>
      </c>
      <c r="K23" s="9">
        <f t="shared" ca="1" si="30"/>
        <v>281626569.72545969</v>
      </c>
      <c r="L23" s="9">
        <f t="shared" ca="1" si="30"/>
        <v>318426679.15744567</v>
      </c>
      <c r="M23" s="9">
        <f t="shared" ca="1" si="30"/>
        <v>356747158.94987935</v>
      </c>
      <c r="N23" s="9">
        <f t="shared" ca="1" si="30"/>
        <v>396406521.06895077</v>
      </c>
      <c r="O23" s="9">
        <f t="shared" ca="1" si="30"/>
        <v>437152006.67801523</v>
      </c>
      <c r="P23" s="9">
        <f t="shared" ca="1" si="30"/>
        <v>479119261.10865271</v>
      </c>
      <c r="Q23" s="9">
        <f t="shared" ca="1" si="30"/>
        <v>522460764.53798211</v>
      </c>
      <c r="R23" s="9">
        <f t="shared" ca="1" si="30"/>
        <v>567347420.95422781</v>
      </c>
      <c r="S23" s="9">
        <f t="shared" ca="1" si="30"/>
        <v>613970274.39662123</v>
      </c>
      <c r="T23" s="9">
        <f t="shared" ca="1" si="30"/>
        <v>662542361.73353803</v>
      </c>
      <c r="U23" s="9">
        <f t="shared" ca="1" si="30"/>
        <v>713300711.8791045</v>
      </c>
      <c r="V23" s="9">
        <f t="shared" ca="1" si="30"/>
        <v>765839587.98434377</v>
      </c>
      <c r="W23" s="9">
        <f t="shared" ca="1" si="30"/>
        <v>819639291.30398619</v>
      </c>
      <c r="X23" s="9">
        <f t="shared" ca="1" si="30"/>
        <v>874804360.11543512</v>
      </c>
      <c r="Y23" s="9">
        <f t="shared" ca="1" si="30"/>
        <v>931451017.42355263</v>
      </c>
      <c r="Z23" s="9">
        <f t="shared" ca="1" si="30"/>
        <v>989708201.40953219</v>
      </c>
      <c r="AA23" s="9">
        <f t="shared" ca="1" si="30"/>
        <v>1049718672.1202103</v>
      </c>
      <c r="AB23" s="9">
        <f t="shared" ca="1" si="30"/>
        <v>1111640199.4485874</v>
      </c>
      <c r="AC23" s="9">
        <f t="shared" ca="1" si="30"/>
        <v>1173728129.795964</v>
      </c>
      <c r="AD23" s="9">
        <f t="shared" ca="1" si="30"/>
        <v>1234324415.9161892</v>
      </c>
      <c r="AE23" s="9">
        <f t="shared" ca="1" si="30"/>
        <v>1293188206.5193913</v>
      </c>
      <c r="AF23" s="9">
        <f t="shared" ca="1" si="30"/>
        <v>1350062386.3705888</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activeCell="A2" sqref="A1:XFD1048576"/>
      <selection pane="topRight" activeCell="A2"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20870000</v>
      </c>
      <c r="D5" s="1">
        <f ca="1">C5+C6</f>
        <v>53102927.525909677</v>
      </c>
      <c r="E5" s="1">
        <f t="shared" ref="E5:AF5" ca="1" si="1">D5+D6</f>
        <v>80221834.294923484</v>
      </c>
      <c r="F5" s="1">
        <f t="shared" ca="1" si="1"/>
        <v>102627450.49655768</v>
      </c>
      <c r="G5" s="1">
        <f t="shared" ca="1" si="1"/>
        <v>122218594.52782287</v>
      </c>
      <c r="H5" s="1">
        <f t="shared" ca="1" si="1"/>
        <v>137445020.87227648</v>
      </c>
      <c r="I5" s="1">
        <f t="shared" ca="1" si="1"/>
        <v>151636075.03893903</v>
      </c>
      <c r="J5" s="1">
        <f t="shared" ca="1" si="1"/>
        <v>165450356.15914667</v>
      </c>
      <c r="K5" s="1">
        <f t="shared" ca="1" si="1"/>
        <v>178569472.38858467</v>
      </c>
      <c r="L5" s="1">
        <f t="shared" ca="1" si="1"/>
        <v>190624727.51352739</v>
      </c>
      <c r="M5" s="1">
        <f t="shared" ca="1" si="1"/>
        <v>202722983.94384414</v>
      </c>
      <c r="N5" s="1">
        <f t="shared" ca="1" si="1"/>
        <v>215095757.60665119</v>
      </c>
      <c r="O5" s="1">
        <f t="shared" ca="1" si="1"/>
        <v>228047436.12448525</v>
      </c>
      <c r="P5" s="1">
        <f t="shared" ca="1" si="1"/>
        <v>241495655.07280707</v>
      </c>
      <c r="Q5" s="1">
        <f t="shared" ca="1" si="1"/>
        <v>255342920.17056367</v>
      </c>
      <c r="R5" s="1">
        <f t="shared" ca="1" si="1"/>
        <v>269475072.87427068</v>
      </c>
      <c r="S5" s="1">
        <f t="shared" ca="1" si="1"/>
        <v>283759630.44366843</v>
      </c>
      <c r="T5" s="1">
        <f t="shared" ca="1" si="1"/>
        <v>298043991.27092028</v>
      </c>
      <c r="U5" s="1">
        <f t="shared" ca="1" si="1"/>
        <v>312153495.63077569</v>
      </c>
      <c r="V5" s="1">
        <f t="shared" ca="1" si="1"/>
        <v>326558245.37513185</v>
      </c>
      <c r="W5" s="1">
        <f t="shared" ca="1" si="1"/>
        <v>341844363.93227184</v>
      </c>
      <c r="X5" s="1">
        <f t="shared" ca="1" si="1"/>
        <v>357975863.2976625</v>
      </c>
      <c r="Y5" s="1">
        <f t="shared" ca="1" si="1"/>
        <v>374907264.34804356</v>
      </c>
      <c r="Z5" s="1">
        <f t="shared" ca="1" si="1"/>
        <v>392582636.58803427</v>
      </c>
      <c r="AA5" s="1">
        <f t="shared" ca="1" si="1"/>
        <v>410934563.90255749</v>
      </c>
      <c r="AB5" s="1">
        <f t="shared" ca="1" si="1"/>
        <v>429883031.3361882</v>
      </c>
      <c r="AC5" s="1">
        <f t="shared" ca="1" si="1"/>
        <v>451252935.58320379</v>
      </c>
      <c r="AD5" s="1">
        <f t="shared" ca="1" si="1"/>
        <v>476785134.76439148</v>
      </c>
      <c r="AE5" s="1">
        <f t="shared" ca="1" si="1"/>
        <v>506805940.99224734</v>
      </c>
      <c r="AF5" s="1">
        <f t="shared" ca="1" si="1"/>
        <v>541660665.0707016</v>
      </c>
      <c r="AG5" s="1"/>
      <c r="AH5" s="1"/>
      <c r="AI5" s="1"/>
      <c r="AJ5" s="1"/>
      <c r="AK5" s="1"/>
      <c r="AL5" s="1"/>
      <c r="AM5" s="1"/>
      <c r="AN5" s="1"/>
      <c r="AO5" s="1"/>
      <c r="AP5" s="1"/>
    </row>
    <row r="6" spans="1:42" x14ac:dyDescent="0.35">
      <c r="A6" s="63" t="s">
        <v>3</v>
      </c>
      <c r="C6" s="1">
        <f ca="1">-'Cash Flow'!C13</f>
        <v>32232927.525909677</v>
      </c>
      <c r="D6" s="1">
        <f ca="1">-'Cash Flow'!D13</f>
        <v>27118906.769013811</v>
      </c>
      <c r="E6" s="1">
        <f ca="1">-'Cash Flow'!E13</f>
        <v>22405616.201634195</v>
      </c>
      <c r="F6" s="1">
        <f ca="1">-'Cash Flow'!F13</f>
        <v>19591144.031265181</v>
      </c>
      <c r="G6" s="1">
        <f ca="1">-'Cash Flow'!G13</f>
        <v>15226426.344453603</v>
      </c>
      <c r="H6" s="1">
        <f ca="1">-'Cash Flow'!H13</f>
        <v>14191054.166662551</v>
      </c>
      <c r="I6" s="1">
        <f ca="1">-'Cash Flow'!I13</f>
        <v>13814281.12020763</v>
      </c>
      <c r="J6" s="1">
        <f ca="1">-'Cash Flow'!J13</f>
        <v>13119116.229438007</v>
      </c>
      <c r="K6" s="1">
        <f ca="1">-'Cash Flow'!K13</f>
        <v>12055255.12494272</v>
      </c>
      <c r="L6" s="1">
        <f ca="1">-'Cash Flow'!L13</f>
        <v>12098256.430316754</v>
      </c>
      <c r="M6" s="1">
        <f ca="1">-'Cash Flow'!M13</f>
        <v>12372773.662807032</v>
      </c>
      <c r="N6" s="1">
        <f ca="1">-'Cash Flow'!N13</f>
        <v>12951678.517834067</v>
      </c>
      <c r="O6" s="1">
        <f ca="1">-'Cash Flow'!O13</f>
        <v>13448218.948321827</v>
      </c>
      <c r="P6" s="1">
        <f ca="1">-'Cash Flow'!P13</f>
        <v>13847265.097756594</v>
      </c>
      <c r="Q6" s="1">
        <f ca="1">-'Cash Flow'!Q13</f>
        <v>14132152.703706995</v>
      </c>
      <c r="R6" s="1">
        <f ca="1">-'Cash Flow'!R13</f>
        <v>14284557.569397733</v>
      </c>
      <c r="S6" s="1">
        <f ca="1">-'Cash Flow'!S13</f>
        <v>14284360.827251837</v>
      </c>
      <c r="T6" s="1">
        <f ca="1">-'Cash Flow'!T13</f>
        <v>14109504.359855384</v>
      </c>
      <c r="U6" s="1">
        <f ca="1">-'Cash Flow'!U13</f>
        <v>14404749.744356126</v>
      </c>
      <c r="V6" s="1">
        <f ca="1">-'Cash Flow'!V13</f>
        <v>15286118.557139963</v>
      </c>
      <c r="W6" s="1">
        <f ca="1">-'Cash Flow'!W13</f>
        <v>16131499.365390673</v>
      </c>
      <c r="X6" s="1">
        <f ca="1">-'Cash Flow'!X13</f>
        <v>16931401.05038105</v>
      </c>
      <c r="Y6" s="1">
        <f ca="1">-'Cash Flow'!Y13</f>
        <v>17675372.239990696</v>
      </c>
      <c r="Z6" s="1">
        <f ca="1">-'Cash Flow'!Z13</f>
        <v>18351927.314523235</v>
      </c>
      <c r="AA6" s="1">
        <f ca="1">-'Cash Flow'!AA13</f>
        <v>18948467.433630705</v>
      </c>
      <c r="AB6" s="1">
        <f ca="1">-'Cash Flow'!AB13</f>
        <v>21369904.247015625</v>
      </c>
      <c r="AC6" s="1">
        <f ca="1">-'Cash Flow'!AC13</f>
        <v>25532199.181187674</v>
      </c>
      <c r="AD6" s="1">
        <f ca="1">-'Cash Flow'!AD13</f>
        <v>30020806.227855831</v>
      </c>
      <c r="AE6" s="1">
        <f ca="1">-'Cash Flow'!AE13</f>
        <v>34854724.078454256</v>
      </c>
      <c r="AF6" s="1">
        <f ca="1">-'Cash Flow'!AF13</f>
        <v>40053910.527234286</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1858602.4634068389</v>
      </c>
      <c r="D8" s="1">
        <f ca="1">IF(SUM(D5:D6)&gt;0,Assumptions!$C$26*SUM(D5:D6),Assumptions!$C$27*(SUM(D5:D6)))</f>
        <v>2807764.2003223221</v>
      </c>
      <c r="E8" s="1">
        <f ca="1">IF(SUM(E5:E6)&gt;0,Assumptions!$C$26*SUM(E5:E6),Assumptions!$C$27*(SUM(E5:E6)))</f>
        <v>3591960.7673795191</v>
      </c>
      <c r="F8" s="1">
        <f ca="1">IF(SUM(F5:F6)&gt;0,Assumptions!$C$26*SUM(F5:F6),Assumptions!$C$27*(SUM(F5:F6)))</f>
        <v>4277650.8084738003</v>
      </c>
      <c r="G8" s="1">
        <f ca="1">IF(SUM(G5:G6)&gt;0,Assumptions!$C$26*SUM(G5:G6),Assumptions!$C$27*(SUM(G5:G6)))</f>
        <v>4810575.7305296771</v>
      </c>
      <c r="H8" s="1">
        <f ca="1">IF(SUM(H5:H6)&gt;0,Assumptions!$C$26*SUM(H5:H6),Assumptions!$C$27*(SUM(H5:H6)))</f>
        <v>5307262.6263628667</v>
      </c>
      <c r="I8" s="1">
        <f ca="1">IF(SUM(I5:I6)&gt;0,Assumptions!$C$26*SUM(I5:I6),Assumptions!$C$27*(SUM(I5:I6)))</f>
        <v>5790762.4655701341</v>
      </c>
      <c r="J8" s="1">
        <f ca="1">IF(SUM(J5:J6)&gt;0,Assumptions!$C$26*SUM(J5:J6),Assumptions!$C$27*(SUM(J5:J6)))</f>
        <v>6249931.5336004645</v>
      </c>
      <c r="K8" s="1">
        <f ca="1">IF(SUM(K5:K6)&gt;0,Assumptions!$C$26*SUM(K5:K6),Assumptions!$C$27*(SUM(K5:K6)))</f>
        <v>6671865.4629734596</v>
      </c>
      <c r="L8" s="1">
        <f ca="1">IF(SUM(L5:L6)&gt;0,Assumptions!$C$26*SUM(L5:L6),Assumptions!$C$27*(SUM(L5:L6)))</f>
        <v>7095304.4380345456</v>
      </c>
      <c r="M8" s="1">
        <f ca="1">IF(SUM(M5:M6)&gt;0,Assumptions!$C$26*SUM(M5:M6),Assumptions!$C$27*(SUM(M5:M6)))</f>
        <v>7528351.5162327923</v>
      </c>
      <c r="N8" s="1">
        <f ca="1">IF(SUM(N5:N6)&gt;0,Assumptions!$C$26*SUM(N5:N6),Assumptions!$C$27*(SUM(N5:N6)))</f>
        <v>7981660.2643569848</v>
      </c>
      <c r="O8" s="1">
        <f ca="1">IF(SUM(O5:O6)&gt;0,Assumptions!$C$26*SUM(O5:O6),Assumptions!$C$27*(SUM(O5:O6)))</f>
        <v>8452347.9275482483</v>
      </c>
      <c r="P8" s="1">
        <f ca="1">IF(SUM(P5:P6)&gt;0,Assumptions!$C$26*SUM(P5:P6),Assumptions!$C$27*(SUM(P5:P6)))</f>
        <v>8937002.2059697285</v>
      </c>
      <c r="Q8" s="1">
        <f ca="1">IF(SUM(Q5:Q6)&gt;0,Assumptions!$C$26*SUM(Q5:Q6),Assumptions!$C$27*(SUM(Q5:Q6)))</f>
        <v>9431627.5505994745</v>
      </c>
      <c r="R8" s="1">
        <f ca="1">IF(SUM(R5:R6)&gt;0,Assumptions!$C$26*SUM(R5:R6),Assumptions!$C$27*(SUM(R5:R6)))</f>
        <v>9931587.0655283965</v>
      </c>
      <c r="S8" s="1">
        <f ca="1">IF(SUM(S5:S6)&gt;0,Assumptions!$C$26*SUM(S5:S6),Assumptions!$C$27*(SUM(S5:S6)))</f>
        <v>10431539.694482211</v>
      </c>
      <c r="T8" s="1">
        <f ca="1">IF(SUM(T5:T6)&gt;0,Assumptions!$C$26*SUM(T5:T6),Assumptions!$C$27*(SUM(T5:T6)))</f>
        <v>10925372.34707715</v>
      </c>
      <c r="U8" s="1">
        <f ca="1">IF(SUM(U5:U6)&gt;0,Assumptions!$C$26*SUM(U5:U6),Assumptions!$C$27*(SUM(U5:U6)))</f>
        <v>11429538.588129615</v>
      </c>
      <c r="V8" s="1">
        <f ca="1">IF(SUM(V5:V6)&gt;0,Assumptions!$C$26*SUM(V5:V6),Assumptions!$C$27*(SUM(V5:V6)))</f>
        <v>11964552.737629516</v>
      </c>
      <c r="W8" s="1">
        <f ca="1">IF(SUM(W5:W6)&gt;0,Assumptions!$C$26*SUM(W5:W6),Assumptions!$C$27*(SUM(W5:W6)))</f>
        <v>12529155.215418188</v>
      </c>
      <c r="X8" s="1">
        <f ca="1">IF(SUM(X5:X6)&gt;0,Assumptions!$C$26*SUM(X5:X6),Assumptions!$C$27*(SUM(X5:X6)))</f>
        <v>13121754.252181526</v>
      </c>
      <c r="Y8" s="1">
        <f ca="1">IF(SUM(Y5:Y6)&gt;0,Assumptions!$C$26*SUM(Y5:Y6),Assumptions!$C$27*(SUM(Y5:Y6)))</f>
        <v>13740392.2805812</v>
      </c>
      <c r="Z8" s="1">
        <f ca="1">IF(SUM(Z5:Z6)&gt;0,Assumptions!$C$26*SUM(Z5:Z6),Assumptions!$C$27*(SUM(Z5:Z6)))</f>
        <v>14382709.736589514</v>
      </c>
      <c r="AA8" s="1">
        <f ca="1">IF(SUM(AA5:AA6)&gt;0,Assumptions!$C$26*SUM(AA5:AA6),Assumptions!$C$27*(SUM(AA5:AA6)))</f>
        <v>15045906.096766589</v>
      </c>
      <c r="AB8" s="1">
        <f ca="1">IF(SUM(AB5:AB6)&gt;0,Assumptions!$C$26*SUM(AB5:AB6),Assumptions!$C$27*(SUM(AB5:AB6)))</f>
        <v>15793852.745412134</v>
      </c>
      <c r="AC8" s="1">
        <f ca="1">IF(SUM(AC5:AC6)&gt;0,Assumptions!$C$26*SUM(AC5:AC6),Assumptions!$C$27*(SUM(AC5:AC6)))</f>
        <v>16687479.716753703</v>
      </c>
      <c r="AD8" s="1">
        <f ca="1">IF(SUM(AD5:AD6)&gt;0,Assumptions!$C$26*SUM(AD5:AD6),Assumptions!$C$27*(SUM(AD5:AD6)))</f>
        <v>17738207.93472866</v>
      </c>
      <c r="AE8" s="1">
        <f ca="1">IF(SUM(AE5:AE6)&gt;0,Assumptions!$C$26*SUM(AE5:AE6),Assumptions!$C$27*(SUM(AE5:AE6)))</f>
        <v>18958123.277474556</v>
      </c>
      <c r="AF8" s="1">
        <f ca="1">IF(SUM(AF5:AF6)&gt;0,Assumptions!$C$26*SUM(AF5:AF6),Assumptions!$C$27*(SUM(AF5:AF6)))</f>
        <v>20360010.145927761</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activeCell="A2"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activeCell="A2" sqref="A1:XFD1048576"/>
    </sheetView>
  </sheetViews>
  <sheetFormatPr defaultRowHeight="15.5" x14ac:dyDescent="0.35"/>
  <cols>
    <col min="1" max="1" width="107.9140625" style="63" customWidth="1"/>
    <col min="2" max="2" width="18.1640625" style="63" bestFit="1" customWidth="1"/>
    <col min="3" max="3" width="52.082031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90"/>
    </row>
    <row r="6" spans="1:3" ht="18.5" x14ac:dyDescent="0.45">
      <c r="A6" s="90"/>
      <c r="B6" s="90"/>
    </row>
    <row r="7" spans="1:3" ht="18.5" x14ac:dyDescent="0.45">
      <c r="A7" s="90" t="s">
        <v>97</v>
      </c>
      <c r="B7" s="91">
        <f>Assumptions!C24</f>
        <v>8482000</v>
      </c>
      <c r="C7" s="63" t="str">
        <f>Assumptions!B24</f>
        <v>RFI Table F10; Line F10.62 minus F10.61</v>
      </c>
    </row>
    <row r="8" spans="1:3" ht="32" x14ac:dyDescent="0.45">
      <c r="A8" s="90" t="s">
        <v>173</v>
      </c>
      <c r="B8" s="92">
        <f>Assumptions!$C$133</f>
        <v>0.7</v>
      </c>
      <c r="C8" s="180" t="s">
        <v>199</v>
      </c>
    </row>
    <row r="9" spans="1:3" ht="18.5" x14ac:dyDescent="0.45">
      <c r="A9" s="90"/>
      <c r="B9" s="93"/>
      <c r="C9" s="180"/>
    </row>
    <row r="10" spans="1:3" ht="63" x14ac:dyDescent="0.45">
      <c r="A10" s="94" t="s">
        <v>103</v>
      </c>
      <c r="B10" s="95">
        <f>Assumptions!C135</f>
        <v>5759.2592592592591</v>
      </c>
      <c r="C10" s="180" t="s">
        <v>200</v>
      </c>
    </row>
    <row r="11" spans="1:3" ht="18.5" x14ac:dyDescent="0.45">
      <c r="A11" s="94"/>
      <c r="B11" s="94"/>
      <c r="C11" s="180"/>
    </row>
    <row r="12" spans="1:3" ht="18.5" x14ac:dyDescent="0.45">
      <c r="A12" s="94" t="s">
        <v>183</v>
      </c>
      <c r="B12" s="91">
        <f>(B7*B8)/B10</f>
        <v>1030.9311897106109</v>
      </c>
      <c r="C12" s="180"/>
    </row>
    <row r="13" spans="1:3" ht="18.5" x14ac:dyDescent="0.45">
      <c r="A13" s="96"/>
      <c r="B13" s="97"/>
      <c r="C13" s="180"/>
    </row>
    <row r="14" spans="1:3" ht="18.5" x14ac:dyDescent="0.45">
      <c r="A14" s="94" t="s">
        <v>104</v>
      </c>
      <c r="B14" s="98">
        <v>1</v>
      </c>
      <c r="C14" s="180"/>
    </row>
    <row r="15" spans="1:3" ht="18.5" x14ac:dyDescent="0.45">
      <c r="A15" s="96"/>
      <c r="B15" s="99"/>
      <c r="C15" s="180"/>
    </row>
    <row r="16" spans="1:3" ht="18.5" x14ac:dyDescent="0.45">
      <c r="A16" s="96" t="s">
        <v>178</v>
      </c>
      <c r="B16" s="100">
        <f>B12/B14</f>
        <v>1030.9311897106109</v>
      </c>
      <c r="C16" s="180"/>
    </row>
    <row r="17" spans="1:3" ht="18.5" x14ac:dyDescent="0.45">
      <c r="A17" s="94"/>
      <c r="B17" s="101"/>
      <c r="C17" s="180"/>
    </row>
    <row r="18" spans="1:3" ht="18.5" x14ac:dyDescent="0.45">
      <c r="A18" s="102" t="s">
        <v>177</v>
      </c>
      <c r="B18" s="101"/>
      <c r="C18" s="180"/>
    </row>
    <row r="19" spans="1:3" ht="18.5" x14ac:dyDescent="0.45">
      <c r="A19" s="94"/>
      <c r="B19" s="101"/>
      <c r="C19" s="180"/>
    </row>
    <row r="20" spans="1:3" ht="32" x14ac:dyDescent="0.45">
      <c r="A20" s="94" t="s">
        <v>66</v>
      </c>
      <c r="B20" s="91">
        <f>'Profit and Loss'!L5</f>
        <v>78338333.026733935</v>
      </c>
      <c r="C20" s="180" t="s">
        <v>201</v>
      </c>
    </row>
    <row r="21" spans="1:3" ht="32" x14ac:dyDescent="0.45">
      <c r="A21" s="94" t="str">
        <f>A8</f>
        <v>Assumed revenue from households</v>
      </c>
      <c r="B21" s="92">
        <f>B8</f>
        <v>0.7</v>
      </c>
      <c r="C21" s="180" t="s">
        <v>199</v>
      </c>
    </row>
    <row r="22" spans="1:3" ht="18.5" x14ac:dyDescent="0.45">
      <c r="A22" s="94"/>
      <c r="B22" s="94"/>
      <c r="C22" s="180"/>
    </row>
    <row r="23" spans="1:3" ht="32" x14ac:dyDescent="0.45">
      <c r="A23" s="94" t="s">
        <v>102</v>
      </c>
      <c r="B23" s="95">
        <f>Assumptions!M135</f>
        <v>6468.2101528565317</v>
      </c>
      <c r="C23" s="180" t="s">
        <v>202</v>
      </c>
    </row>
    <row r="24" spans="1:3" ht="18.5" x14ac:dyDescent="0.45">
      <c r="A24" s="94"/>
      <c r="B24" s="94"/>
      <c r="C24" s="180"/>
    </row>
    <row r="25" spans="1:3" ht="18.5" x14ac:dyDescent="0.45">
      <c r="A25" s="94" t="s">
        <v>182</v>
      </c>
      <c r="B25" s="91">
        <f>(B20*B21)/B23</f>
        <v>8477.8991131721905</v>
      </c>
      <c r="C25" s="180"/>
    </row>
    <row r="26" spans="1:3" ht="18.5" x14ac:dyDescent="0.45">
      <c r="A26" s="94"/>
      <c r="B26" s="91"/>
      <c r="C26" s="180"/>
    </row>
    <row r="27" spans="1:3" ht="32" x14ac:dyDescent="0.45">
      <c r="A27" s="94" t="s">
        <v>104</v>
      </c>
      <c r="B27" s="103">
        <f>1.022^11</f>
        <v>1.2704566586717592</v>
      </c>
      <c r="C27" s="180" t="s">
        <v>203</v>
      </c>
    </row>
    <row r="28" spans="1:3" ht="18.5" x14ac:dyDescent="0.45">
      <c r="A28" s="96"/>
      <c r="B28" s="97"/>
      <c r="C28" s="180"/>
    </row>
    <row r="29" spans="1:3" ht="18.5" x14ac:dyDescent="0.45">
      <c r="A29" s="96" t="s">
        <v>179</v>
      </c>
      <c r="B29" s="91">
        <f>B25/B27</f>
        <v>6673.1116369099045</v>
      </c>
      <c r="C29" s="180"/>
    </row>
    <row r="30" spans="1:3" ht="18.5" x14ac:dyDescent="0.45">
      <c r="A30" s="96"/>
      <c r="B30" s="97"/>
      <c r="C30" s="180"/>
    </row>
    <row r="31" spans="1:3" ht="18.5" x14ac:dyDescent="0.45">
      <c r="A31" s="102" t="s">
        <v>185</v>
      </c>
      <c r="B31" s="96"/>
      <c r="C31" s="180"/>
    </row>
    <row r="32" spans="1:3" ht="18.5" x14ac:dyDescent="0.45">
      <c r="A32" s="94"/>
      <c r="B32" s="91"/>
      <c r="C32" s="180"/>
    </row>
    <row r="33" spans="1:3" ht="32" x14ac:dyDescent="0.45">
      <c r="A33" s="94" t="s">
        <v>67</v>
      </c>
      <c r="B33" s="91">
        <f>'Profit and Loss'!AF5</f>
        <v>217943538.73279873</v>
      </c>
      <c r="C33" s="180" t="s">
        <v>201</v>
      </c>
    </row>
    <row r="34" spans="1:3" ht="32" x14ac:dyDescent="0.45">
      <c r="A34" s="94" t="str">
        <f>A21</f>
        <v>Assumed revenue from households</v>
      </c>
      <c r="B34" s="92">
        <f>B21</f>
        <v>0.7</v>
      </c>
      <c r="C34" s="180" t="s">
        <v>199</v>
      </c>
    </row>
    <row r="35" spans="1:3" ht="18.5" x14ac:dyDescent="0.45">
      <c r="A35" s="94"/>
      <c r="B35" s="94"/>
      <c r="C35" s="180"/>
    </row>
    <row r="36" spans="1:3" ht="32" x14ac:dyDescent="0.45">
      <c r="A36" s="94" t="s">
        <v>101</v>
      </c>
      <c r="B36" s="95">
        <f>Assumptions!AG135</f>
        <v>8158.6651075016089</v>
      </c>
      <c r="C36" s="180" t="s">
        <v>202</v>
      </c>
    </row>
    <row r="37" spans="1:3" ht="18.5" x14ac:dyDescent="0.45">
      <c r="A37" s="94"/>
      <c r="B37" s="94"/>
      <c r="C37" s="180"/>
    </row>
    <row r="38" spans="1:3" ht="18.5" x14ac:dyDescent="0.45">
      <c r="A38" s="94" t="s">
        <v>181</v>
      </c>
      <c r="B38" s="91">
        <f>(B33*B34)/B36</f>
        <v>18699.195898197246</v>
      </c>
      <c r="C38" s="180"/>
    </row>
    <row r="39" spans="1:3" ht="18.5" x14ac:dyDescent="0.45">
      <c r="A39" s="94"/>
      <c r="B39" s="94"/>
      <c r="C39" s="180"/>
    </row>
    <row r="40" spans="1:3" ht="32" x14ac:dyDescent="0.45">
      <c r="A40" s="94" t="s">
        <v>104</v>
      </c>
      <c r="B40" s="103">
        <f>1.022^31</f>
        <v>1.9632597808456462</v>
      </c>
      <c r="C40" s="180" t="s">
        <v>203</v>
      </c>
    </row>
    <row r="41" spans="1:3" ht="18.5" x14ac:dyDescent="0.45">
      <c r="A41" s="96"/>
      <c r="B41" s="97"/>
    </row>
    <row r="42" spans="1:3" ht="18.5" x14ac:dyDescent="0.45">
      <c r="A42" s="96" t="s">
        <v>180</v>
      </c>
      <c r="B42" s="91">
        <f>B38/B40</f>
        <v>9524.5652565361634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activeCell="A2"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17" activePane="bottomLeft" state="frozen"/>
      <selection activeCell="A2" sqref="A1:XFD1048576"/>
      <selection pane="bottomLeft" activeCell="A2" sqref="A1:XFD1048576"/>
    </sheetView>
  </sheetViews>
  <sheetFormatPr defaultColWidth="10.83203125" defaultRowHeight="15.5" x14ac:dyDescent="0.35"/>
  <cols>
    <col min="1" max="1" width="89.9140625" style="76" bestFit="1" customWidth="1"/>
    <col min="2" max="2" width="81.6640625" style="76"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81" t="s">
        <v>28</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row>
    <row r="4" spans="1:33" s="120" customFormat="1" ht="16" thickBot="1" x14ac:dyDescent="0.4">
      <c r="A4" s="115" t="s">
        <v>26</v>
      </c>
      <c r="B4" s="115" t="s">
        <v>195</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137</v>
      </c>
      <c r="C13" s="127">
        <v>1.1676703289849266E-2</v>
      </c>
      <c r="D13" s="128">
        <f t="shared" ref="D13:AG13" si="3">(1+$C$13)^D8</f>
        <v>1.0116767032898493</v>
      </c>
      <c r="E13" s="128">
        <f t="shared" si="3"/>
        <v>1.0234897519794177</v>
      </c>
      <c r="F13" s="128">
        <f t="shared" si="3"/>
        <v>1.0354407381334827</v>
      </c>
      <c r="G13" s="128">
        <f t="shared" si="3"/>
        <v>1.0475312724068899</v>
      </c>
      <c r="H13" s="128">
        <f t="shared" si="3"/>
        <v>1.0597629842616234</v>
      </c>
      <c r="I13" s="128">
        <f t="shared" si="3"/>
        <v>1.0721375221864116</v>
      </c>
      <c r="J13" s="128">
        <f t="shared" si="3"/>
        <v>1.0846565539188964</v>
      </c>
      <c r="K13" s="128">
        <f t="shared" si="3"/>
        <v>1.0973217666703978</v>
      </c>
      <c r="L13" s="128">
        <f t="shared" si="3"/>
        <v>1.1101348673533014</v>
      </c>
      <c r="M13" s="128">
        <f t="shared" si="3"/>
        <v>1.1230975828111021</v>
      </c>
      <c r="N13" s="128">
        <f t="shared" si="3"/>
        <v>1.1362116600511341</v>
      </c>
      <c r="O13" s="128">
        <f t="shared" si="3"/>
        <v>1.1494788664800182</v>
      </c>
      <c r="P13" s="128">
        <f t="shared" si="3"/>
        <v>1.1629009901418577</v>
      </c>
      <c r="Q13" s="128">
        <f t="shared" si="3"/>
        <v>1.176479839959216</v>
      </c>
      <c r="R13" s="128">
        <f t="shared" si="3"/>
        <v>1.1902172459769089</v>
      </c>
      <c r="S13" s="128">
        <f t="shared" si="3"/>
        <v>1.204115059608643</v>
      </c>
      <c r="T13" s="128">
        <f t="shared" si="3"/>
        <v>1.2181751538865322</v>
      </c>
      <c r="U13" s="128">
        <f t="shared" si="3"/>
        <v>1.2323994237135318</v>
      </c>
      <c r="V13" s="128">
        <f t="shared" si="3"/>
        <v>1.2467897861188157</v>
      </c>
      <c r="W13" s="128">
        <f t="shared" si="3"/>
        <v>1.2613481805161399</v>
      </c>
      <c r="X13" s="128">
        <f t="shared" si="3"/>
        <v>1.276076568965218</v>
      </c>
      <c r="Y13" s="128">
        <f t="shared" si="3"/>
        <v>1.2909769364361536</v>
      </c>
      <c r="Z13" s="128">
        <f t="shared" si="3"/>
        <v>1.3060512910769571</v>
      </c>
      <c r="AA13" s="128">
        <f t="shared" si="3"/>
        <v>1.3213016644841875</v>
      </c>
      <c r="AB13" s="128">
        <f t="shared" si="3"/>
        <v>1.3367301119767534</v>
      </c>
      <c r="AC13" s="128">
        <f t="shared" si="3"/>
        <v>1.352338712872913</v>
      </c>
      <c r="AD13" s="128">
        <f t="shared" si="3"/>
        <v>1.3681295707705063</v>
      </c>
      <c r="AE13" s="128">
        <f t="shared" si="3"/>
        <v>1.3841048138304624</v>
      </c>
      <c r="AF13" s="128">
        <f t="shared" si="3"/>
        <v>1.4002665950636128</v>
      </c>
      <c r="AG13" s="128">
        <f t="shared" si="3"/>
        <v>1.4166170926208581</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166652000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83326000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136</v>
      </c>
      <c r="C20" s="137">
        <v>20870000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198</v>
      </c>
      <c r="C24" s="136">
        <v>8482000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4516000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ht="31" x14ac:dyDescent="0.35">
      <c r="A33" s="81" t="s">
        <v>105</v>
      </c>
      <c r="B33" s="82" t="s">
        <v>204</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134</v>
      </c>
      <c r="C49" s="71">
        <v>158326000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135</v>
      </c>
      <c r="C50" s="71">
        <v>174977999.99999997</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ht="31" x14ac:dyDescent="0.35">
      <c r="A56" s="69" t="s">
        <v>109</v>
      </c>
      <c r="B56" s="106"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ht="31" x14ac:dyDescent="0.35">
      <c r="A57" s="69" t="s">
        <v>110</v>
      </c>
      <c r="B57" s="106"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467622.79309686052</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730911.77409407648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599267.2835954685</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1274609.2072445275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1874363.9736647757</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1574486.5904546515</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2305398.3645487279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179" t="s">
        <v>175</v>
      </c>
      <c r="C77" s="87">
        <v>1362884.4165302131</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1049411720.7741269</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1115281006.5954127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87</v>
      </c>
      <c r="C82" s="87">
        <f>C79+$C$77</f>
        <v>1050774605.1906571</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87</v>
      </c>
      <c r="C83" s="87">
        <f>C80+$C$77</f>
        <v>1116643891.0119429</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197</v>
      </c>
      <c r="C85" s="150">
        <v>15550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15550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15550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87</v>
      </c>
      <c r="C89" s="150">
        <f>C82/$C$87</f>
        <v>67573.929594254485</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87</v>
      </c>
      <c r="C90" s="150">
        <f>C83/$C$87</f>
        <v>71809.896528099212</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87</v>
      </c>
      <c r="C94" s="87">
        <f>IF(C89&lt;$C$92,C89*$C$87,$C$92*$C$87)</f>
        <v>1050774605.1906573</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87</v>
      </c>
      <c r="C95" s="87">
        <f>IF(C90&lt;$C$92,C90*$C$87,$C$92*$C$87)</f>
        <v>1088500000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87</v>
      </c>
      <c r="C96" s="87">
        <f>AVERAGE(C94:C95)</f>
        <v>1069637302.5953286</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1069637302.5953286</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35654576.75317762</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127</v>
      </c>
      <c r="C111" s="71"/>
      <c r="D111" s="149">
        <f t="shared" ref="D111:AG111" si="9">$C$75</f>
        <v>2305398.3645487279</v>
      </c>
      <c r="E111" s="149">
        <f t="shared" si="9"/>
        <v>2305398.3645487279</v>
      </c>
      <c r="F111" s="149">
        <f t="shared" si="9"/>
        <v>2305398.3645487279</v>
      </c>
      <c r="G111" s="149">
        <f t="shared" si="9"/>
        <v>2305398.3645487279</v>
      </c>
      <c r="H111" s="149">
        <f t="shared" si="9"/>
        <v>2305398.3645487279</v>
      </c>
      <c r="I111" s="149">
        <f t="shared" si="9"/>
        <v>2305398.3645487279</v>
      </c>
      <c r="J111" s="149">
        <f t="shared" si="9"/>
        <v>2305398.3645487279</v>
      </c>
      <c r="K111" s="149">
        <f t="shared" si="9"/>
        <v>2305398.3645487279</v>
      </c>
      <c r="L111" s="149">
        <f t="shared" si="9"/>
        <v>2305398.3645487279</v>
      </c>
      <c r="M111" s="149">
        <f t="shared" si="9"/>
        <v>2305398.3645487279</v>
      </c>
      <c r="N111" s="149">
        <f t="shared" si="9"/>
        <v>2305398.3645487279</v>
      </c>
      <c r="O111" s="149">
        <f t="shared" si="9"/>
        <v>2305398.3645487279</v>
      </c>
      <c r="P111" s="149">
        <f t="shared" si="9"/>
        <v>2305398.3645487279</v>
      </c>
      <c r="Q111" s="149">
        <f t="shared" si="9"/>
        <v>2305398.3645487279</v>
      </c>
      <c r="R111" s="149">
        <f t="shared" si="9"/>
        <v>2305398.3645487279</v>
      </c>
      <c r="S111" s="149">
        <f t="shared" si="9"/>
        <v>2305398.3645487279</v>
      </c>
      <c r="T111" s="149">
        <f t="shared" si="9"/>
        <v>2305398.3645487279</v>
      </c>
      <c r="U111" s="149">
        <f t="shared" si="9"/>
        <v>2305398.3645487279</v>
      </c>
      <c r="V111" s="149">
        <f t="shared" si="9"/>
        <v>2305398.3645487279</v>
      </c>
      <c r="W111" s="149">
        <f t="shared" si="9"/>
        <v>2305398.3645487279</v>
      </c>
      <c r="X111" s="149">
        <f t="shared" si="9"/>
        <v>2305398.3645487279</v>
      </c>
      <c r="Y111" s="149">
        <f t="shared" si="9"/>
        <v>2305398.3645487279</v>
      </c>
      <c r="Z111" s="149">
        <f t="shared" si="9"/>
        <v>2305398.3645487279</v>
      </c>
      <c r="AA111" s="149">
        <f t="shared" si="9"/>
        <v>2305398.3645487279</v>
      </c>
      <c r="AB111" s="149">
        <f t="shared" si="9"/>
        <v>2305398.3645487279</v>
      </c>
      <c r="AC111" s="149">
        <f t="shared" si="9"/>
        <v>2305398.3645487279</v>
      </c>
      <c r="AD111" s="149">
        <f t="shared" si="9"/>
        <v>2305398.3645487279</v>
      </c>
      <c r="AE111" s="149">
        <f t="shared" si="9"/>
        <v>2305398.3645487279</v>
      </c>
      <c r="AF111" s="149">
        <f t="shared" si="9"/>
        <v>2305398.3645487279</v>
      </c>
      <c r="AG111" s="149">
        <f t="shared" si="9"/>
        <v>2305398.3645487279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1069637302.595329</v>
      </c>
      <c r="D113" s="149">
        <f t="shared" ref="D113:AG113" si="10">$C$102</f>
        <v>35654576.75317762</v>
      </c>
      <c r="E113" s="149">
        <f t="shared" si="10"/>
        <v>35654576.75317762</v>
      </c>
      <c r="F113" s="149">
        <f t="shared" si="10"/>
        <v>35654576.75317762</v>
      </c>
      <c r="G113" s="149">
        <f t="shared" si="10"/>
        <v>35654576.75317762</v>
      </c>
      <c r="H113" s="149">
        <f t="shared" si="10"/>
        <v>35654576.75317762</v>
      </c>
      <c r="I113" s="149">
        <f t="shared" si="10"/>
        <v>35654576.75317762</v>
      </c>
      <c r="J113" s="149">
        <f t="shared" si="10"/>
        <v>35654576.75317762</v>
      </c>
      <c r="K113" s="149">
        <f t="shared" si="10"/>
        <v>35654576.75317762</v>
      </c>
      <c r="L113" s="149">
        <f t="shared" si="10"/>
        <v>35654576.75317762</v>
      </c>
      <c r="M113" s="149">
        <f t="shared" si="10"/>
        <v>35654576.75317762</v>
      </c>
      <c r="N113" s="149">
        <f t="shared" si="10"/>
        <v>35654576.75317762</v>
      </c>
      <c r="O113" s="149">
        <f t="shared" si="10"/>
        <v>35654576.75317762</v>
      </c>
      <c r="P113" s="149">
        <f t="shared" si="10"/>
        <v>35654576.75317762</v>
      </c>
      <c r="Q113" s="149">
        <f t="shared" si="10"/>
        <v>35654576.75317762</v>
      </c>
      <c r="R113" s="149">
        <f t="shared" si="10"/>
        <v>35654576.75317762</v>
      </c>
      <c r="S113" s="149">
        <f t="shared" si="10"/>
        <v>35654576.75317762</v>
      </c>
      <c r="T113" s="149">
        <f t="shared" si="10"/>
        <v>35654576.75317762</v>
      </c>
      <c r="U113" s="149">
        <f t="shared" si="10"/>
        <v>35654576.75317762</v>
      </c>
      <c r="V113" s="149">
        <f t="shared" si="10"/>
        <v>35654576.75317762</v>
      </c>
      <c r="W113" s="149">
        <f t="shared" si="10"/>
        <v>35654576.75317762</v>
      </c>
      <c r="X113" s="149">
        <f t="shared" si="10"/>
        <v>35654576.75317762</v>
      </c>
      <c r="Y113" s="149">
        <f t="shared" si="10"/>
        <v>35654576.75317762</v>
      </c>
      <c r="Z113" s="149">
        <f t="shared" si="10"/>
        <v>35654576.75317762</v>
      </c>
      <c r="AA113" s="149">
        <f t="shared" si="10"/>
        <v>35654576.75317762</v>
      </c>
      <c r="AB113" s="149">
        <f t="shared" si="10"/>
        <v>35654576.75317762</v>
      </c>
      <c r="AC113" s="149">
        <f t="shared" si="10"/>
        <v>35654576.75317762</v>
      </c>
      <c r="AD113" s="149">
        <f t="shared" si="10"/>
        <v>35654576.75317762</v>
      </c>
      <c r="AE113" s="149">
        <f t="shared" si="10"/>
        <v>35654576.75317762</v>
      </c>
      <c r="AF113" s="149">
        <f t="shared" si="10"/>
        <v>35654576.75317762</v>
      </c>
      <c r="AG113" s="149">
        <f t="shared" si="10"/>
        <v>35654576.75317762</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35654576.75317762</v>
      </c>
      <c r="E118" s="149">
        <f t="shared" ref="E118:AG118" si="13">E113+E115+E116</f>
        <v>35654576.75317762</v>
      </c>
      <c r="F118" s="149">
        <f>F113+F115+F116</f>
        <v>35654576.75317762</v>
      </c>
      <c r="G118" s="149">
        <f t="shared" si="13"/>
        <v>35654576.75317762</v>
      </c>
      <c r="H118" s="149">
        <f t="shared" si="13"/>
        <v>35654576.75317762</v>
      </c>
      <c r="I118" s="149">
        <f t="shared" si="13"/>
        <v>35654576.75317762</v>
      </c>
      <c r="J118" s="149">
        <f t="shared" si="13"/>
        <v>35654576.75317762</v>
      </c>
      <c r="K118" s="149">
        <f t="shared" si="13"/>
        <v>35654576.75317762</v>
      </c>
      <c r="L118" s="149">
        <f t="shared" si="13"/>
        <v>35654576.75317762</v>
      </c>
      <c r="M118" s="149">
        <f t="shared" si="13"/>
        <v>35654576.75317762</v>
      </c>
      <c r="N118" s="149">
        <f t="shared" si="13"/>
        <v>35654576.75317762</v>
      </c>
      <c r="O118" s="149">
        <f t="shared" si="13"/>
        <v>35654576.75317762</v>
      </c>
      <c r="P118" s="149">
        <f t="shared" si="13"/>
        <v>35654576.75317762</v>
      </c>
      <c r="Q118" s="149">
        <f t="shared" si="13"/>
        <v>35654576.75317762</v>
      </c>
      <c r="R118" s="149">
        <f t="shared" si="13"/>
        <v>35654576.75317762</v>
      </c>
      <c r="S118" s="149">
        <f t="shared" si="13"/>
        <v>35654576.75317762</v>
      </c>
      <c r="T118" s="149">
        <f t="shared" si="13"/>
        <v>35654576.75317762</v>
      </c>
      <c r="U118" s="149">
        <f t="shared" si="13"/>
        <v>35654576.75317762</v>
      </c>
      <c r="V118" s="149">
        <f t="shared" si="13"/>
        <v>35654576.75317762</v>
      </c>
      <c r="W118" s="149">
        <f t="shared" si="13"/>
        <v>35654576.75317762</v>
      </c>
      <c r="X118" s="149">
        <f t="shared" si="13"/>
        <v>35654576.75317762</v>
      </c>
      <c r="Y118" s="149">
        <f t="shared" si="13"/>
        <v>35654576.75317762</v>
      </c>
      <c r="Z118" s="149">
        <f t="shared" si="13"/>
        <v>35654576.75317762</v>
      </c>
      <c r="AA118" s="149">
        <f t="shared" si="13"/>
        <v>35654576.75317762</v>
      </c>
      <c r="AB118" s="149">
        <f t="shared" si="13"/>
        <v>35654576.75317762</v>
      </c>
      <c r="AC118" s="149">
        <f t="shared" si="13"/>
        <v>35654576.75317762</v>
      </c>
      <c r="AD118" s="149">
        <f t="shared" si="13"/>
        <v>35654576.75317762</v>
      </c>
      <c r="AE118" s="149">
        <f t="shared" si="13"/>
        <v>35654576.75317762</v>
      </c>
      <c r="AF118" s="149">
        <f t="shared" si="13"/>
        <v>35654576.75317762</v>
      </c>
      <c r="AG118" s="149">
        <f t="shared" si="13"/>
        <v>35654576.75317762</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855709.84207626281</v>
      </c>
      <c r="E120" s="149">
        <f>(SUM($D$118:E118)*$C$104/$C$106)+(SUM($D$118:E118)*$C$105/$C$107)</f>
        <v>1711419.6841525256</v>
      </c>
      <c r="F120" s="149">
        <f>(SUM($D$118:F118)*$C$104/$C$106)+(SUM($D$118:F118)*$C$105/$C$107)</f>
        <v>2567129.5262287892</v>
      </c>
      <c r="G120" s="149">
        <f>(SUM($D$118:G118)*$C$104/$C$106)+(SUM($D$118:G118)*$C$105/$C$107)</f>
        <v>3422839.3683050512</v>
      </c>
      <c r="H120" s="149">
        <f>(SUM($D$118:H118)*$C$104/$C$106)+(SUM($D$118:H118)*$C$105/$C$107)</f>
        <v>4278549.2103813142</v>
      </c>
      <c r="I120" s="149">
        <f>(SUM($D$118:I118)*$C$104/$C$106)+(SUM($D$118:I118)*$C$105/$C$107)</f>
        <v>5134259.0524575766</v>
      </c>
      <c r="J120" s="149">
        <f>(SUM($D$118:J118)*$C$104/$C$106)+(SUM($D$118:J118)*$C$105/$C$107)</f>
        <v>5989968.8945338391</v>
      </c>
      <c r="K120" s="149">
        <f>(SUM($D$118:K118)*$C$104/$C$106)+(SUM($D$118:K118)*$C$105/$C$107)</f>
        <v>6845678.7366101025</v>
      </c>
      <c r="L120" s="149">
        <f>(SUM($D$118:L118)*$C$104/$C$106)+(SUM($D$118:L118)*$C$105/$C$107)</f>
        <v>7701388.5786863668</v>
      </c>
      <c r="M120" s="149">
        <f>(SUM($D$118:M118)*$C$104/$C$106)+(SUM($D$118:M118)*$C$105/$C$107)</f>
        <v>8557098.4207626302</v>
      </c>
      <c r="N120" s="149">
        <f>(SUM($D$118:N118)*$C$104/$C$106)+(SUM($D$118:N118)*$C$105/$C$107)</f>
        <v>9412808.2628388926</v>
      </c>
      <c r="O120" s="149">
        <f>(SUM($D$118:O118)*$C$104/$C$106)+(SUM($D$118:O118)*$C$105/$C$107)</f>
        <v>10268518.104915157</v>
      </c>
      <c r="P120" s="149">
        <f>(SUM($D$118:P118)*$C$104/$C$106)+(SUM($D$118:P118)*$C$105/$C$107)</f>
        <v>11124227.946991421</v>
      </c>
      <c r="Q120" s="149">
        <f>(SUM($D$118:Q118)*$C$104/$C$106)+(SUM($D$118:Q118)*$C$105/$C$107)</f>
        <v>11979937.789067682</v>
      </c>
      <c r="R120" s="149">
        <f>(SUM($D$118:R118)*$C$104/$C$106)+(SUM($D$118:R118)*$C$105/$C$107)</f>
        <v>12835647.631143946</v>
      </c>
      <c r="S120" s="149">
        <f>(SUM($D$118:S118)*$C$104/$C$106)+(SUM($D$118:S118)*$C$105/$C$107)</f>
        <v>13691357.473220207</v>
      </c>
      <c r="T120" s="149">
        <f>(SUM($D$118:T118)*$C$104/$C$106)+(SUM($D$118:T118)*$C$105/$C$107)</f>
        <v>14547067.315296471</v>
      </c>
      <c r="U120" s="149">
        <f>(SUM($D$118:U118)*$C$104/$C$106)+(SUM($D$118:U118)*$C$105/$C$107)</f>
        <v>15402777.157372735</v>
      </c>
      <c r="V120" s="149">
        <f>(SUM($D$118:V118)*$C$104/$C$106)+(SUM($D$118:V118)*$C$105/$C$107)</f>
        <v>16258486.999448998</v>
      </c>
      <c r="W120" s="149">
        <f>(SUM($D$118:W118)*$C$104/$C$106)+(SUM($D$118:W118)*$C$105/$C$107)</f>
        <v>17114196.841525264</v>
      </c>
      <c r="X120" s="149">
        <f>(SUM($D$118:X118)*$C$104/$C$106)+(SUM($D$118:X118)*$C$105/$C$107)</f>
        <v>17969906.683601525</v>
      </c>
      <c r="Y120" s="149">
        <f>(SUM($D$118:Y118)*$C$104/$C$106)+(SUM($D$118:Y118)*$C$105/$C$107)</f>
        <v>18825616.525677789</v>
      </c>
      <c r="Z120" s="149">
        <f>(SUM($D$118:Z118)*$C$104/$C$106)+(SUM($D$118:Z118)*$C$105/$C$107)</f>
        <v>19681326.367754053</v>
      </c>
      <c r="AA120" s="149">
        <f>(SUM($D$118:AA118)*$C$104/$C$106)+(SUM($D$118:AA118)*$C$105/$C$107)</f>
        <v>20537036.209830318</v>
      </c>
      <c r="AB120" s="149">
        <f>(SUM($D$118:AB118)*$C$104/$C$106)+(SUM($D$118:AB118)*$C$105/$C$107)</f>
        <v>21392746.051906578</v>
      </c>
      <c r="AC120" s="149">
        <f>(SUM($D$118:AC118)*$C$104/$C$106)+(SUM($D$118:AC118)*$C$105/$C$107)</f>
        <v>22248455.893982846</v>
      </c>
      <c r="AD120" s="149">
        <f>(SUM($D$118:AD118)*$C$104/$C$106)+(SUM($D$118:AD118)*$C$105/$C$107)</f>
        <v>23104165.736059111</v>
      </c>
      <c r="AE120" s="149">
        <f>(SUM($D$118:AE118)*$C$104/$C$106)+(SUM($D$118:AE118)*$C$105/$C$107)</f>
        <v>23959875.578135371</v>
      </c>
      <c r="AF120" s="149">
        <f>(SUM($D$118:AF118)*$C$104/$C$106)+(SUM($D$118:AF118)*$C$105/$C$107)</f>
        <v>24815585.420211636</v>
      </c>
      <c r="AG120" s="149">
        <f>(SUM($D$118:AG118)*$C$104/$C$106)+(SUM($D$118:AG118)*$C$105/$C$107)</f>
        <v>25671295.2622879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1069637.3025953285</v>
      </c>
      <c r="E122" s="72">
        <f>(SUM($D$118:E118)*$C$109)</f>
        <v>2139274.6051906571</v>
      </c>
      <c r="F122" s="72">
        <f>(SUM($D$118:F118)*$C$109)</f>
        <v>3208911.9077859861</v>
      </c>
      <c r="G122" s="72">
        <f>(SUM($D$118:G118)*$C$109)</f>
        <v>4278549.2103813142</v>
      </c>
      <c r="H122" s="72">
        <f>(SUM($D$118:H118)*$C$109)</f>
        <v>5348186.5129766427</v>
      </c>
      <c r="I122" s="72">
        <f>(SUM($D$118:I118)*$C$109)</f>
        <v>6417823.8155719712</v>
      </c>
      <c r="J122" s="72">
        <f>(SUM($D$118:J118)*$C$109)</f>
        <v>7487461.1181672998</v>
      </c>
      <c r="K122" s="72">
        <f>(SUM($D$118:K118)*$C$109)</f>
        <v>8557098.4207626283</v>
      </c>
      <c r="L122" s="72">
        <f>(SUM($D$118:L118)*$C$109)</f>
        <v>9626735.7233579587</v>
      </c>
      <c r="M122" s="72">
        <f>(SUM($D$118:M118)*$C$109)</f>
        <v>10696373.025953287</v>
      </c>
      <c r="N122" s="72">
        <f>(SUM($D$118:N118)*$C$109)</f>
        <v>11766010.328548616</v>
      </c>
      <c r="O122" s="72">
        <f>(SUM($D$118:O118)*$C$109)</f>
        <v>12835647.631143946</v>
      </c>
      <c r="P122" s="72">
        <f>(SUM($D$118:P118)*$C$109)</f>
        <v>13905284.933739275</v>
      </c>
      <c r="Q122" s="72">
        <f>(SUM($D$118:Q118)*$C$109)</f>
        <v>14974922.236334603</v>
      </c>
      <c r="R122" s="72">
        <f>(SUM($D$118:R118)*$C$109)</f>
        <v>16044559.538929934</v>
      </c>
      <c r="S122" s="72">
        <f>(SUM($D$118:S118)*$C$109)</f>
        <v>17114196.84152526</v>
      </c>
      <c r="T122" s="72">
        <f>(SUM($D$118:T118)*$C$109)</f>
        <v>18183834.144120589</v>
      </c>
      <c r="U122" s="72">
        <f>(SUM($D$118:U118)*$C$109)</f>
        <v>19253471.446715917</v>
      </c>
      <c r="V122" s="72">
        <f>(SUM($D$118:V118)*$C$109)</f>
        <v>20323108.74931125</v>
      </c>
      <c r="W122" s="72">
        <f>(SUM($D$118:W118)*$C$109)</f>
        <v>21392746.051906578</v>
      </c>
      <c r="X122" s="72">
        <f>(SUM($D$118:X118)*$C$109)</f>
        <v>22462383.354501907</v>
      </c>
      <c r="Y122" s="72">
        <f>(SUM($D$118:Y118)*$C$109)</f>
        <v>23532020.657097235</v>
      </c>
      <c r="Z122" s="72">
        <f>(SUM($D$118:Z118)*$C$109)</f>
        <v>24601657.959692564</v>
      </c>
      <c r="AA122" s="72">
        <f>(SUM($D$118:AA118)*$C$109)</f>
        <v>25671295.262287896</v>
      </c>
      <c r="AB122" s="72">
        <f>(SUM($D$118:AB118)*$C$109)</f>
        <v>26740932.564883225</v>
      </c>
      <c r="AC122" s="72">
        <f>(SUM($D$118:AC118)*$C$109)</f>
        <v>27810569.867478553</v>
      </c>
      <c r="AD122" s="72">
        <f>(SUM($D$118:AD118)*$C$109)</f>
        <v>28880207.170073882</v>
      </c>
      <c r="AE122" s="72">
        <f>(SUM($D$118:AE118)*$C$109)</f>
        <v>29949844.47266921</v>
      </c>
      <c r="AF122" s="72">
        <f>(SUM($D$118:AF118)*$C$109)</f>
        <v>31019481.775264543</v>
      </c>
      <c r="AG122" s="72">
        <f>(SUM($D$118:AG118)*$C$109)</f>
        <v>32089119.077859871</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197</v>
      </c>
      <c r="C126" s="126">
        <v>15550</v>
      </c>
      <c r="D126" s="140"/>
    </row>
    <row r="127" spans="1:33" x14ac:dyDescent="0.35">
      <c r="A127" s="77" t="s">
        <v>150</v>
      </c>
      <c r="B127" s="77" t="s">
        <v>133</v>
      </c>
      <c r="C127" s="126">
        <v>15550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15550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ht="31" x14ac:dyDescent="0.35">
      <c r="A133" s="77" t="s">
        <v>155</v>
      </c>
      <c r="B133" s="106"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5759.2592592592591</v>
      </c>
      <c r="D135" s="157">
        <f t="shared" ref="D135:AG135" si="14">$C$135*D13</f>
        <v>5826.5084207989466</v>
      </c>
      <c r="E135" s="157">
        <f t="shared" si="14"/>
        <v>5894.5428308444243</v>
      </c>
      <c r="F135" s="157">
        <f t="shared" si="14"/>
        <v>5963.3716585095017</v>
      </c>
      <c r="G135" s="157">
        <f t="shared" si="14"/>
        <v>6033.0041799730143</v>
      </c>
      <c r="H135" s="157">
        <f t="shared" si="14"/>
        <v>6103.4497797289787</v>
      </c>
      <c r="I135" s="157">
        <f t="shared" si="14"/>
        <v>6174.7179518513703</v>
      </c>
      <c r="J135" s="157">
        <f t="shared" si="14"/>
        <v>6246.8183012736436</v>
      </c>
      <c r="K135" s="157">
        <f t="shared" si="14"/>
        <v>6319.760545083217</v>
      </c>
      <c r="L135" s="157">
        <f t="shared" si="14"/>
        <v>6393.5545138310499</v>
      </c>
      <c r="M135" s="157">
        <f t="shared" si="14"/>
        <v>6468.2101528565317</v>
      </c>
      <c r="N135" s="157">
        <f t="shared" si="14"/>
        <v>6543.7375236278276</v>
      </c>
      <c r="O135" s="157">
        <f t="shared" si="14"/>
        <v>6620.146805097882</v>
      </c>
      <c r="P135" s="157">
        <f t="shared" si="14"/>
        <v>6697.448295076254</v>
      </c>
      <c r="Q135" s="157">
        <f t="shared" si="14"/>
        <v>6775.6524116169658</v>
      </c>
      <c r="R135" s="157">
        <f t="shared" si="14"/>
        <v>6854.7696944225681</v>
      </c>
      <c r="S135" s="157">
        <f t="shared" si="14"/>
        <v>6934.8108062645915</v>
      </c>
      <c r="T135" s="157">
        <f t="shared" si="14"/>
        <v>7015.7865344205829</v>
      </c>
      <c r="U135" s="157">
        <f t="shared" si="14"/>
        <v>7097.7077921279333</v>
      </c>
      <c r="V135" s="157">
        <f t="shared" si="14"/>
        <v>7180.5856200546605</v>
      </c>
      <c r="W135" s="157">
        <f t="shared" si="14"/>
        <v>7264.4311877873988</v>
      </c>
      <c r="X135" s="157">
        <f t="shared" si="14"/>
        <v>7349.2557953367186</v>
      </c>
      <c r="Y135" s="157">
        <f t="shared" si="14"/>
        <v>7435.0708746600694</v>
      </c>
      <c r="Z135" s="157">
        <f t="shared" si="14"/>
        <v>7521.887991202475</v>
      </c>
      <c r="AA135" s="157">
        <f t="shared" si="14"/>
        <v>7609.7188454552279</v>
      </c>
      <c r="AB135" s="157">
        <f t="shared" si="14"/>
        <v>7698.5752745327836</v>
      </c>
      <c r="AC135" s="157">
        <f t="shared" si="14"/>
        <v>7788.469253768073</v>
      </c>
      <c r="AD135" s="157">
        <f t="shared" si="14"/>
        <v>7879.4128983264345</v>
      </c>
      <c r="AE135" s="157">
        <f t="shared" si="14"/>
        <v>7971.4184648384035</v>
      </c>
      <c r="AF135" s="157">
        <f t="shared" si="14"/>
        <v>8064.4983530515474</v>
      </c>
      <c r="AG135" s="157">
        <f t="shared" si="14"/>
        <v>8158.6651075016089</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activeCell="A2" sqref="A1:XFD1048576"/>
      <selection pane="topRight" activeCell="A2"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0.8</v>
      </c>
      <c r="F4" s="65">
        <v>0.6</v>
      </c>
      <c r="G4" s="65">
        <v>0.35</v>
      </c>
      <c r="H4" s="65">
        <v>0.2</v>
      </c>
      <c r="I4" s="65">
        <v>0.2</v>
      </c>
      <c r="J4" s="65">
        <v>0.1</v>
      </c>
      <c r="K4" s="65">
        <v>0.08</v>
      </c>
      <c r="L4" s="65">
        <v>0.08</v>
      </c>
      <c r="M4" s="65">
        <v>0.08</v>
      </c>
      <c r="N4" s="65">
        <v>0.06</v>
      </c>
      <c r="O4" s="65">
        <v>5.5E-2</v>
      </c>
      <c r="P4" s="65">
        <v>0.05</v>
      </c>
      <c r="Q4" s="65">
        <v>0.05</v>
      </c>
      <c r="R4" s="65">
        <v>0.05</v>
      </c>
      <c r="S4" s="65">
        <v>0.05</v>
      </c>
      <c r="T4" s="65">
        <v>0.05</v>
      </c>
      <c r="U4" s="65">
        <v>0.05</v>
      </c>
      <c r="V4" s="65">
        <v>0.05</v>
      </c>
      <c r="W4" s="65">
        <v>4.4999999999999998E-2</v>
      </c>
      <c r="X4" s="65">
        <v>0.04</v>
      </c>
      <c r="Y4" s="65">
        <v>0.04</v>
      </c>
      <c r="Z4" s="65">
        <v>0.04</v>
      </c>
      <c r="AA4" s="65">
        <v>0.04</v>
      </c>
      <c r="AB4" s="65">
        <v>0.04</v>
      </c>
      <c r="AC4" s="65">
        <v>0.04</v>
      </c>
      <c r="AD4" s="65">
        <v>0.03</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2.4853256408522566</v>
      </c>
      <c r="C6" s="25"/>
      <c r="D6" s="25"/>
      <c r="E6" s="27">
        <f>'Debt worksheet'!C5/'Profit and Loss'!C5</f>
        <v>1.3511697901397615</v>
      </c>
      <c r="F6" s="28">
        <f ca="1">'Debt worksheet'!D5/'Profit and Loss'!D5</f>
        <v>2.1239496131908675</v>
      </c>
      <c r="G6" s="28">
        <f ca="1">'Debt worksheet'!E5/'Profit and Loss'!E5</f>
        <v>2.3493234620392687</v>
      </c>
      <c r="H6" s="28">
        <f ca="1">'Debt worksheet'!F5/'Profit and Loss'!F5</f>
        <v>2.4756587061554356</v>
      </c>
      <c r="I6" s="28">
        <f ca="1">'Debt worksheet'!G5/'Profit and Loss'!G5</f>
        <v>2.4285190940663428</v>
      </c>
      <c r="J6" s="28">
        <f ca="1">'Debt worksheet'!H5/'Profit and Loss'!H5</f>
        <v>2.4541370635815332</v>
      </c>
      <c r="K6" s="28">
        <f ca="1">'Debt worksheet'!I5/'Profit and Loss'!I5</f>
        <v>2.4780315570256355</v>
      </c>
      <c r="L6" s="28">
        <f ca="1">'Debt worksheet'!J5/'Profit and Loss'!J5</f>
        <v>2.4746084966329431</v>
      </c>
      <c r="M6" s="28">
        <f ca="1">'Debt worksheet'!K5/'Profit and Loss'!K5</f>
        <v>2.4444463169391017</v>
      </c>
      <c r="N6" s="28">
        <f ca="1">'Debt worksheet'!L5/'Profit and Loss'!L5</f>
        <v>2.4333518489405987</v>
      </c>
      <c r="O6" s="28">
        <f ca="1">'Debt worksheet'!M5/'Profit and Loss'!M5</f>
        <v>2.4245684822317766</v>
      </c>
      <c r="P6" s="28">
        <f ca="1">'Debt worksheet'!N5/'Profit and Loss'!N5</f>
        <v>2.4217664682194702</v>
      </c>
      <c r="Q6" s="28">
        <f ca="1">'Debt worksheet'!O5/'Profit and Loss'!O5</f>
        <v>2.4170996892148198</v>
      </c>
      <c r="R6" s="28">
        <f ca="1">'Debt worksheet'!P5/'Profit and Loss'!P5</f>
        <v>2.4096149093176789</v>
      </c>
      <c r="S6" s="28">
        <f ca="1">'Debt worksheet'!Q5/'Profit and Loss'!Q5</f>
        <v>2.3984523386345185</v>
      </c>
      <c r="T6" s="28">
        <f ca="1">'Debt worksheet'!R5/'Profit and Loss'!R5</f>
        <v>2.3828396696511258</v>
      </c>
      <c r="U6" s="28">
        <f ca="1">'Debt worksheet'!S5/'Profit and Loss'!S5</f>
        <v>2.3620864327378186</v>
      </c>
      <c r="V6" s="28">
        <f ca="1">'Debt worksheet'!T5/'Profit and Loss'!T5</f>
        <v>2.335578655239027</v>
      </c>
      <c r="W6" s="28">
        <f ca="1">'Debt worksheet'!U5/'Profit and Loss'!U5</f>
        <v>2.3137918658189927</v>
      </c>
      <c r="X6" s="28">
        <f ca="1">'Debt worksheet'!V5/'Profit and Loss'!V5</f>
        <v>2.3006028453341294</v>
      </c>
      <c r="Y6" s="28">
        <f ca="1">'Debt worksheet'!W5/'Profit and Loss'!W5</f>
        <v>2.2889396072056121</v>
      </c>
      <c r="Z6" s="28">
        <f ca="1">'Debt worksheet'!X5/'Profit and Loss'!X5</f>
        <v>2.278161806980636</v>
      </c>
      <c r="AA6" s="28">
        <f ca="1">'Debt worksheet'!Y5/'Profit and Loss'!Y5</f>
        <v>2.2676686109793383</v>
      </c>
      <c r="AB6" s="28">
        <f ca="1">'Debt worksheet'!Z5/'Profit and Loss'!Z5</f>
        <v>2.2568969618670391</v>
      </c>
      <c r="AC6" s="28">
        <f ca="1">'Debt worksheet'!AA5/'Profit and Loss'!AA5</f>
        <v>2.2453199102407608</v>
      </c>
      <c r="AD6" s="28">
        <f ca="1">'Debt worksheet'!AB5/'Profit and Loss'!AB5</f>
        <v>2.2541192332919007</v>
      </c>
      <c r="AE6" s="28">
        <f ca="1">'Debt worksheet'!AC5/'Profit and Loss'!AC5</f>
        <v>2.288516126481273</v>
      </c>
      <c r="AF6" s="28">
        <f ca="1">'Debt worksheet'!AD5/'Profit and Loss'!AD5</f>
        <v>2.3386433644965838</v>
      </c>
      <c r="AG6" s="28">
        <f ca="1">'Debt worksheet'!AE5/'Profit and Loss'!AE5</f>
        <v>2.4043093428531397</v>
      </c>
      <c r="AH6" s="28">
        <f ca="1">'Debt worksheet'!AF5/'Profit and Loss'!AF5</f>
        <v>2.4853256408522566</v>
      </c>
      <c r="AI6" s="31"/>
    </row>
    <row r="7" spans="1:35" ht="21" x14ac:dyDescent="0.5">
      <c r="A7" s="19" t="s">
        <v>39</v>
      </c>
      <c r="B7" s="26">
        <f ca="1">MIN('Price and Financial ratios'!E7:AH7)</f>
        <v>0.22828116343124827</v>
      </c>
      <c r="C7" s="26"/>
      <c r="D7" s="26"/>
      <c r="E7" s="56">
        <f ca="1">'Cash Flow'!C7/'Debt worksheet'!C5</f>
        <v>0.37493336620060486</v>
      </c>
      <c r="F7" s="32">
        <f ca="1">'Cash Flow'!D7/'Debt worksheet'!D5</f>
        <v>0.28495756285902074</v>
      </c>
      <c r="G7" s="32">
        <f ca="1">'Cash Flow'!E7/'Debt worksheet'!E5</f>
        <v>0.27595875786615798</v>
      </c>
      <c r="H7" s="32">
        <f ca="1">'Cash Flow'!F7/'Debt worksheet'!F5</f>
        <v>0.26648225314126972</v>
      </c>
      <c r="I7" s="32">
        <f ca="1">'Cash Flow'!G7/'Debt worksheet'!G5</f>
        <v>0.27996433837191326</v>
      </c>
      <c r="J7" s="32">
        <f ca="1">'Cash Flow'!H7/'Debt worksheet'!H5</f>
        <v>0.27551473988664099</v>
      </c>
      <c r="K7" s="32">
        <f ca="1">'Cash Flow'!I7/'Debt worksheet'!I5</f>
        <v>0.27023648243962833</v>
      </c>
      <c r="L7" s="32">
        <f ca="1">'Cash Flow'!J7/'Debt worksheet'!J5</f>
        <v>0.26912632155417149</v>
      </c>
      <c r="M7" s="17">
        <f ca="1">'Cash Flow'!K7/'Debt worksheet'!K5</f>
        <v>0.27200480944435412</v>
      </c>
      <c r="N7" s="17">
        <f ca="1">'Cash Flow'!L7/'Debt worksheet'!L5</f>
        <v>0.27090581458730184</v>
      </c>
      <c r="O7" s="17">
        <f ca="1">'Cash Flow'!M7/'Debt worksheet'!M5</f>
        <v>0.26941467501332156</v>
      </c>
      <c r="P7" s="17">
        <f ca="1">'Cash Flow'!N7/'Debt worksheet'!N5</f>
        <v>0.26699769505317467</v>
      </c>
      <c r="Q7" s="17">
        <f ca="1">'Cash Flow'!O7/'Debt worksheet'!O5</f>
        <v>0.26518377068139193</v>
      </c>
      <c r="R7" s="17">
        <f ca="1">'Cash Flow'!P7/'Debt worksheet'!P5</f>
        <v>0.26406657516334353</v>
      </c>
      <c r="S7" s="17">
        <f ca="1">'Cash Flow'!Q7/'Debt worksheet'!Q5</f>
        <v>0.26373300503655955</v>
      </c>
      <c r="T7" s="17">
        <f ca="1">'Cash Flow'!R7/'Debt worksheet'!R5</f>
        <v>0.26426780671164585</v>
      </c>
      <c r="U7" s="17">
        <f ca="1">'Cash Flow'!S7/'Debt worksheet'!S5</f>
        <v>0.26575838701857507</v>
      </c>
      <c r="V7" s="17">
        <f ca="1">'Cash Flow'!T7/'Debt worksheet'!T5</f>
        <v>0.26829992502289107</v>
      </c>
      <c r="W7" s="17">
        <f ca="1">'Cash Flow'!U7/'Debt worksheet'!U5</f>
        <v>0.2698581138128992</v>
      </c>
      <c r="X7" s="17">
        <f ca="1">'Cash Flow'!V7/'Debt worksheet'!V5</f>
        <v>0.26984151805095813</v>
      </c>
      <c r="Y7" s="17">
        <f ca="1">'Cash Flow'!W7/'Debt worksheet'!W5</f>
        <v>0.26983219333763625</v>
      </c>
      <c r="Z7" s="17">
        <f ca="1">'Cash Flow'!X7/'Debt worksheet'!X5</f>
        <v>0.26990573388060535</v>
      </c>
      <c r="AA7" s="17">
        <f ca="1">'Cash Flow'!Y7/'Debt worksheet'!Y5</f>
        <v>0.27013420754771938</v>
      </c>
      <c r="AB7" s="17">
        <f ca="1">'Cash Flow'!Z7/'Debt worksheet'!Z5</f>
        <v>0.27058640373047943</v>
      </c>
      <c r="AC7" s="17">
        <f ca="1">'Cash Flow'!AA7/'Debt worksheet'!AA5</f>
        <v>0.27132841446024314</v>
      </c>
      <c r="AD7" s="17">
        <f ca="1">'Cash Flow'!AB7/'Debt worksheet'!AB5</f>
        <v>0.26796117187688068</v>
      </c>
      <c r="AE7" s="17">
        <f ca="1">'Cash Flow'!AC7/'Debt worksheet'!AC5</f>
        <v>0.26017034875173695</v>
      </c>
      <c r="AF7" s="17">
        <f ca="1">'Cash Flow'!AD7/'Debt worksheet'!AD5</f>
        <v>0.25075241688355088</v>
      </c>
      <c r="AG7" s="17">
        <f ca="1">'Cash Flow'!AE7/'Debt worksheet'!AE5</f>
        <v>0.2400144791255753</v>
      </c>
      <c r="AH7" s="17">
        <f ca="1">'Cash Flow'!AF7/'Debt worksheet'!AF5</f>
        <v>0.22828116343124827</v>
      </c>
      <c r="AI7" s="29"/>
    </row>
    <row r="8" spans="1:35" ht="21" x14ac:dyDescent="0.5">
      <c r="A8" s="19" t="s">
        <v>34</v>
      </c>
      <c r="B8" s="26">
        <f ca="1">MAX('Price and Financial ratios'!E8:AH8)</f>
        <v>0.66570734884527405</v>
      </c>
      <c r="C8" s="26"/>
      <c r="D8" s="176"/>
      <c r="E8" s="17">
        <f>'Balance Sheet'!B11/'Balance Sheet'!B8</f>
        <v>0.26066732526422315</v>
      </c>
      <c r="F8" s="17">
        <f ca="1">'Balance Sheet'!C11/'Balance Sheet'!C8</f>
        <v>0.63512204326508725</v>
      </c>
      <c r="G8" s="17">
        <f ca="1">'Balance Sheet'!D11/'Balance Sheet'!D8</f>
        <v>0.66570734884527405</v>
      </c>
      <c r="H8" s="17">
        <f ca="1">'Balance Sheet'!E11/'Balance Sheet'!E8</f>
        <v>0.64727827017285688</v>
      </c>
      <c r="I8" s="17">
        <f ca="1">'Balance Sheet'!F11/'Balance Sheet'!F8</f>
        <v>0.6179371363197389</v>
      </c>
      <c r="J8" s="17">
        <f ca="1">'Balance Sheet'!G11/'Balance Sheet'!G8</f>
        <v>0.57691645595409391</v>
      </c>
      <c r="K8" s="17">
        <f ca="1">'Balance Sheet'!H11/'Balance Sheet'!H8</f>
        <v>0.54163823795973487</v>
      </c>
      <c r="L8" s="17">
        <f ca="1">'Balance Sheet'!I11/'Balance Sheet'!I8</f>
        <v>0.5122675019076095</v>
      </c>
      <c r="M8" s="17">
        <f ca="1">'Balance Sheet'!J11/'Balance Sheet'!J8</f>
        <v>0.48612012369450597</v>
      </c>
      <c r="N8" s="17">
        <f ca="1">'Balance Sheet'!K11/'Balance Sheet'!K8</f>
        <v>0.46147295047243936</v>
      </c>
      <c r="O8" s="17">
        <f ca="1">'Balance Sheet'!L11/'Balance Sheet'!L8</f>
        <v>0.44046477171170012</v>
      </c>
      <c r="P8" s="17">
        <f ca="1">'Balance Sheet'!M11/'Balance Sheet'!M8</f>
        <v>0.42267832253495879</v>
      </c>
      <c r="Q8" s="17">
        <f ca="1">'Balance Sheet'!N11/'Balance Sheet'!N8</f>
        <v>0.40792408226009885</v>
      </c>
      <c r="R8" s="17">
        <f ca="1">'Balance Sheet'!O11/'Balance Sheet'!O8</f>
        <v>0.39539942910544873</v>
      </c>
      <c r="S8" s="17">
        <f ca="1">'Balance Sheet'!P11/'Balance Sheet'!P8</f>
        <v>0.38449685662488287</v>
      </c>
      <c r="T8" s="17">
        <f ca="1">'Balance Sheet'!Q11/'Balance Sheet'!Q8</f>
        <v>0.37474382885403146</v>
      </c>
      <c r="U8" s="17">
        <f ca="1">'Balance Sheet'!R11/'Balance Sheet'!R8</f>
        <v>0.36576337031563666</v>
      </c>
      <c r="V8" s="17">
        <f ca="1">'Balance Sheet'!S11/'Balance Sheet'!S8</f>
        <v>0.35724749626726188</v>
      </c>
      <c r="W8" s="17">
        <f ca="1">'Balance Sheet'!T11/'Balance Sheet'!T8</f>
        <v>0.34893884630590877</v>
      </c>
      <c r="X8" s="17">
        <f ca="1">'Balance Sheet'!U11/'Balance Sheet'!U8</f>
        <v>0.34131684921094391</v>
      </c>
      <c r="Y8" s="17">
        <f ca="1">'Balance Sheet'!V11/'Balance Sheet'!V8</f>
        <v>0.33485309545741226</v>
      </c>
      <c r="Z8" s="17">
        <f ca="1">'Balance Sheet'!W11/'Balance Sheet'!W8</f>
        <v>0.32932578563169534</v>
      </c>
      <c r="AA8" s="17">
        <f ca="1">'Balance Sheet'!X11/'Balance Sheet'!X8</f>
        <v>0.32454594326304154</v>
      </c>
      <c r="AB8" s="17">
        <f ca="1">'Balance Sheet'!Y11/'Balance Sheet'!Y8</f>
        <v>0.32035049950565492</v>
      </c>
      <c r="AC8" s="17">
        <f ca="1">'Balance Sheet'!Z11/'Balance Sheet'!Z8</f>
        <v>0.31659700813337127</v>
      </c>
      <c r="AD8" s="17">
        <f ca="1">'Balance Sheet'!AA11/'Balance Sheet'!AA8</f>
        <v>0.3131595582814834</v>
      </c>
      <c r="AE8" s="17">
        <f ca="1">'Balance Sheet'!AB11/'Balance Sheet'!AB8</f>
        <v>0.31124899600010342</v>
      </c>
      <c r="AF8" s="17">
        <f ca="1">'Balance Sheet'!AC11/'Balance Sheet'!AC8</f>
        <v>0.31176674807387983</v>
      </c>
      <c r="AG8" s="17">
        <f ca="1">'Balance Sheet'!AD11/'Balance Sheet'!AD8</f>
        <v>0.31453901795269723</v>
      </c>
      <c r="AH8" s="17">
        <f ca="1">'Balance Sheet'!AE11/'Balance Sheet'!AE8</f>
        <v>0.31941583015077818</v>
      </c>
      <c r="AI8" s="29"/>
    </row>
    <row r="9" spans="1:35" ht="21.5" thickBot="1" x14ac:dyDescent="0.55000000000000004">
      <c r="A9" s="20" t="s">
        <v>33</v>
      </c>
      <c r="B9" s="21">
        <f ca="1">MIN('Price and Financial ratios'!E9:AH9)</f>
        <v>5.2100769296644369</v>
      </c>
      <c r="C9" s="21"/>
      <c r="D9" s="177"/>
      <c r="E9" s="21">
        <f ca="1">('Cash Flow'!C7+'Profit and Loss'!C8)/('Profit and Loss'!C8)</f>
        <v>5.2100769296644369</v>
      </c>
      <c r="F9" s="21">
        <f ca="1">('Cash Flow'!D7+'Profit and Loss'!D8)/('Profit and Loss'!D8)</f>
        <v>6.38937023512349</v>
      </c>
      <c r="G9" s="21">
        <f ca="1">('Cash Flow'!E7+'Profit and Loss'!E8)/('Profit and Loss'!E8)</f>
        <v>7.1631847281902088</v>
      </c>
      <c r="H9" s="21">
        <f ca="1">('Cash Flow'!F7+'Profit and Loss'!F8)/('Profit and Loss'!F8)</f>
        <v>7.3933208826421932</v>
      </c>
      <c r="I9" s="21">
        <f ca="1">('Cash Flow'!G7+'Profit and Loss'!G8)/('Profit and Loss'!G8)</f>
        <v>8.1128384356521845</v>
      </c>
      <c r="J9" s="21">
        <f ca="1">('Cash Flow'!H7+'Profit and Loss'!H8)/('Profit and Loss'!H8)</f>
        <v>8.1351526842173065</v>
      </c>
      <c r="K9" s="21">
        <f ca="1">('Cash Flow'!I7+'Profit and Loss'!I8)/('Profit and Loss'!I8)</f>
        <v>8.076373754425779</v>
      </c>
      <c r="L9" s="21">
        <f ca="1">('Cash Flow'!J7+'Profit and Loss'!J8)/('Profit and Loss'!J8)</f>
        <v>8.1244053656516666</v>
      </c>
      <c r="M9" s="21">
        <f ca="1">('Cash Flow'!K7+'Profit and Loss'!K8)/('Profit and Loss'!K8)</f>
        <v>8.2800861437018227</v>
      </c>
      <c r="N9" s="21">
        <f ca="1">('Cash Flow'!L7+'Profit and Loss'!L8)/('Profit and Loss'!L8)</f>
        <v>8.2782426093952992</v>
      </c>
      <c r="O9" s="21">
        <f ca="1">('Cash Flow'!M7+'Profit and Loss'!M8)/('Profit and Loss'!M8)</f>
        <v>8.2547817034308526</v>
      </c>
      <c r="P9" s="21">
        <f ca="1">('Cash Flow'!N7+'Profit and Loss'!N8)/('Profit and Loss'!N8)</f>
        <v>8.1952538187014508</v>
      </c>
      <c r="Q9" s="21">
        <f ca="1">('Cash Flow'!O7+'Profit and Loss'!O8)/('Profit and Loss'!O8)</f>
        <v>8.1547550484302604</v>
      </c>
      <c r="R9" s="21">
        <f ca="1">('Cash Flow'!P7+'Profit and Loss'!P8)/('Profit and Loss'!P8)</f>
        <v>8.1356064463435676</v>
      </c>
      <c r="S9" s="21">
        <f ca="1">('Cash Flow'!Q7+'Profit and Loss'!Q8)/('Profit and Loss'!Q8)</f>
        <v>8.1400567176884326</v>
      </c>
      <c r="T9" s="21">
        <f ca="1">('Cash Flow'!R7+'Profit and Loss'!R8)/('Profit and Loss'!R8)</f>
        <v>8.1704135504304336</v>
      </c>
      <c r="U9" s="21">
        <f ca="1">('Cash Flow'!S7+'Profit and Loss'!S8)/('Profit and Loss'!S8)</f>
        <v>8.2291822584527363</v>
      </c>
      <c r="V9" s="21">
        <f ca="1">('Cash Flow'!T7+'Profit and Loss'!T8)/('Profit and Loss'!T8)</f>
        <v>8.3192178693025589</v>
      </c>
      <c r="W9" s="21">
        <f ca="1">('Cash Flow'!U7+'Profit and Loss'!U8)/('Profit and Loss'!U8)</f>
        <v>8.3701272279276822</v>
      </c>
      <c r="X9" s="21">
        <f ca="1">('Cash Flow'!V7+'Profit and Loss'!V8)/('Profit and Loss'!V8)</f>
        <v>8.3650034895948373</v>
      </c>
      <c r="Y9" s="21">
        <f ca="1">('Cash Flow'!W7+'Profit and Loss'!W8)/('Profit and Loss'!W8)</f>
        <v>8.3620777230410681</v>
      </c>
      <c r="Z9" s="21">
        <f ca="1">('Cash Flow'!X7+'Profit and Loss'!X8)/('Profit and Loss'!X8)</f>
        <v>8.363324768777435</v>
      </c>
      <c r="AA9" s="21">
        <f ca="1">('Cash Flow'!Y7+'Profit and Loss'!Y8)/('Profit and Loss'!Y8)</f>
        <v>8.3706248475650007</v>
      </c>
      <c r="AB9" s="21">
        <f ca="1">('Cash Flow'!Z7+'Profit and Loss'!Z8)/('Profit and Loss'!Z8)</f>
        <v>8.3857795747030774</v>
      </c>
      <c r="AC9" s="21">
        <f ca="1">('Cash Flow'!AA7+'Profit and Loss'!AA8)/('Profit and Loss'!AA8)</f>
        <v>8.4105356602321013</v>
      </c>
      <c r="AD9" s="21">
        <f ca="1">('Cash Flow'!AB7+'Profit and Loss'!AB8)/('Profit and Loss'!AB8)</f>
        <v>8.2934680792368596</v>
      </c>
      <c r="AE9" s="21">
        <f ca="1">('Cash Flow'!AC7+'Profit and Loss'!AC8)/('Profit and Loss'!AC8)</f>
        <v>8.0353723641119217</v>
      </c>
      <c r="AF9" s="21">
        <f ca="1">('Cash Flow'!AD7+'Profit and Loss'!AD8)/('Profit and Loss'!AD8)</f>
        <v>7.739972003724823</v>
      </c>
      <c r="AG9" s="21">
        <f ca="1">('Cash Flow'!AE7+'Profit and Loss'!AE8)/('Profit and Loss'!AE8)</f>
        <v>7.4162872118007073</v>
      </c>
      <c r="AH9" s="21">
        <f ca="1">('Cash Flow'!AF7+'Profit and Loss'!AF8)/('Profit and Loss'!AF8)</f>
        <v>7.073225205735719</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activeCell="A2"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activeCell="A2" sqref="A1:XFD1048576"/>
      <selection pane="topRight" activeCell="A2"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2305398.3645487279</v>
      </c>
      <c r="D5" s="1">
        <f>Assumptions!E111</f>
        <v>2305398.3645487279</v>
      </c>
      <c r="E5" s="1">
        <f>Assumptions!F111</f>
        <v>2305398.3645487279</v>
      </c>
      <c r="F5" s="1">
        <f>Assumptions!G111</f>
        <v>2305398.3645487279</v>
      </c>
      <c r="G5" s="1">
        <f>Assumptions!H111</f>
        <v>2305398.3645487279</v>
      </c>
      <c r="H5" s="1">
        <f>Assumptions!I111</f>
        <v>2305398.3645487279</v>
      </c>
      <c r="I5" s="1">
        <f>Assumptions!J111</f>
        <v>2305398.3645487279</v>
      </c>
      <c r="J5" s="1">
        <f>Assumptions!K111</f>
        <v>2305398.3645487279</v>
      </c>
      <c r="K5" s="1">
        <f>Assumptions!L111</f>
        <v>2305398.3645487279</v>
      </c>
      <c r="L5" s="1">
        <f>Assumptions!M111</f>
        <v>2305398.3645487279</v>
      </c>
      <c r="M5" s="1">
        <f>Assumptions!N111</f>
        <v>2305398.3645487279</v>
      </c>
      <c r="N5" s="1">
        <f>Assumptions!O111</f>
        <v>2305398.3645487279</v>
      </c>
      <c r="O5" s="1">
        <f>Assumptions!P111</f>
        <v>2305398.3645487279</v>
      </c>
      <c r="P5" s="1">
        <f>Assumptions!Q111</f>
        <v>2305398.3645487279</v>
      </c>
      <c r="Q5" s="1">
        <f>Assumptions!R111</f>
        <v>2305398.3645487279</v>
      </c>
      <c r="R5" s="1">
        <f>Assumptions!S111</f>
        <v>2305398.3645487279</v>
      </c>
      <c r="S5" s="1">
        <f>Assumptions!T111</f>
        <v>2305398.3645487279</v>
      </c>
      <c r="T5" s="1">
        <f>Assumptions!U111</f>
        <v>2305398.3645487279</v>
      </c>
      <c r="U5" s="1">
        <f>Assumptions!V111</f>
        <v>2305398.3645487279</v>
      </c>
      <c r="V5" s="1">
        <f>Assumptions!W111</f>
        <v>2305398.3645487279</v>
      </c>
      <c r="W5" s="1">
        <f>Assumptions!X111</f>
        <v>2305398.3645487279</v>
      </c>
      <c r="X5" s="1">
        <f>Assumptions!Y111</f>
        <v>2305398.3645487279</v>
      </c>
      <c r="Y5" s="1">
        <f>Assumptions!Z111</f>
        <v>2305398.3645487279</v>
      </c>
      <c r="Z5" s="1">
        <f>Assumptions!AA111</f>
        <v>2305398.3645487279</v>
      </c>
      <c r="AA5" s="1">
        <f>Assumptions!AB111</f>
        <v>2305398.3645487279</v>
      </c>
      <c r="AB5" s="1">
        <f>Assumptions!AC111</f>
        <v>2305398.3645487279</v>
      </c>
      <c r="AC5" s="1">
        <f>Assumptions!AD111</f>
        <v>2305398.3645487279</v>
      </c>
      <c r="AD5" s="1">
        <f>Assumptions!AE111</f>
        <v>2305398.3645487279</v>
      </c>
      <c r="AE5" s="1">
        <f>Assumptions!AF111</f>
        <v>2305398.3645487279</v>
      </c>
      <c r="AF5" s="1">
        <f>Assumptions!AG111</f>
        <v>2305398.3645487279</v>
      </c>
    </row>
    <row r="6" spans="1:32" x14ac:dyDescent="0.35">
      <c r="A6" t="s">
        <v>69</v>
      </c>
      <c r="C6" s="1">
        <f>Assumptions!D113</f>
        <v>35654576.75317762</v>
      </c>
      <c r="D6" s="1">
        <f>Assumptions!E113</f>
        <v>35654576.75317762</v>
      </c>
      <c r="E6" s="1">
        <f>Assumptions!F113</f>
        <v>35654576.75317762</v>
      </c>
      <c r="F6" s="1">
        <f>Assumptions!G113</f>
        <v>35654576.75317762</v>
      </c>
      <c r="G6" s="1">
        <f>Assumptions!H113</f>
        <v>35654576.75317762</v>
      </c>
      <c r="H6" s="1">
        <f>Assumptions!I113</f>
        <v>35654576.75317762</v>
      </c>
      <c r="I6" s="1">
        <f>Assumptions!J113</f>
        <v>35654576.75317762</v>
      </c>
      <c r="J6" s="1">
        <f>Assumptions!K113</f>
        <v>35654576.75317762</v>
      </c>
      <c r="K6" s="1">
        <f>Assumptions!L113</f>
        <v>35654576.75317762</v>
      </c>
      <c r="L6" s="1">
        <f>Assumptions!M113</f>
        <v>35654576.75317762</v>
      </c>
      <c r="M6" s="1">
        <f>Assumptions!N113</f>
        <v>35654576.75317762</v>
      </c>
      <c r="N6" s="1">
        <f>Assumptions!O113</f>
        <v>35654576.75317762</v>
      </c>
      <c r="O6" s="1">
        <f>Assumptions!P113</f>
        <v>35654576.75317762</v>
      </c>
      <c r="P6" s="1">
        <f>Assumptions!Q113</f>
        <v>35654576.75317762</v>
      </c>
      <c r="Q6" s="1">
        <f>Assumptions!R113</f>
        <v>35654576.75317762</v>
      </c>
      <c r="R6" s="1">
        <f>Assumptions!S113</f>
        <v>35654576.75317762</v>
      </c>
      <c r="S6" s="1">
        <f>Assumptions!T113</f>
        <v>35654576.75317762</v>
      </c>
      <c r="T6" s="1">
        <f>Assumptions!U113</f>
        <v>35654576.75317762</v>
      </c>
      <c r="U6" s="1">
        <f>Assumptions!V113</f>
        <v>35654576.75317762</v>
      </c>
      <c r="V6" s="1">
        <f>Assumptions!W113</f>
        <v>35654576.75317762</v>
      </c>
      <c r="W6" s="1">
        <f>Assumptions!X113</f>
        <v>35654576.75317762</v>
      </c>
      <c r="X6" s="1">
        <f>Assumptions!Y113</f>
        <v>35654576.75317762</v>
      </c>
      <c r="Y6" s="1">
        <f>Assumptions!Z113</f>
        <v>35654576.75317762</v>
      </c>
      <c r="Z6" s="1">
        <f>Assumptions!AA113</f>
        <v>35654576.75317762</v>
      </c>
      <c r="AA6" s="1">
        <f>Assumptions!AB113</f>
        <v>35654576.75317762</v>
      </c>
      <c r="AB6" s="1">
        <f>Assumptions!AC113</f>
        <v>35654576.75317762</v>
      </c>
      <c r="AC6" s="1">
        <f>Assumptions!AD113</f>
        <v>35654576.75317762</v>
      </c>
      <c r="AD6" s="1">
        <f>Assumptions!AE113</f>
        <v>35654576.75317762</v>
      </c>
      <c r="AE6" s="1">
        <f>Assumptions!AF113</f>
        <v>35654576.75317762</v>
      </c>
      <c r="AF6" s="1">
        <f>Assumptions!AG113</f>
        <v>35654576.75317762</v>
      </c>
    </row>
    <row r="7" spans="1:32" x14ac:dyDescent="0.35">
      <c r="A7" t="s">
        <v>74</v>
      </c>
      <c r="C7" s="1">
        <f>Assumptions!D120</f>
        <v>855709.84207626281</v>
      </c>
      <c r="D7" s="1">
        <f>Assumptions!E120</f>
        <v>1711419.6841525256</v>
      </c>
      <c r="E7" s="1">
        <f>Assumptions!F120</f>
        <v>2567129.5262287892</v>
      </c>
      <c r="F7" s="1">
        <f>Assumptions!G120</f>
        <v>3422839.3683050512</v>
      </c>
      <c r="G7" s="1">
        <f>Assumptions!H120</f>
        <v>4278549.2103813142</v>
      </c>
      <c r="H7" s="1">
        <f>Assumptions!I120</f>
        <v>5134259.0524575766</v>
      </c>
      <c r="I7" s="1">
        <f>Assumptions!J120</f>
        <v>5989968.8945338391</v>
      </c>
      <c r="J7" s="1">
        <f>Assumptions!K120</f>
        <v>6845678.7366101025</v>
      </c>
      <c r="K7" s="1">
        <f>Assumptions!L120</f>
        <v>7701388.5786863668</v>
      </c>
      <c r="L7" s="1">
        <f>Assumptions!M120</f>
        <v>8557098.4207626302</v>
      </c>
      <c r="M7" s="1">
        <f>Assumptions!N120</f>
        <v>9412808.2628388926</v>
      </c>
      <c r="N7" s="1">
        <f>Assumptions!O120</f>
        <v>10268518.104915157</v>
      </c>
      <c r="O7" s="1">
        <f>Assumptions!P120</f>
        <v>11124227.946991421</v>
      </c>
      <c r="P7" s="1">
        <f>Assumptions!Q120</f>
        <v>11979937.789067682</v>
      </c>
      <c r="Q7" s="1">
        <f>Assumptions!R120</f>
        <v>12835647.631143946</v>
      </c>
      <c r="R7" s="1">
        <f>Assumptions!S120</f>
        <v>13691357.473220207</v>
      </c>
      <c r="S7" s="1">
        <f>Assumptions!T120</f>
        <v>14547067.315296471</v>
      </c>
      <c r="T7" s="1">
        <f>Assumptions!U120</f>
        <v>15402777.157372735</v>
      </c>
      <c r="U7" s="1">
        <f>Assumptions!V120</f>
        <v>16258486.999448998</v>
      </c>
      <c r="V7" s="1">
        <f>Assumptions!W120</f>
        <v>17114196.841525264</v>
      </c>
      <c r="W7" s="1">
        <f>Assumptions!X120</f>
        <v>17969906.683601525</v>
      </c>
      <c r="X7" s="1">
        <f>Assumptions!Y120</f>
        <v>18825616.525677789</v>
      </c>
      <c r="Y7" s="1">
        <f>Assumptions!Z120</f>
        <v>19681326.367754053</v>
      </c>
      <c r="Z7" s="1">
        <f>Assumptions!AA120</f>
        <v>20537036.209830318</v>
      </c>
      <c r="AA7" s="1">
        <f>Assumptions!AB120</f>
        <v>21392746.051906578</v>
      </c>
      <c r="AB7" s="1">
        <f>Assumptions!AC120</f>
        <v>22248455.893982846</v>
      </c>
      <c r="AC7" s="1">
        <f>Assumptions!AD120</f>
        <v>23104165.736059111</v>
      </c>
      <c r="AD7" s="1">
        <f>Assumptions!AE120</f>
        <v>23959875.578135371</v>
      </c>
      <c r="AE7" s="1">
        <f>Assumptions!AF120</f>
        <v>24815585.420211636</v>
      </c>
      <c r="AF7" s="1">
        <f>Assumptions!AG120</f>
        <v>25671295.2622879</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2379171.1122142873</v>
      </c>
      <c r="D11" s="1">
        <f>D5*D$9</f>
        <v>2455304.5878051445</v>
      </c>
      <c r="E11" s="1">
        <f t="shared" ref="D11:AF13" si="1">E5*E$9</f>
        <v>2533874.3346149088</v>
      </c>
      <c r="F11" s="1">
        <f t="shared" si="1"/>
        <v>2614958.313322586</v>
      </c>
      <c r="G11" s="1">
        <f t="shared" si="1"/>
        <v>2698636.9793489091</v>
      </c>
      <c r="H11" s="1">
        <f t="shared" si="1"/>
        <v>2784993.3626880734</v>
      </c>
      <c r="I11" s="1">
        <f t="shared" si="1"/>
        <v>2874113.1502940916</v>
      </c>
      <c r="J11" s="1">
        <f t="shared" si="1"/>
        <v>2966084.7711035032</v>
      </c>
      <c r="K11" s="1">
        <f t="shared" si="1"/>
        <v>3060999.4837788153</v>
      </c>
      <c r="L11" s="1">
        <f t="shared" si="1"/>
        <v>3158951.4672597372</v>
      </c>
      <c r="M11" s="1">
        <f t="shared" si="1"/>
        <v>3260037.9142120485</v>
      </c>
      <c r="N11" s="1">
        <f t="shared" si="1"/>
        <v>3364359.1274668342</v>
      </c>
      <c r="O11" s="1">
        <f t="shared" si="1"/>
        <v>3472018.6195457731</v>
      </c>
      <c r="P11" s="1">
        <f t="shared" si="1"/>
        <v>3583123.2153712371</v>
      </c>
      <c r="Q11" s="1">
        <f t="shared" si="1"/>
        <v>3697783.1582631161</v>
      </c>
      <c r="R11" s="1">
        <f t="shared" si="1"/>
        <v>3816112.2193275369</v>
      </c>
      <c r="S11" s="1">
        <f t="shared" si="1"/>
        <v>3938227.8103460185</v>
      </c>
      <c r="T11" s="1">
        <f t="shared" si="1"/>
        <v>4064251.1002770904</v>
      </c>
      <c r="U11" s="1">
        <f t="shared" si="1"/>
        <v>4194307.1354859574</v>
      </c>
      <c r="V11" s="1">
        <f t="shared" si="1"/>
        <v>4328524.963821508</v>
      </c>
      <c r="W11" s="1">
        <f t="shared" si="1"/>
        <v>4467037.7626637965</v>
      </c>
      <c r="X11" s="1">
        <f t="shared" si="1"/>
        <v>4609982.9710690379</v>
      </c>
      <c r="Y11" s="1">
        <f t="shared" si="1"/>
        <v>4757502.4261432458</v>
      </c>
      <c r="Z11" s="1">
        <f t="shared" si="1"/>
        <v>4909742.5037798304</v>
      </c>
      <c r="AA11" s="1">
        <f t="shared" si="1"/>
        <v>5066854.2639007857</v>
      </c>
      <c r="AB11" s="1">
        <f t="shared" si="1"/>
        <v>5228993.6003456106</v>
      </c>
      <c r="AC11" s="1">
        <f t="shared" si="1"/>
        <v>5396321.3955566697</v>
      </c>
      <c r="AD11" s="1">
        <f t="shared" si="1"/>
        <v>5569003.6802144833</v>
      </c>
      <c r="AE11" s="1">
        <f t="shared" si="1"/>
        <v>5747211.797981347</v>
      </c>
      <c r="AF11" s="1">
        <f t="shared" si="1"/>
        <v>5931122.5755167492</v>
      </c>
    </row>
    <row r="12" spans="1:32" x14ac:dyDescent="0.35">
      <c r="A12" t="s">
        <v>72</v>
      </c>
      <c r="C12" s="1">
        <f t="shared" ref="C12:R12" si="2">C6*C$9</f>
        <v>36795523.209279306</v>
      </c>
      <c r="D12" s="1">
        <f t="shared" si="2"/>
        <v>37972979.95197624</v>
      </c>
      <c r="E12" s="1">
        <f t="shared" si="2"/>
        <v>39188115.310439475</v>
      </c>
      <c r="F12" s="1">
        <f t="shared" si="2"/>
        <v>40442135.000373542</v>
      </c>
      <c r="G12" s="1">
        <f t="shared" si="2"/>
        <v>41736283.320385501</v>
      </c>
      <c r="H12" s="1">
        <f t="shared" si="2"/>
        <v>43071844.386637829</v>
      </c>
      <c r="I12" s="1">
        <f t="shared" si="2"/>
        <v>44450143.407010235</v>
      </c>
      <c r="J12" s="1">
        <f t="shared" si="2"/>
        <v>45872547.99603457</v>
      </c>
      <c r="K12" s="1">
        <f t="shared" si="2"/>
        <v>47340469.531907678</v>
      </c>
      <c r="L12" s="1">
        <f t="shared" si="2"/>
        <v>48855364.556928717</v>
      </c>
      <c r="M12" s="1">
        <f t="shared" si="2"/>
        <v>50418736.22275044</v>
      </c>
      <c r="N12" s="1">
        <f t="shared" si="2"/>
        <v>52032135.781878456</v>
      </c>
      <c r="O12" s="1">
        <f t="shared" si="2"/>
        <v>53697164.126898572</v>
      </c>
      <c r="P12" s="1">
        <f t="shared" si="2"/>
        <v>55415473.378959313</v>
      </c>
      <c r="Q12" s="1">
        <f t="shared" si="2"/>
        <v>57188768.527085997</v>
      </c>
      <c r="R12" s="1">
        <f t="shared" si="2"/>
        <v>59018809.119952768</v>
      </c>
      <c r="S12" s="1">
        <f t="shared" si="1"/>
        <v>60907411.011791259</v>
      </c>
      <c r="T12" s="1">
        <f t="shared" si="1"/>
        <v>62856448.164168574</v>
      </c>
      <c r="U12" s="1">
        <f t="shared" si="1"/>
        <v>64867854.505421959</v>
      </c>
      <c r="V12" s="1">
        <f t="shared" si="1"/>
        <v>66943625.849595472</v>
      </c>
      <c r="W12" s="1">
        <f t="shared" si="1"/>
        <v>69085821.876782537</v>
      </c>
      <c r="X12" s="1">
        <f t="shared" si="1"/>
        <v>71296568.17683956</v>
      </c>
      <c r="Y12" s="1">
        <f t="shared" si="1"/>
        <v>73578058.358498424</v>
      </c>
      <c r="Z12" s="1">
        <f t="shared" si="1"/>
        <v>75932556.225970373</v>
      </c>
      <c r="AA12" s="1">
        <f t="shared" si="1"/>
        <v>78362398.02520144</v>
      </c>
      <c r="AB12" s="1">
        <f t="shared" si="1"/>
        <v>80869994.762007877</v>
      </c>
      <c r="AC12" s="1">
        <f t="shared" si="1"/>
        <v>83457834.594392121</v>
      </c>
      <c r="AD12" s="1">
        <f t="shared" si="1"/>
        <v>86128485.301412687</v>
      </c>
      <c r="AE12" s="1">
        <f t="shared" si="1"/>
        <v>88884596.831057891</v>
      </c>
      <c r="AF12" s="1">
        <f t="shared" si="1"/>
        <v>91728903.929651722</v>
      </c>
    </row>
    <row r="13" spans="1:32" x14ac:dyDescent="0.35">
      <c r="A13" t="s">
        <v>75</v>
      </c>
      <c r="C13" s="1">
        <f>C7*C$9</f>
        <v>883092.55702270323</v>
      </c>
      <c r="D13" s="1">
        <f t="shared" si="1"/>
        <v>1822703.0376948593</v>
      </c>
      <c r="E13" s="1">
        <f t="shared" si="1"/>
        <v>2821544.3023516429</v>
      </c>
      <c r="F13" s="1">
        <f t="shared" si="1"/>
        <v>3882444.9600358596</v>
      </c>
      <c r="G13" s="1">
        <f t="shared" si="1"/>
        <v>5008353.9984462596</v>
      </c>
      <c r="H13" s="1">
        <f t="shared" si="1"/>
        <v>6202345.5916758468</v>
      </c>
      <c r="I13" s="1">
        <f t="shared" si="1"/>
        <v>7467624.0923777176</v>
      </c>
      <c r="J13" s="1">
        <f t="shared" si="1"/>
        <v>8807529.2152386364</v>
      </c>
      <c r="K13" s="1">
        <f t="shared" si="1"/>
        <v>10225541.418892059</v>
      </c>
      <c r="L13" s="1">
        <f t="shared" si="1"/>
        <v>11725287.493662894</v>
      </c>
      <c r="M13" s="1">
        <f t="shared" si="1"/>
        <v>13310546.362806117</v>
      </c>
      <c r="N13" s="1">
        <f t="shared" si="1"/>
        <v>14985255.105180997</v>
      </c>
      <c r="O13" s="1">
        <f t="shared" si="1"/>
        <v>16753515.207592359</v>
      </c>
      <c r="P13" s="1">
        <f t="shared" si="1"/>
        <v>18619599.055330332</v>
      </c>
      <c r="Q13" s="1">
        <f t="shared" si="1"/>
        <v>20587956.669750966</v>
      </c>
      <c r="R13" s="1">
        <f t="shared" si="1"/>
        <v>22663222.702061862</v>
      </c>
      <c r="S13" s="1">
        <f t="shared" si="1"/>
        <v>24850223.692810837</v>
      </c>
      <c r="T13" s="1">
        <f t="shared" si="1"/>
        <v>27153985.606920831</v>
      </c>
      <c r="U13" s="1">
        <f t="shared" si="1"/>
        <v>29579741.654472418</v>
      </c>
      <c r="V13" s="1">
        <f t="shared" si="1"/>
        <v>32132940.407805838</v>
      </c>
      <c r="W13" s="1">
        <f t="shared" si="1"/>
        <v>34819254.225898407</v>
      </c>
      <c r="X13" s="1">
        <f t="shared" si="1"/>
        <v>37644587.997371301</v>
      </c>
      <c r="Y13" s="1">
        <f t="shared" si="1"/>
        <v>40615088.213891141</v>
      </c>
      <c r="Z13" s="1">
        <f t="shared" si="1"/>
        <v>43737152.386158951</v>
      </c>
      <c r="AA13" s="1">
        <f t="shared" si="1"/>
        <v>47017438.815120883</v>
      </c>
      <c r="AB13" s="1">
        <f t="shared" si="1"/>
        <v>50462876.731492937</v>
      </c>
      <c r="AC13" s="1">
        <f t="shared" si="1"/>
        <v>54080676.81716612</v>
      </c>
      <c r="AD13" s="1">
        <f t="shared" si="1"/>
        <v>57878342.122549348</v>
      </c>
      <c r="AE13" s="1">
        <f t="shared" si="1"/>
        <v>61863679.394416317</v>
      </c>
      <c r="AF13" s="1">
        <f t="shared" si="1"/>
        <v>66044810.829349272</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40057786.878516302</v>
      </c>
      <c r="D25" s="40">
        <f>SUM(D11:D13,D18:D23)</f>
        <v>42250987.577476241</v>
      </c>
      <c r="E25" s="40">
        <f t="shared" ref="E25:AF25" si="7">SUM(E11:E13,E18:E23)</f>
        <v>44543533.947406031</v>
      </c>
      <c r="F25" s="40">
        <f t="shared" si="7"/>
        <v>46939538.273731992</v>
      </c>
      <c r="G25" s="40">
        <f t="shared" si="7"/>
        <v>49443274.29818067</v>
      </c>
      <c r="H25" s="40">
        <f t="shared" si="7"/>
        <v>52059183.341001749</v>
      </c>
      <c r="I25" s="40">
        <f t="shared" si="7"/>
        <v>54791880.649682038</v>
      </c>
      <c r="J25" s="40">
        <f t="shared" si="7"/>
        <v>57646161.98237671</v>
      </c>
      <c r="K25" s="40">
        <f t="shared" si="7"/>
        <v>60627010.434578553</v>
      </c>
      <c r="L25" s="40">
        <f t="shared" si="7"/>
        <v>63739603.517851345</v>
      </c>
      <c r="M25" s="40">
        <f t="shared" si="7"/>
        <v>66989320.499768607</v>
      </c>
      <c r="N25" s="40">
        <f t="shared" si="7"/>
        <v>70381750.014526293</v>
      </c>
      <c r="O25" s="40">
        <f t="shared" si="7"/>
        <v>73922697.954036698</v>
      </c>
      <c r="P25" s="40">
        <f t="shared" si="7"/>
        <v>77618195.649660885</v>
      </c>
      <c r="Q25" s="40">
        <f t="shared" si="7"/>
        <v>81474508.35510008</v>
      </c>
      <c r="R25" s="40">
        <f t="shared" si="7"/>
        <v>85498144.041342169</v>
      </c>
      <c r="S25" s="40">
        <f t="shared" si="7"/>
        <v>89695862.514948115</v>
      </c>
      <c r="T25" s="40">
        <f t="shared" si="7"/>
        <v>94074684.871366501</v>
      </c>
      <c r="U25" s="40">
        <f t="shared" si="7"/>
        <v>98641903.295380324</v>
      </c>
      <c r="V25" s="40">
        <f t="shared" si="7"/>
        <v>103405091.22122282</v>
      </c>
      <c r="W25" s="40">
        <f t="shared" si="7"/>
        <v>108372113.86534473</v>
      </c>
      <c r="X25" s="40">
        <f t="shared" si="7"/>
        <v>113551139.1452799</v>
      </c>
      <c r="Y25" s="40">
        <f t="shared" si="7"/>
        <v>118950648.9985328</v>
      </c>
      <c r="Z25" s="40">
        <f t="shared" si="7"/>
        <v>124579451.11590916</v>
      </c>
      <c r="AA25" s="40">
        <f t="shared" si="7"/>
        <v>130446691.1042231</v>
      </c>
      <c r="AB25" s="40">
        <f t="shared" si="7"/>
        <v>136561865.09384644</v>
      </c>
      <c r="AC25" s="40">
        <f t="shared" si="7"/>
        <v>142934832.8071149</v>
      </c>
      <c r="AD25" s="40">
        <f t="shared" si="7"/>
        <v>149575831.10417652</v>
      </c>
      <c r="AE25" s="40">
        <f t="shared" si="7"/>
        <v>156495488.02345556</v>
      </c>
      <c r="AF25" s="40">
        <f t="shared" si="7"/>
        <v>163704837.33451775</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activeCell="A2" sqref="A1:XFD1048576"/>
      <selection pane="topRight" activeCell="A2"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15445875.235148102</v>
      </c>
      <c r="D5" s="59">
        <f>C5*('Price and Financial ratios'!F4+1)*(1+Assumptions!$C$13)</f>
        <v>25001971.419713531</v>
      </c>
      <c r="E5" s="59">
        <f>D5*('Price and Financial ratios'!G4+1)*(1+Assumptions!$C$13)</f>
        <v>34146781.229217805</v>
      </c>
      <c r="F5" s="59">
        <f>E5*('Price and Financial ratios'!H4+1)*(1+Assumptions!$C$13)</f>
        <v>41454603.674321726</v>
      </c>
      <c r="G5" s="59">
        <f>F5*('Price and Financial ratios'!I4+1)*(1+Assumptions!$C$13)</f>
        <v>50326388.137710094</v>
      </c>
      <c r="H5" s="59">
        <f>G5*('Price and Financial ratios'!J4+1)*(1+Assumptions!$C$13)</f>
        <v>56005437.883608326</v>
      </c>
      <c r="I5" s="59">
        <f>H5*('Price and Financial ratios'!K4+1)*(1+Assumptions!$C$13)</f>
        <v>61192148.505544774</v>
      </c>
      <c r="J5" s="59">
        <f>I5*('Price and Financial ratios'!L4+1)*(1+Assumptions!$C$13)</f>
        <v>66859204.752697416</v>
      </c>
      <c r="K5" s="59">
        <f>J5*('Price and Financial ratios'!M4+1)*(1+Assumptions!$C$13)</f>
        <v>73051091.836693153</v>
      </c>
      <c r="L5" s="59">
        <f>K5*('Price and Financial ratios'!N4+1)*(1+Assumptions!$C$13)</f>
        <v>78338333.026733935</v>
      </c>
      <c r="M5" s="59">
        <f>L5*('Price and Financial ratios'!O4+1)*(1+Assumptions!$C$13)</f>
        <v>83611985.155082464</v>
      </c>
      <c r="N5" s="59">
        <f>M5*('Price and Financial ratios'!P4+1)*(1+Assumptions!$C$13)</f>
        <v>88817712.372074336</v>
      </c>
      <c r="O5" s="59">
        <f>N5*('Price and Financial ratios'!Q4+1)*(1+Assumptions!$C$13)</f>
        <v>94347550.968642533</v>
      </c>
      <c r="P5" s="59">
        <f>O5*('Price and Financial ratios'!R4+1)*(1+Assumptions!$C$13)</f>
        <v>100221680.29379867</v>
      </c>
      <c r="Q5" s="59">
        <f>P5*('Price and Financial ratios'!S4+1)*(1+Assumptions!$C$13)</f>
        <v>106461536.07368948</v>
      </c>
      <c r="R5" s="59">
        <f>Q5*('Price and Financial ratios'!T4+1)*(1+Assumptions!$C$13)</f>
        <v>113089888.6343137</v>
      </c>
      <c r="S5" s="59">
        <f>R5*('Price and Financial ratios'!U4+1)*(1+Assumptions!$C$13)</f>
        <v>120130925.99442762</v>
      </c>
      <c r="T5" s="59">
        <f>S5*('Price and Financial ratios'!V4+1)*(1+Assumptions!$C$13)</f>
        <v>127610342.13185938</v>
      </c>
      <c r="U5" s="59">
        <f>T5*('Price and Financial ratios'!W4+1)*(1+Assumptions!$C$13)</f>
        <v>134909928.69416344</v>
      </c>
      <c r="V5" s="59">
        <f>U5*('Price and Financial ratios'!X4+1)*(1+Assumptions!$C$13)</f>
        <v>141944641.17847511</v>
      </c>
      <c r="W5" s="59">
        <f>V5*('Price and Financial ratios'!Y4+1)*(1+Assumptions!$C$13)</f>
        <v>149346170.1025843</v>
      </c>
      <c r="X5" s="59">
        <f>W5*('Price and Financial ratios'!Z4+1)*(1+Assumptions!$C$13)</f>
        <v>157133642.65908143</v>
      </c>
      <c r="Y5" s="59">
        <f>X5*('Price and Financial ratios'!AA4+1)*(1+Assumptions!$C$13)</f>
        <v>165327183.40451533</v>
      </c>
      <c r="Z5" s="59">
        <f>Y5*('Price and Financial ratios'!AB4+1)*(1+Assumptions!$C$13)</f>
        <v>173947966.2657114</v>
      </c>
      <c r="AA5" s="59">
        <f>Z5*('Price and Financial ratios'!AC4+1)*(1+Assumptions!$C$13)</f>
        <v>183018269.25789556</v>
      </c>
      <c r="AB5" s="59">
        <f>AA5*('Price and Financial ratios'!AD4+1)*(1+Assumptions!$C$13)</f>
        <v>190709978.86318102</v>
      </c>
      <c r="AC5" s="59">
        <f>AB5*('Price and Financial ratios'!AE4+1)*(1+Assumptions!$C$13)</f>
        <v>197181453.24019697</v>
      </c>
      <c r="AD5" s="59">
        <f>AC5*('Price and Financial ratios'!AF4+1)*(1+Assumptions!$C$13)</f>
        <v>203872527.98035079</v>
      </c>
      <c r="AE5" s="59">
        <f>AD5*('Price and Financial ratios'!AG4+1)*(1+Assumptions!$C$13)</f>
        <v>210790654.91249648</v>
      </c>
      <c r="AF5" s="59">
        <f>AE5*('Price and Financial ratios'!AH4+1)*(1+Assumptions!$C$13)</f>
        <v>217943538.73279873</v>
      </c>
    </row>
    <row r="6" spans="1:32" s="11" customFormat="1" x14ac:dyDescent="0.35">
      <c r="A6" s="11" t="s">
        <v>20</v>
      </c>
      <c r="C6" s="59">
        <f>C27</f>
        <v>5762413.4191346383</v>
      </c>
      <c r="D6" s="59">
        <f t="shared" ref="D6:AF6" si="1">D27</f>
        <v>7062126.4109287784</v>
      </c>
      <c r="E6" s="59">
        <f>E27</f>
        <v>8416902.7160664499</v>
      </c>
      <c r="F6" s="59">
        <f t="shared" si="1"/>
        <v>9828558.6233811155</v>
      </c>
      <c r="G6" s="59">
        <f t="shared" si="1"/>
        <v>11298964.453453349</v>
      </c>
      <c r="H6" s="59">
        <f t="shared" si="1"/>
        <v>12830046.082906259</v>
      </c>
      <c r="I6" s="59">
        <f t="shared" si="1"/>
        <v>14423786.510500226</v>
      </c>
      <c r="J6" s="59">
        <f t="shared" si="1"/>
        <v>16082227.466158252</v>
      </c>
      <c r="K6" s="59">
        <f t="shared" si="1"/>
        <v>17807471.064083859</v>
      </c>
      <c r="L6" s="59">
        <f t="shared" si="1"/>
        <v>19601681.501164798</v>
      </c>
      <c r="M6" s="59">
        <f t="shared" si="1"/>
        <v>21467086.801888093</v>
      </c>
      <c r="N6" s="59">
        <f t="shared" si="1"/>
        <v>23405980.611025132</v>
      </c>
      <c r="O6" s="59">
        <f t="shared" si="1"/>
        <v>25420724.035379402</v>
      </c>
      <c r="P6" s="59">
        <f t="shared" si="1"/>
        <v>27513747.53592464</v>
      </c>
      <c r="Q6" s="59">
        <f t="shared" si="1"/>
        <v>29687552.871696897</v>
      </c>
      <c r="R6" s="59">
        <f t="shared" si="1"/>
        <v>31944715.096840877</v>
      </c>
      <c r="S6" s="59">
        <f t="shared" si="1"/>
        <v>34287884.612249129</v>
      </c>
      <c r="T6" s="59">
        <f t="shared" si="1"/>
        <v>36719789.273271114</v>
      </c>
      <c r="U6" s="59">
        <f t="shared" si="1"/>
        <v>39243236.555009633</v>
      </c>
      <c r="V6" s="59">
        <f t="shared" si="1"/>
        <v>41861115.776762739</v>
      </c>
      <c r="W6" s="59">
        <f t="shared" si="1"/>
        <v>44576400.387212053</v>
      </c>
      <c r="X6" s="59">
        <f t="shared" si="1"/>
        <v>47392150.31200105</v>
      </c>
      <c r="Y6" s="59">
        <f t="shared" si="1"/>
        <v>50311514.365392014</v>
      </c>
      <c r="Z6" s="59">
        <f t="shared" si="1"/>
        <v>53337732.727735959</v>
      </c>
      <c r="AA6" s="59">
        <f t="shared" si="1"/>
        <v>56474139.490536563</v>
      </c>
      <c r="AB6" s="59">
        <f t="shared" si="1"/>
        <v>59724165.270938069</v>
      </c>
      <c r="AC6" s="59">
        <f t="shared" si="1"/>
        <v>63091339.897516035</v>
      </c>
      <c r="AD6" s="59">
        <f t="shared" si="1"/>
        <v>66579295.169301435</v>
      </c>
      <c r="AE6" s="59">
        <f t="shared" si="1"/>
        <v>70191767.690020621</v>
      </c>
      <c r="AF6" s="59">
        <f t="shared" si="1"/>
        <v>73932601.779587507</v>
      </c>
    </row>
    <row r="7" spans="1:32" x14ac:dyDescent="0.35">
      <c r="A7" t="s">
        <v>21</v>
      </c>
      <c r="C7" s="4">
        <f>Depreciation!C8+Depreciation!C9</f>
        <v>3262263.6692369906</v>
      </c>
      <c r="D7" s="4">
        <f>Depreciation!D8+Depreciation!D9</f>
        <v>4278007.6255000038</v>
      </c>
      <c r="E7" s="4">
        <f>Depreciation!E8+Depreciation!E9</f>
        <v>5355418.6369665517</v>
      </c>
      <c r="F7" s="4">
        <f>Depreciation!F8+Depreciation!F9</f>
        <v>6497403.2733584456</v>
      </c>
      <c r="G7" s="4">
        <f>Depreciation!G8+Depreciation!G9</f>
        <v>7706990.9777951688</v>
      </c>
      <c r="H7" s="4">
        <f>Depreciation!H8+Depreciation!H9</f>
        <v>8987338.9543639198</v>
      </c>
      <c r="I7" s="4">
        <f>Depreciation!I8+Depreciation!I9</f>
        <v>10341737.24267181</v>
      </c>
      <c r="J7" s="4">
        <f>Depreciation!J8+Depreciation!J9</f>
        <v>11773613.98634214</v>
      </c>
      <c r="K7" s="4">
        <f>Depreciation!K8+Depreciation!K9</f>
        <v>13286540.902670875</v>
      </c>
      <c r="L7" s="4">
        <f>Depreciation!L8+Depreciation!L9</f>
        <v>14884238.960922631</v>
      </c>
      <c r="M7" s="4">
        <f>Depreciation!M8+Depreciation!M9</f>
        <v>16570584.277018165</v>
      </c>
      <c r="N7" s="4">
        <f>Depreciation!N8+Depreciation!N9</f>
        <v>18349614.232647832</v>
      </c>
      <c r="O7" s="4">
        <f>Depreciation!O8+Depreciation!O9</f>
        <v>20225533.827138133</v>
      </c>
      <c r="P7" s="4">
        <f>Depreciation!P8+Depreciation!P9</f>
        <v>22202722.270701569</v>
      </c>
      <c r="Q7" s="4">
        <f>Depreciation!Q8+Depreciation!Q9</f>
        <v>24285739.828014083</v>
      </c>
      <c r="R7" s="4">
        <f>Depreciation!R8+Depreciation!R9</f>
        <v>26479334.921389397</v>
      </c>
      <c r="S7" s="4">
        <f>Depreciation!S8+Depreciation!S9</f>
        <v>28788451.503156856</v>
      </c>
      <c r="T7" s="4">
        <f>Depreciation!T8+Depreciation!T9</f>
        <v>31218236.707197919</v>
      </c>
      <c r="U7" s="4">
        <f>Depreciation!U8+Depreciation!U9</f>
        <v>33774048.789958373</v>
      </c>
      <c r="V7" s="4">
        <f>Depreciation!V8+Depreciation!V9</f>
        <v>36461465.371627346</v>
      </c>
      <c r="W7" s="4">
        <f>Depreciation!W8+Depreciation!W9</f>
        <v>39286291.988562204</v>
      </c>
      <c r="X7" s="4">
        <f>Depreciation!X8+Depreciation!X9</f>
        <v>42254570.968440339</v>
      </c>
      <c r="Y7" s="4">
        <f>Depreciation!Y8+Depreciation!Y9</f>
        <v>45372590.640034385</v>
      </c>
      <c r="Z7" s="4">
        <f>Depreciation!Z8+Depreciation!Z9</f>
        <v>48646894.889938779</v>
      </c>
      <c r="AA7" s="4">
        <f>Depreciation!AA8+Depreciation!AA9</f>
        <v>52084293.07902167</v>
      </c>
      <c r="AB7" s="4">
        <f>Depreciation!AB8+Depreciation!AB9</f>
        <v>55691870.331838548</v>
      </c>
      <c r="AC7" s="4">
        <f>Depreciation!AC8+Depreciation!AC9</f>
        <v>59476998.212722793</v>
      </c>
      <c r="AD7" s="4">
        <f>Depreciation!AD8+Depreciation!AD9</f>
        <v>63447345.802763835</v>
      </c>
      <c r="AE7" s="4">
        <f>Depreciation!AE8+Depreciation!AE9</f>
        <v>67610891.192397669</v>
      </c>
      <c r="AF7" s="4">
        <f>Depreciation!AF8+Depreciation!AF9</f>
        <v>71975933.404866025</v>
      </c>
    </row>
    <row r="8" spans="1:32" x14ac:dyDescent="0.35">
      <c r="A8" t="s">
        <v>6</v>
      </c>
      <c r="C8" s="4">
        <f ca="1">'Debt worksheet'!C8</f>
        <v>1858602.4634068389</v>
      </c>
      <c r="D8" s="4">
        <f ca="1">'Debt worksheet'!D8</f>
        <v>2807764.2003223221</v>
      </c>
      <c r="E8" s="4">
        <f ca="1">'Debt worksheet'!E8</f>
        <v>3591960.7673795191</v>
      </c>
      <c r="F8" s="4">
        <f ca="1">'Debt worksheet'!F8</f>
        <v>4277650.8084738003</v>
      </c>
      <c r="G8" s="4">
        <f ca="1">'Debt worksheet'!G8</f>
        <v>4810575.7305296771</v>
      </c>
      <c r="H8" s="4">
        <f ca="1">'Debt worksheet'!H8</f>
        <v>5307262.6263628667</v>
      </c>
      <c r="I8" s="4">
        <f ca="1">'Debt worksheet'!I8</f>
        <v>5790762.4655701341</v>
      </c>
      <c r="J8" s="4">
        <f ca="1">'Debt worksheet'!J8</f>
        <v>6249931.5336004645</v>
      </c>
      <c r="K8" s="4">
        <f ca="1">'Debt worksheet'!K8</f>
        <v>6671865.4629734596</v>
      </c>
      <c r="L8" s="4">
        <f ca="1">'Debt worksheet'!L8</f>
        <v>7095304.4380345456</v>
      </c>
      <c r="M8" s="4">
        <f ca="1">'Debt worksheet'!M8</f>
        <v>7528351.5162327923</v>
      </c>
      <c r="N8" s="4">
        <f ca="1">'Debt worksheet'!N8</f>
        <v>7981660.2643569848</v>
      </c>
      <c r="O8" s="4">
        <f ca="1">'Debt worksheet'!O8</f>
        <v>8452347.9275482483</v>
      </c>
      <c r="P8" s="4">
        <f ca="1">'Debt worksheet'!P8</f>
        <v>8937002.2059697285</v>
      </c>
      <c r="Q8" s="4">
        <f ca="1">'Debt worksheet'!Q8</f>
        <v>9431627.5505994745</v>
      </c>
      <c r="R8" s="4">
        <f ca="1">'Debt worksheet'!R8</f>
        <v>9931587.0655283965</v>
      </c>
      <c r="S8" s="4">
        <f ca="1">'Debt worksheet'!S8</f>
        <v>10431539.694482211</v>
      </c>
      <c r="T8" s="4">
        <f ca="1">'Debt worksheet'!T8</f>
        <v>10925372.34707715</v>
      </c>
      <c r="U8" s="4">
        <f ca="1">'Debt worksheet'!U8</f>
        <v>11429538.588129615</v>
      </c>
      <c r="V8" s="4">
        <f ca="1">'Debt worksheet'!V8</f>
        <v>11964552.737629516</v>
      </c>
      <c r="W8" s="4">
        <f ca="1">'Debt worksheet'!W8</f>
        <v>12529155.215418188</v>
      </c>
      <c r="X8" s="4">
        <f ca="1">'Debt worksheet'!X8</f>
        <v>13121754.252181526</v>
      </c>
      <c r="Y8" s="4">
        <f ca="1">'Debt worksheet'!Y8</f>
        <v>13740392.2805812</v>
      </c>
      <c r="Z8" s="4">
        <f ca="1">'Debt worksheet'!Z8</f>
        <v>14382709.736589514</v>
      </c>
      <c r="AA8" s="4">
        <f ca="1">'Debt worksheet'!AA8</f>
        <v>15045906.096766589</v>
      </c>
      <c r="AB8" s="4">
        <f ca="1">'Debt worksheet'!AB8</f>
        <v>15793852.745412134</v>
      </c>
      <c r="AC8" s="4">
        <f ca="1">'Debt worksheet'!AC8</f>
        <v>16687479.716753703</v>
      </c>
      <c r="AD8" s="4">
        <f ca="1">'Debt worksheet'!AD8</f>
        <v>17738207.93472866</v>
      </c>
      <c r="AE8" s="4">
        <f ca="1">'Debt worksheet'!AE8</f>
        <v>18958123.277474556</v>
      </c>
      <c r="AF8" s="4">
        <f ca="1">'Debt worksheet'!AF8</f>
        <v>20360010.145927761</v>
      </c>
    </row>
    <row r="9" spans="1:32" x14ac:dyDescent="0.35">
      <c r="A9" t="s">
        <v>22</v>
      </c>
      <c r="C9" s="4">
        <f ca="1">C5-C6-C7-C8</f>
        <v>4562595.6833696328</v>
      </c>
      <c r="D9" s="4">
        <f t="shared" ref="D9:AF9" ca="1" si="2">D5-D6-D7-D8</f>
        <v>10854073.182962425</v>
      </c>
      <c r="E9" s="4">
        <f t="shared" ca="1" si="2"/>
        <v>16782499.108805284</v>
      </c>
      <c r="F9" s="4">
        <f t="shared" ca="1" si="2"/>
        <v>20850990.969108365</v>
      </c>
      <c r="G9" s="4">
        <f t="shared" ca="1" si="2"/>
        <v>26509856.975931901</v>
      </c>
      <c r="H9" s="4">
        <f t="shared" ca="1" si="2"/>
        <v>28880790.219975278</v>
      </c>
      <c r="I9" s="4">
        <f t="shared" ca="1" si="2"/>
        <v>30635862.286802601</v>
      </c>
      <c r="J9" s="4">
        <f t="shared" ca="1" si="2"/>
        <v>32753431.766596563</v>
      </c>
      <c r="K9" s="4">
        <f t="shared" ca="1" si="2"/>
        <v>35285214.406964958</v>
      </c>
      <c r="L9" s="4">
        <f t="shared" ca="1" si="2"/>
        <v>36757108.126611963</v>
      </c>
      <c r="M9" s="4">
        <f t="shared" ca="1" si="2"/>
        <v>38045962.559943408</v>
      </c>
      <c r="N9" s="4">
        <f t="shared" ca="1" si="2"/>
        <v>39080457.264044389</v>
      </c>
      <c r="O9" s="4">
        <f t="shared" ca="1" si="2"/>
        <v>40248945.178576738</v>
      </c>
      <c r="P9" s="4">
        <f t="shared" ca="1" si="2"/>
        <v>41568208.281202726</v>
      </c>
      <c r="Q9" s="4">
        <f t="shared" ca="1" si="2"/>
        <v>43056615.82337901</v>
      </c>
      <c r="R9" s="4">
        <f t="shared" ca="1" si="2"/>
        <v>44734251.550555035</v>
      </c>
      <c r="S9" s="4">
        <f t="shared" ca="1" si="2"/>
        <v>46623050.184539422</v>
      </c>
      <c r="T9" s="4">
        <f t="shared" ca="1" si="2"/>
        <v>48746943.804313198</v>
      </c>
      <c r="U9" s="4">
        <f t="shared" ca="1" si="2"/>
        <v>50463104.761065818</v>
      </c>
      <c r="V9" s="4">
        <f t="shared" ca="1" si="2"/>
        <v>51657507.292455509</v>
      </c>
      <c r="W9" s="4">
        <f t="shared" ca="1" si="2"/>
        <v>52954322.511391856</v>
      </c>
      <c r="X9" s="4">
        <f t="shared" ca="1" si="2"/>
        <v>54365167.126458511</v>
      </c>
      <c r="Y9" s="4">
        <f t="shared" ca="1" si="2"/>
        <v>55902686.118507721</v>
      </c>
      <c r="Z9" s="4">
        <f t="shared" ca="1" si="2"/>
        <v>57580628.911447145</v>
      </c>
      <c r="AA9" s="4">
        <f t="shared" ca="1" si="2"/>
        <v>59413930.591570735</v>
      </c>
      <c r="AB9" s="4">
        <f t="shared" ca="1" si="2"/>
        <v>59500090.514992274</v>
      </c>
      <c r="AC9" s="4">
        <f t="shared" ca="1" si="2"/>
        <v>57925635.413204432</v>
      </c>
      <c r="AD9" s="4">
        <f t="shared" ca="1" si="2"/>
        <v>56107679.073556848</v>
      </c>
      <c r="AE9" s="4">
        <f t="shared" ca="1" si="2"/>
        <v>54029872.752603635</v>
      </c>
      <c r="AF9" s="4">
        <f t="shared" ca="1" si="2"/>
        <v>51674993.402417436</v>
      </c>
    </row>
    <row r="12" spans="1:32" x14ac:dyDescent="0.35">
      <c r="A12" t="s">
        <v>80</v>
      </c>
      <c r="C12" s="2">
        <f>Assumptions!$C$25*Assumptions!D9*Assumptions!D13</f>
        <v>4669244.0958822127</v>
      </c>
      <c r="D12" s="2">
        <f>Assumptions!$C$25*Assumptions!E9*Assumptions!E13</f>
        <v>4827688.3142008195</v>
      </c>
      <c r="E12" s="2">
        <f>Assumptions!$C$25*Assumptions!F9*Assumptions!F13</f>
        <v>4991509.1137824897</v>
      </c>
      <c r="F12" s="2">
        <f>Assumptions!$C$25*Assumptions!G9*Assumptions!G13</f>
        <v>5160888.9413355067</v>
      </c>
      <c r="G12" s="2">
        <f>Assumptions!$C$25*Assumptions!H9*Assumptions!H13</f>
        <v>5336016.4346400825</v>
      </c>
      <c r="H12" s="2">
        <f>Assumptions!$C$25*Assumptions!I9*Assumptions!I13</f>
        <v>5517086.6326336702</v>
      </c>
      <c r="I12" s="2">
        <f>Assumptions!$C$25*Assumptions!J9*Assumptions!J13</f>
        <v>5704301.1926252088</v>
      </c>
      <c r="J12" s="2">
        <f>Assumptions!$C$25*Assumptions!K9*Assumptions!K13</f>
        <v>5897868.6148802312</v>
      </c>
      <c r="K12" s="2">
        <f>Assumptions!$C$25*Assumptions!L9*Assumptions!L13</f>
        <v>6098004.4748269534</v>
      </c>
      <c r="L12" s="2">
        <f>Assumptions!$C$25*Assumptions!M9*Assumptions!M13</f>
        <v>6304931.6631419547</v>
      </c>
      <c r="M12" s="2">
        <f>Assumptions!$C$25*Assumptions!N9*Assumptions!N13</f>
        <v>6518880.633982813</v>
      </c>
      <c r="N12" s="2">
        <f>Assumptions!$C$25*Assumptions!O9*Assumptions!O13</f>
        <v>6740089.6616441859</v>
      </c>
      <c r="O12" s="2">
        <f>Assumptions!$C$25*Assumptions!P9*Assumptions!P13</f>
        <v>6968805.1059231302</v>
      </c>
      <c r="P12" s="2">
        <f>Assumptions!$C$25*Assumptions!Q9*Assumptions!Q13</f>
        <v>7205281.6864892347</v>
      </c>
      <c r="Q12" s="2">
        <f>Assumptions!$C$25*Assumptions!R9*Assumptions!R13</f>
        <v>7449782.7665651217</v>
      </c>
      <c r="R12" s="2">
        <f>Assumptions!$C$25*Assumptions!S9*Assumptions!S13</f>
        <v>7702580.6462332262</v>
      </c>
      <c r="S12" s="2">
        <f>Assumptions!$C$25*Assumptions!T9*Assumptions!T13</f>
        <v>7963956.8656955464</v>
      </c>
      <c r="T12" s="2">
        <f>Assumptions!$C$25*Assumptions!U9*Assumptions!U13</f>
        <v>8234202.51882408</v>
      </c>
      <c r="U12" s="2">
        <f>Assumptions!$C$25*Assumptions!V9*Assumptions!V13</f>
        <v>8513618.5773511454</v>
      </c>
      <c r="V12" s="2">
        <f>Assumptions!$C$25*Assumptions!W9*Assumptions!W13</f>
        <v>8802516.2260606643</v>
      </c>
      <c r="W12" s="2">
        <f>Assumptions!$C$25*Assumptions!X9*Assumptions!X13</f>
        <v>9101217.2093536593</v>
      </c>
      <c r="X12" s="2">
        <f>Assumptions!$C$25*Assumptions!Y9*Assumptions!Y13</f>
        <v>9410054.1895739939</v>
      </c>
      <c r="Y12" s="2">
        <f>Assumptions!$C$25*Assumptions!Z9*Assumptions!Z13</f>
        <v>9729371.117493365</v>
      </c>
      <c r="Z12" s="2">
        <f>Assumptions!$C$25*Assumptions!AA9*Assumptions!AA13</f>
        <v>10059523.61536821</v>
      </c>
      <c r="AA12" s="2">
        <f>Assumptions!$C$25*Assumptions!AB9*Assumptions!AB13</f>
        <v>10400879.372995062</v>
      </c>
      <c r="AB12" s="2">
        <f>Assumptions!$C$25*Assumptions!AC9*Assumptions!AC13</f>
        <v>10753818.557205556</v>
      </c>
      <c r="AC12" s="2">
        <f>Assumptions!$C$25*Assumptions!AD9*Assumptions!AD13</f>
        <v>11118734.235256998</v>
      </c>
      <c r="AD12" s="2">
        <f>Assumptions!$C$25*Assumptions!AE9*Assumptions!AE13</f>
        <v>11496032.812590159</v>
      </c>
      <c r="AE12" s="2">
        <f>Assumptions!$C$25*Assumptions!AF9*Assumptions!AF13</f>
        <v>11886134.485441716</v>
      </c>
      <c r="AF12" s="2">
        <f>Assumptions!$C$25*Assumptions!AG9*Assumptions!AG13</f>
        <v>12289473.708815476</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1093169.3232524258</v>
      </c>
      <c r="D14" s="5">
        <f>Assumptions!E122*Assumptions!E9</f>
        <v>2234438.0967279584</v>
      </c>
      <c r="E14" s="5">
        <f>Assumptions!F122*Assumptions!F9</f>
        <v>3425393.6022839607</v>
      </c>
      <c r="F14" s="5">
        <f>Assumptions!G122*Assumptions!G9</f>
        <v>4667669.6820456097</v>
      </c>
      <c r="G14" s="5">
        <f>Assumptions!H122*Assumptions!H9</f>
        <v>5962948.0188132664</v>
      </c>
      <c r="H14" s="5">
        <f>Assumptions!I122*Assumptions!I9</f>
        <v>7312959.450272589</v>
      </c>
      <c r="I14" s="5">
        <f>Assumptions!J122*Assumptions!J9</f>
        <v>8719485.3178750183</v>
      </c>
      <c r="J14" s="5">
        <f>Assumptions!K122*Assumptions!K9</f>
        <v>10184358.851278022</v>
      </c>
      <c r="K14" s="5">
        <f>Assumptions!L122*Assumptions!L9</f>
        <v>11709466.589256907</v>
      </c>
      <c r="L14" s="5">
        <f>Assumptions!M122*Assumptions!M9</f>
        <v>13296749.838022843</v>
      </c>
      <c r="M14" s="5">
        <f>Assumptions!N122*Assumptions!N9</f>
        <v>14948206.167905282</v>
      </c>
      <c r="N14" s="5">
        <f>Assumptions!O122*Assumptions!O9</f>
        <v>16665890.949380945</v>
      </c>
      <c r="O14" s="5">
        <f>Assumptions!P122*Assumptions!P9</f>
        <v>18451918.929456271</v>
      </c>
      <c r="P14" s="5">
        <f>Assumptions!Q122*Assumptions!Q9</f>
        <v>20308465.849435404</v>
      </c>
      <c r="Q14" s="5">
        <f>Assumptions!R122*Assumptions!R9</f>
        <v>22237770.105131775</v>
      </c>
      <c r="R14" s="5">
        <f>Assumptions!S122*Assumptions!S9</f>
        <v>24242134.45060765</v>
      </c>
      <c r="S14" s="5">
        <f>Assumptions!T122*Assumptions!T9</f>
        <v>26323927.746553581</v>
      </c>
      <c r="T14" s="5">
        <f>Assumptions!U122*Assumptions!U9</f>
        <v>28485586.754447035</v>
      </c>
      <c r="U14" s="5">
        <f>Assumptions!V122*Assumptions!V9</f>
        <v>30729617.977658484</v>
      </c>
      <c r="V14" s="5">
        <f>Assumptions!W122*Assumptions!W9</f>
        <v>33058599.550702073</v>
      </c>
      <c r="W14" s="5">
        <f>Assumptions!X122*Assumptions!X9</f>
        <v>35475183.177858397</v>
      </c>
      <c r="X14" s="5">
        <f>Assumptions!Y122*Assumptions!Y9</f>
        <v>37982096.122427054</v>
      </c>
      <c r="Y14" s="5">
        <f>Assumptions!Z122*Assumptions!Z9</f>
        <v>40582143.247898646</v>
      </c>
      <c r="Z14" s="5">
        <f>Assumptions!AA122*Assumptions!AA9</f>
        <v>43278209.112367749</v>
      </c>
      <c r="AA14" s="5">
        <f>Assumptions!AB122*Assumptions!AB9</f>
        <v>46073260.117541499</v>
      </c>
      <c r="AB14" s="5">
        <f>Assumptions!AC122*Assumptions!AC9</f>
        <v>48970346.713732511</v>
      </c>
      <c r="AC14" s="5">
        <f>Assumptions!AD122*Assumptions!AD9</f>
        <v>51972605.662259035</v>
      </c>
      <c r="AD14" s="5">
        <f>Assumptions!AE122*Assumptions!AE9</f>
        <v>55083262.356711276</v>
      </c>
      <c r="AE14" s="5">
        <f>Assumptions!AF122*Assumptions!AF9</f>
        <v>58305633.204578899</v>
      </c>
      <c r="AF14" s="5">
        <f>Assumptions!AG122*Assumptions!AG9</f>
        <v>61643128.070772029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5762413.4191346383</v>
      </c>
      <c r="D27" s="2">
        <f t="shared" ref="D27:AF27" si="8">D12+D13+D14+D19+D20+D22+D24+D25</f>
        <v>7062126.4109287784</v>
      </c>
      <c r="E27" s="2">
        <f t="shared" si="8"/>
        <v>8416902.7160664499</v>
      </c>
      <c r="F27" s="2">
        <f t="shared" si="8"/>
        <v>9828558.6233811155</v>
      </c>
      <c r="G27" s="2">
        <f t="shared" si="8"/>
        <v>11298964.453453349</v>
      </c>
      <c r="H27" s="2">
        <f t="shared" si="8"/>
        <v>12830046.082906259</v>
      </c>
      <c r="I27" s="2">
        <f t="shared" si="8"/>
        <v>14423786.510500226</v>
      </c>
      <c r="J27" s="2">
        <f t="shared" si="8"/>
        <v>16082227.466158252</v>
      </c>
      <c r="K27" s="2">
        <f t="shared" si="8"/>
        <v>17807471.064083859</v>
      </c>
      <c r="L27" s="2">
        <f t="shared" si="8"/>
        <v>19601681.501164798</v>
      </c>
      <c r="M27" s="2">
        <f t="shared" si="8"/>
        <v>21467086.801888093</v>
      </c>
      <c r="N27" s="2">
        <f t="shared" si="8"/>
        <v>23405980.611025132</v>
      </c>
      <c r="O27" s="2">
        <f t="shared" si="8"/>
        <v>25420724.035379402</v>
      </c>
      <c r="P27" s="2">
        <f t="shared" si="8"/>
        <v>27513747.53592464</v>
      </c>
      <c r="Q27" s="2">
        <f t="shared" si="8"/>
        <v>29687552.871696897</v>
      </c>
      <c r="R27" s="2">
        <f t="shared" si="8"/>
        <v>31944715.096840877</v>
      </c>
      <c r="S27" s="2">
        <f t="shared" si="8"/>
        <v>34287884.612249129</v>
      </c>
      <c r="T27" s="2">
        <f t="shared" si="8"/>
        <v>36719789.273271114</v>
      </c>
      <c r="U27" s="2">
        <f t="shared" si="8"/>
        <v>39243236.555009633</v>
      </c>
      <c r="V27" s="2">
        <f t="shared" si="8"/>
        <v>41861115.776762739</v>
      </c>
      <c r="W27" s="2">
        <f t="shared" si="8"/>
        <v>44576400.387212053</v>
      </c>
      <c r="X27" s="2">
        <f t="shared" si="8"/>
        <v>47392150.31200105</v>
      </c>
      <c r="Y27" s="2">
        <f t="shared" si="8"/>
        <v>50311514.365392014</v>
      </c>
      <c r="Z27" s="2">
        <f t="shared" si="8"/>
        <v>53337732.727735959</v>
      </c>
      <c r="AA27" s="2">
        <f t="shared" si="8"/>
        <v>56474139.490536563</v>
      </c>
      <c r="AB27" s="2">
        <f t="shared" si="8"/>
        <v>59724165.270938069</v>
      </c>
      <c r="AC27" s="2">
        <f t="shared" si="8"/>
        <v>63091339.897516035</v>
      </c>
      <c r="AD27" s="2">
        <f t="shared" si="8"/>
        <v>66579295.169301435</v>
      </c>
      <c r="AE27" s="2">
        <f t="shared" si="8"/>
        <v>70191767.690020621</v>
      </c>
      <c r="AF27" s="2">
        <f t="shared" si="8"/>
        <v>73932601.779587507</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3W2DU3RAJ5R2-1900874439-830</_dlc_DocId>
    <_dlc_DocIdUrl xmlns="f54e2983-00ce-40fc-8108-18f351fc47bf">
      <Url>https://dia.cohesion.net.nz/Sites/LGV/TWRP/CAE/_layouts/15/DocIdRedir.aspx?ID=3W2DU3RAJ5R2-1900874439-830</Url>
      <Description>3W2DU3RAJ5R2-1900874439-830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3.xml><?xml version="1.0" encoding="utf-8"?>
<ds:datastoreItem xmlns:ds="http://schemas.openxmlformats.org/officeDocument/2006/customXml" ds:itemID="{381ED2F2-810C-4BD6-915B-41B0FE5D896C}"/>
</file>

<file path=customXml/itemProps4.xml><?xml version="1.0" encoding="utf-8"?>
<ds:datastoreItem xmlns:ds="http://schemas.openxmlformats.org/officeDocument/2006/customXml" ds:itemID="{52480321-FF60-4153-A7B5-AB6DF242D9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2021-06-28T22:01:56Z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8f203ae9-048c-4ea2-a4f5-756dc4ab24e9</vt:lpwstr>
  </property>
</Properties>
</file>