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5" documentId="8_{927A040D-E6DA-4A44-AC20-B8C949898B6A}" xr6:coauthVersionLast="47" xr6:coauthVersionMax="47" xr10:uidLastSave="{8CA5818E-5E60-4501-964D-26188DBD4349}"/>
  <bookViews>
    <workbookView xWindow="1290" yWindow="-110" windowWidth="37220" windowHeight="218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9" i="2" s="1"/>
  <c r="C82" i="2" l="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<sst xmlns="http://schemas.openxmlformats.org/spreadsheetml/2006/main" count="277" uniqueCount="206">
  <si>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</si>
  <si>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</si>
  <si>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</si>
  <si>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</si>
  <si>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</si>
  <si>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</si>
  <si>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</si>
  <si>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</si>
  <si>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</si>
  <si>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</si>
  <si>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</si>
  <si>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</si>
  <si>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</si>
  <si>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</si>
  <si>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</si>
  <si>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</si>
  <si>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</si>
  <si>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</si>
  <si>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</si>
  <si>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</si>
  <si>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</si>
  <si>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</si>
  <si>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</si>
  <si>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</si>
  <si>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</si>
  <si>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</si>
  <si>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</si>
  <si>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</si>
  <si>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</si>
  <si>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</si>
  <si>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</si>
  <si>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</si>
  <si>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</si>
  <si>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</si>
  <si>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</si>
  <si>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</si>
  <si>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</si>
  <si>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</si>
  <si>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</si>
  <si>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</si>
  <si>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</si>
  <si>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</si>
  <si>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</si>
  <si>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</si>
  <si>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</si>
  <si>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</si>
  <si>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</si>
  <si>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</si>
  <si>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</si>
  <si>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</si>
  <si>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</si>
  <si>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</si>
  <si>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</si>
  <si>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</si>
  <si>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</si>
  <si>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</si>
  <si>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</si>
  <si>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</si>
  <si>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</si>
  <si>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</si>
  <si>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</si>
  <si>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</si>
  <si>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</si>
  <si>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</si>
  <si>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</si>
  <si>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</si>
  <si>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</si>
  <si>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</si>
  <si>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</si>
  <si>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</si>
  <si>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</si>
  <si>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</si>
  <si>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</si>
  <si>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</si>
  <si>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</si>
  <si>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</si>
  <si>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</si>
  <si>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</si>
  <si>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</si>
  <si>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</si>
  <si>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</si>
  <si>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</si>
  <si>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</si>
  <si>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</si>
  <si>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</si>
  <si>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</si>
  <si>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</si>
  <si>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</si>
  <si>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</si>
  <si>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</si>
  <si>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</si>
  <si>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</si>
  <si>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</si>
  <si>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</si>
  <si>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</si>
  <si>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</si>
  <si>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</si>
  <si>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</si>
  <si>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</si>
  <si>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</si>
  <si>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</si>
  <si>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</si>
  <si>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</si>
  <si>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</si>
  <si>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</si>
  <si>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</si>
  <si>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</si>
  <si>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</si>
  <si>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</si>
  <si>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</si>
  <si>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</si>
  <si>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</si>
  <si>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</si>
  <si>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</si>
  <si>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</si>
  <si>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</si>
  <si>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</si>
  <si>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</si>
  <si>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</si>
  <si>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</si>
  <si>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</si>
  <si>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</si>
  <si>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</si>
  <si>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</si>
  <si>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</si>
  <si>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</si>
  <si>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</si>
  <si>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</si>
  <si>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</si>
  <si>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</si>
  <si>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</si>
  <si>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</si>
  <si>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</si>
  <si>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</si>
  <si>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</si>
  <si>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</si>
  <si>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</si>
  <si>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</si>
  <si>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</si>
  <si>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</si>
  <si>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</si>
  <si>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</si>
  <si>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</si>
  <si>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</si>
  <si>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</si>
  <si>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</si>
  <si>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</si>
  <si>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</si>
  <si>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</si>
  <si>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</si>
  <si>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</si>
  <si>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</si>
  <si>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</si>
  <si>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</si>
  <si>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</si>
  <si>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</si>
  <si>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</si>
  <si>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Queenstown Lakes Stand-alone Council</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</si>
  <si>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</si>
  <si>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</si>
  <si>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</si>
  <si>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</si>
  <si>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</si>
  <si>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</si>
  <si>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</si>
  <si>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</si>
  <si>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</si>
  <si>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</si>
  <si>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</si>
  <si>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</si>
  <si>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</si>
  <si>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</si>
  <si>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</si>
  <si>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</si>
  <si>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</si>
  <si>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</si>
  <si>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</si>
  <si>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</si>
  <si>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</si>
  <si>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</si>
  <si>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</si>
  <si>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</si>
  <si>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</si>
  <si>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</si>
  <si>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</si>
  <si>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</si>
  <si>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</si>
  <si>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</si>
  <si>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</si>
  <si>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</si>
  <si>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</si>
  <si>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</si>
  <si>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</si>
  <si>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</si>
  <si>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</si>
  <si>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</si>
  <si>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</si>
  <si>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</si>
  <si>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RFI Table A1; Line A1.43
Queenstown Lakes District Council requested that we use a population estimate that includes tourist population</t>
  </si>
  <si>
    <t>RFI Table E7; Line E7.1</t>
  </si>
  <si>
    <t>RFI Table A3; Line A3.58
Queenstown Lakes District Council requested that we use a population estimate that includes tourist population</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</si>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</sst>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b/>
      <sz val="20"/>
      <color rgb="FFFF0000"/>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3">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72" fontId="18" fillId="0" borderId="0" xfId="0" applyNumberFormat="1" applyFont="1" applyFill="1" applyBorder="1" applyAlignment="1">
      <alignment vertical="top"/>
    </xf>
    <xf numFmtId="0" fontId="19" fillId="0" borderId="0" xfId="0" applyFont="1" applyAlignment="1">
      <alignment horizontal="left" vertical="center" wrapText="1"/>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13.1640625" style="63"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157</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1605368764.4999998</v>
      </c>
      <c r="C6" s="12">
        <f ca="1">B6+Depreciation!C18+'Cash Flow'!C13</f>
        <v>1633320955.5234284</v>
      </c>
      <c r="D6" s="1">
        <f ca="1">C6+Depreciation!D18</f>
        <v>1781302697.6375051</v>
      </c>
      <c r="E6" s="1">
        <f ca="1">D6+Depreciation!E18</f>
        <v>1936895143.2527604</v>
      </c>
      <c r="F6" s="1">
        <f ca="1">E6+Depreciation!F18</f>
        <v>2100433844.0893447</v>
      </c>
      <c r="G6" s="1">
        <f ca="1">F6+Depreciation!G18</f>
        <v>2272268033.8171134</v>
      </c>
      <c r="H6" s="1">
        <f ca="1">G6+Depreciation!H18</f>
        <v>2452761160.0954452</v>
      </c>
      <c r="I6" s="1">
        <f ca="1">H6+Depreciation!I18</f>
        <v>2642291436.6532955</v>
      </c>
      <c r="J6" s="1">
        <f ca="1">I6+Depreciation!J18</f>
        <v>2841252416.147244</v>
      </c>
      <c r="K6" s="1">
        <f ca="1">J6+Depreciation!K18</f>
        <v>3050053584.562006</v>
      </c>
      <c r="L6" s="1">
        <f ca="1">K6+Depreciation!L18</f>
        <v>3269120977.9455113</v>
      </c>
      <c r="M6" s="1">
        <f ca="1">L6+Depreciation!M18</f>
        <v>3498897822.2993031</v>
      </c>
      <c r="N6" s="1">
        <f ca="1">M6+Depreciation!N18</f>
        <v>3739845197.4746552</v>
      </c>
      <c r="O6" s="1">
        <f ca="1">N6+Depreciation!O18</f>
        <v>3992442725.9555287</v>
      </c>
      <c r="P6" s="1">
        <f ca="1">O6+Depreciation!P18</f>
        <v>4257189287.441298</v>
      </c>
      <c r="Q6" s="1">
        <f ca="1">P6+Depreciation!Q18</f>
        <v>4534603760.1751118</v>
      </c>
      <c r="R6" s="1">
        <f ca="1">Q6+Depreciation!R18</f>
        <v>4825225789.9978828</v>
      </c>
      <c r="S6" s="1">
        <f ca="1">R6+Depreciation!S18</f>
        <v>5129616588.1432257</v>
      </c>
      <c r="T6" s="1">
        <f ca="1">S6+Depreciation!T18</f>
        <v>5448359758.8252468</v>
      </c>
      <c r="U6" s="1">
        <f ca="1">T6+Depreciation!U18</f>
        <v>5782062157.708992</v>
      </c>
      <c r="V6" s="1">
        <f ca="1">U6+Depreciation!V18</f>
        <v>6131354782.3925934</v>
      </c>
      <c r="W6" s="1">
        <f ca="1">V6+Depreciation!W18</f>
        <v>6496893696.0707855</v>
      </c>
      <c r="X6" s="1">
        <f ca="1">W6+Depreciation!X18</f>
        <v>6879360985.5915451</v>
      </c>
      <c r="Y6" s="1">
        <f ca="1">X6+Depreciation!Y18</f>
        <v>7279465755.16119</v>
      </c>
      <c r="Z6" s="1">
        <f ca="1">Y6+Depreciation!Z18</f>
        <v>7697945156.9983807</v>
      </c>
      <c r="AA6" s="1">
        <f ca="1">Z6+Depreciation!AA18</f>
        <v>8135565460.2842007</v>
      </c>
      <c r="AB6" s="1">
        <f ca="1">AA6+Depreciation!AB18</f>
        <v>8593123159.8038807</v>
      </c>
      <c r="AC6" s="1">
        <f ca="1">AB6+Depreciation!AC18</f>
        <v>9071446125.7258224</v>
      </c>
      <c r="AD6" s="1">
        <f ca="1">AC6+Depreciation!AD18</f>
        <v>9571394796.0154629</v>
      </c>
      <c r="AE6" s="1">
        <f ca="1">AD6+Depreciation!AE18</f>
        <v>10093863413.035231</v>
      </c>
      <c r="AF6" s="1"/>
      <c r="AG6" s="1"/>
      <c r="AH6" s="1"/>
      <c r="AI6" s="1"/>
      <c r="AJ6" s="1"/>
      <c r="AK6" s="1"/>
      <c r="AL6" s="1"/>
      <c r="AM6" s="1"/>
      <c r="AN6" s="1"/>
      <c r="AO6" s="1"/>
      <c r="AP6" s="1"/>
    </row>
    <row r="7" spans="1:42" x14ac:dyDescent="0.35">
      <c r="A7" t="s">
        <v>12</v>
      </c>
      <c r="B7" s="1">
        <f>Depreciation!C12</f>
        <v>830888642.16451323</v>
      </c>
      <c r="C7" s="1">
        <f>Depreciation!D12</f>
        <v>862781569.94040728</v>
      </c>
      <c r="D7" s="1">
        <f>Depreciation!E12</f>
        <v>898570359.15865803</v>
      </c>
      <c r="E7" s="1">
        <f>Depreciation!F12</f>
        <v>938471686.59353387</v>
      </c>
      <c r="F7" s="1">
        <f>Depreciation!G12</f>
        <v>982712106.97073925</v>
      </c>
      <c r="G7" s="1">
        <f>Depreciation!H12</f>
        <v>1031528463.27929</v>
      </c>
      <c r="H7" s="1">
        <f>Depreciation!I12</f>
        <v>1085168313.2283258</v>
      </c>
      <c r="I7" s="1">
        <f>Depreciation!J12</f>
        <v>1143890372.461978</v>
      </c>
      <c r="J7" s="1">
        <f>Depreciation!K12</f>
        <v>1207964975.1681139</v>
      </c>
      <c r="K7" s="1">
        <f>Depreciation!L12</f>
        <v>1277674552.7403176</v>
      </c>
      <c r="L7" s="1">
        <f>Depreciation!M12</f>
        <v>1353314131.176846</v>
      </c>
      <c r="M7" s="1">
        <f>Depreciation!N12</f>
        <v>1435191847.9255822</v>
      </c>
      <c r="N7" s="1">
        <f>Depreciation!O12</f>
        <v>1523629488.9101882</v>
      </c>
      <c r="O7" s="1">
        <f>Depreciation!P12</f>
        <v>1618963046.4998093</v>
      </c>
      <c r="P7" s="1">
        <f>Depreciation!Q12</f>
        <v>1721543299.2127979</v>
      </c>
      <c r="Q7" s="1">
        <f>Depreciation!R12</f>
        <v>1831736413.9740779</v>
      </c>
      <c r="R7" s="1">
        <f>Depreciation!S12</f>
        <v>1949924571.7759621</v>
      </c>
      <c r="S7" s="1">
        <f>Depreciation!T12</f>
        <v>2076506617.6235332</v>
      </c>
      <c r="T7" s="1">
        <f>Depreciation!U12</f>
        <v>2211898735.6781263</v>
      </c>
      <c r="U7" s="1">
        <f>Depreciation!V12</f>
        <v>2356535150.5460429</v>
      </c>
      <c r="V7" s="1">
        <f>Depreciation!W12</f>
        <v>2510868855.694448</v>
      </c>
      <c r="W7" s="1">
        <f>Depreciation!X12</f>
        <v>2675372370.0124674</v>
      </c>
      <c r="X7" s="1">
        <f>Depreciation!Y12</f>
        <v>2850538523.572885</v>
      </c>
      <c r="Y7" s="1">
        <f>Depreciation!Z12</f>
        <v>3036881273.6885524</v>
      </c>
      <c r="Z7" s="1">
        <f>Depreciation!AA12</f>
        <v>3234936552.3977604</v>
      </c>
      <c r="AA7" s="1">
        <f>Depreciation!AB12</f>
        <v>3445263146.5543761</v>
      </c>
      <c r="AB7" s="1">
        <f>Depreciation!AC12</f>
        <v>3668443611.7416358</v>
      </c>
      <c r="AC7" s="1">
        <f>Depreciation!AD12</f>
        <v>3905085221.2730846</v>
      </c>
      <c r="AD7" s="1">
        <f>Depreciation!AE12</f>
        <v>4155820951.5903983</v>
      </c>
      <c r="AE7" s="1">
        <f>Depreciation!AF12</f>
        <v>4421310505.4157124</v>
      </c>
      <c r="AF7" s="1"/>
      <c r="AG7" s="1"/>
      <c r="AH7" s="1"/>
      <c r="AI7" s="1"/>
      <c r="AJ7" s="1"/>
      <c r="AK7" s="1"/>
      <c r="AL7" s="1"/>
      <c r="AM7" s="1"/>
      <c r="AN7" s="1"/>
      <c r="AO7" s="1"/>
      <c r="AP7" s="1"/>
    </row>
    <row r="8" spans="1:42" x14ac:dyDescent="0.35">
      <c r="A8" t="s">
        <v>191</v>
      </c>
      <c r="B8" s="1">
        <f t="shared" ref="B8:AE8" si="1">B6-B7</f>
        <v>774480122.33548653</v>
      </c>
      <c r="C8" s="1">
        <f t="shared" ca="1" si="1"/>
        <v>770539385.58302116</v>
      </c>
      <c r="D8" s="1">
        <f ca="1">D6-D7</f>
        <v>882732338.47884703</v>
      </c>
      <c r="E8" s="1">
        <f t="shared" ca="1" si="1"/>
        <v>998423456.65922654</v>
      </c>
      <c r="F8" s="1">
        <f t="shared" ca="1" si="1"/>
        <v>1117721737.1186056</v>
      </c>
      <c r="G8" s="1">
        <f t="shared" ca="1" si="1"/>
        <v>1240739570.5378234</v>
      </c>
      <c r="H8" s="1">
        <f t="shared" ca="1" si="1"/>
        <v>1367592846.8671193</v>
      </c>
      <c r="I8" s="1">
        <f t="shared" ca="1" si="1"/>
        <v>1498401064.1913176</v>
      </c>
      <c r="J8" s="1">
        <f t="shared" ca="1" si="1"/>
        <v>1633287440.97913</v>
      </c>
      <c r="K8" s="1">
        <f t="shared" ca="1" si="1"/>
        <v>1772379031.8216884</v>
      </c>
      <c r="L8" s="1">
        <f t="shared" ca="1" si="1"/>
        <v>1915806846.7686653</v>
      </c>
      <c r="M8" s="1">
        <f t="shared" ca="1" si="1"/>
        <v>2063705974.3737209</v>
      </c>
      <c r="N8" s="1">
        <f t="shared" ca="1" si="1"/>
        <v>2216215708.564467</v>
      </c>
      <c r="O8" s="1">
        <f t="shared" ca="1" si="1"/>
        <v>2373479679.4557195</v>
      </c>
      <c r="P8" s="1">
        <f t="shared" ca="1" si="1"/>
        <v>2535645988.2285004</v>
      </c>
      <c r="Q8" s="1">
        <f t="shared" ca="1" si="1"/>
        <v>2702867346.2010336</v>
      </c>
      <c r="R8" s="1">
        <f t="shared" ca="1" si="1"/>
        <v>2875301218.221921</v>
      </c>
      <c r="S8" s="1">
        <f t="shared" ca="1" si="1"/>
        <v>3053109970.5196924</v>
      </c>
      <c r="T8" s="1">
        <f t="shared" ca="1" si="1"/>
        <v>3236461023.1471205</v>
      </c>
      <c r="U8" s="1">
        <f t="shared" ca="1" si="1"/>
        <v>3425527007.1629491</v>
      </c>
      <c r="V8" s="1">
        <f t="shared" ca="1" si="1"/>
        <v>3620485926.6981454</v>
      </c>
      <c r="W8" s="1">
        <f t="shared" ca="1" si="1"/>
        <v>3821521326.0583181</v>
      </c>
      <c r="X8" s="1">
        <f t="shared" ca="1" si="1"/>
        <v>4028822462.0186601</v>
      </c>
      <c r="Y8" s="1">
        <f t="shared" ca="1" si="1"/>
        <v>4242584481.4726377</v>
      </c>
      <c r="Z8" s="1">
        <f t="shared" ca="1" si="1"/>
        <v>4463008604.6006203</v>
      </c>
      <c r="AA8" s="1">
        <f t="shared" ca="1" si="1"/>
        <v>4690302313.7298241</v>
      </c>
      <c r="AB8" s="1">
        <f t="shared" ca="1" si="1"/>
        <v>4924679548.0622444</v>
      </c>
      <c r="AC8" s="1">
        <f t="shared" ca="1" si="1"/>
        <v>5166360904.4527378</v>
      </c>
      <c r="AD8" s="1">
        <f t="shared" ca="1" si="1"/>
        <v>5415573844.4250641</v>
      </c>
      <c r="AE8" s="1">
        <f t="shared" ca="1" si="1"/>
        <v>5672552907.6195183</v>
      </c>
      <c r="AF8" s="1"/>
      <c r="AG8" s="1"/>
      <c r="AH8" s="1"/>
      <c r="AI8" s="1"/>
      <c r="AJ8" s="1"/>
      <c r="AK8" s="1"/>
      <c r="AL8" s="1"/>
      <c r="AM8" s="1"/>
      <c r="AN8" s="1"/>
      <c r="AO8" s="1"/>
      <c r="AP8" s="1"/>
    </row>
    <row r="10" spans="1:42" x14ac:dyDescent="0.35">
      <c r="A10" t="s">
        <v>17</v>
      </c>
      <c r="B10" s="1">
        <f>B8-B11</f>
        <v>700047122.33548653</v>
      </c>
      <c r="C10" s="1">
        <f ca="1">C8-C11</f>
        <v>583365155.51152706</v>
      </c>
      <c r="D10" s="1">
        <f ca="1">D8-D11</f>
        <v>592467251.8987385</v>
      </c>
      <c r="E10" s="1">
        <f t="shared" ref="E10:AE10" ca="1" si="2">E8-E11</f>
        <v>625995417.72335124</v>
      </c>
      <c r="F10" s="1">
        <f t="shared" ca="1" si="2"/>
        <v>679436666.71738696</v>
      </c>
      <c r="G10" s="1">
        <f ca="1">G8-G11</f>
        <v>748875899.65392041</v>
      </c>
      <c r="H10" s="1">
        <f t="shared" ca="1" si="2"/>
        <v>839540400.64905775</v>
      </c>
      <c r="I10" s="1">
        <f t="shared" ca="1" si="2"/>
        <v>935443318.786484</v>
      </c>
      <c r="J10" s="1">
        <f t="shared" ca="1" si="2"/>
        <v>1036333713.0783089</v>
      </c>
      <c r="K10" s="1">
        <f t="shared" ca="1" si="2"/>
        <v>1139155542.4682236</v>
      </c>
      <c r="L10" s="1">
        <f t="shared" ca="1" si="2"/>
        <v>1244186893.8648868</v>
      </c>
      <c r="M10" s="1">
        <f t="shared" ca="1" si="2"/>
        <v>1351744878.0205798</v>
      </c>
      <c r="N10" s="1">
        <f t="shared" ca="1" si="2"/>
        <v>1462189475.7038832</v>
      </c>
      <c r="O10" s="1">
        <f t="shared" ca="1" si="2"/>
        <v>1575927697.0480006</v>
      </c>
      <c r="P10" s="1">
        <f t="shared" ca="1" si="2"/>
        <v>1693418076.9814804</v>
      </c>
      <c r="Q10" s="1">
        <f t="shared" ca="1" si="2"/>
        <v>1812201004.4596164</v>
      </c>
      <c r="R10" s="1">
        <f t="shared" ca="1" si="2"/>
        <v>1932405655.9430215</v>
      </c>
      <c r="S10" s="1">
        <f t="shared" ca="1" si="2"/>
        <v>2054183154.5085666</v>
      </c>
      <c r="T10" s="1">
        <f t="shared" ca="1" si="2"/>
        <v>2177708805.0156622</v>
      </c>
      <c r="U10" s="1">
        <f t="shared" ca="1" si="2"/>
        <v>2303184506.0419049</v>
      </c>
      <c r="V10" s="1">
        <f t="shared" ca="1" si="2"/>
        <v>2430841350.7639399</v>
      </c>
      <c r="W10" s="1">
        <f t="shared" ca="1" si="2"/>
        <v>2560942429.7307329</v>
      </c>
      <c r="X10" s="1">
        <f t="shared" ca="1" si="2"/>
        <v>2693785849.2941046</v>
      </c>
      <c r="Y10" s="1">
        <f t="shared" ca="1" si="2"/>
        <v>2829707980.3280191</v>
      </c>
      <c r="Z10" s="1">
        <f t="shared" ca="1" si="2"/>
        <v>2969086952.7865157</v>
      </c>
      <c r="AA10" s="1">
        <f t="shared" ca="1" si="2"/>
        <v>3112346412.6234183</v>
      </c>
      <c r="AB10" s="1">
        <f t="shared" ca="1" si="2"/>
        <v>3259959558.6281018</v>
      </c>
      <c r="AC10" s="1">
        <f t="shared" ca="1" si="2"/>
        <v>3412453477.8240476</v>
      </c>
      <c r="AD10" s="1">
        <f t="shared" ca="1" si="2"/>
        <v>3570413799.2341733</v>
      </c>
      <c r="AE10" s="1">
        <f t="shared" ca="1" si="2"/>
        <v>3734489687.042696</v>
      </c>
      <c r="AF10" s="1"/>
      <c r="AG10" s="1"/>
      <c r="AH10" s="1"/>
      <c r="AI10" s="1"/>
      <c r="AJ10" s="1"/>
      <c r="AK10" s="1"/>
      <c r="AL10" s="1"/>
      <c r="AM10" s="1"/>
      <c r="AN10" s="1"/>
      <c r="AO10" s="1"/>
    </row>
    <row r="11" spans="1:42" x14ac:dyDescent="0.35">
      <c r="A11" t="s">
        <v>9</v>
      </c>
      <c r="B11" s="1">
        <f>Assumptions!$C$20</f>
        <v>74433000</v>
      </c>
      <c r="C11" s="1">
        <f ca="1">'Debt worksheet'!D5</f>
        <v>187174230.07149407</v>
      </c>
      <c r="D11" s="1">
        <f ca="1">'Debt worksheet'!E5</f>
        <v>290265086.58010852</v>
      </c>
      <c r="E11" s="1">
        <f ca="1">'Debt worksheet'!F5</f>
        <v>372428038.9358753</v>
      </c>
      <c r="F11" s="1">
        <f ca="1">'Debt worksheet'!G5</f>
        <v>438285070.40121865</v>
      </c>
      <c r="G11" s="1">
        <f ca="1">'Debt worksheet'!H5</f>
        <v>491863670.88390303</v>
      </c>
      <c r="H11" s="1">
        <f ca="1">'Debt worksheet'!I5</f>
        <v>528052446.21806157</v>
      </c>
      <c r="I11" s="1">
        <f ca="1">'Debt worksheet'!J5</f>
        <v>562957745.40483356</v>
      </c>
      <c r="J11" s="1">
        <f ca="1">'Debt worksheet'!K5</f>
        <v>596953727.90082109</v>
      </c>
      <c r="K11" s="1">
        <f ca="1">'Debt worksheet'!L5</f>
        <v>633223489.35346484</v>
      </c>
      <c r="L11" s="1">
        <f ca="1">'Debt worksheet'!M5</f>
        <v>671619952.90377855</v>
      </c>
      <c r="M11" s="1">
        <f ca="1">'Debt worksheet'!N5</f>
        <v>711961096.35314095</v>
      </c>
      <c r="N11" s="1">
        <f ca="1">'Debt worksheet'!O5</f>
        <v>754026232.8605839</v>
      </c>
      <c r="O11" s="1">
        <f ca="1">'Debt worksheet'!P5</f>
        <v>797551982.4077189</v>
      </c>
      <c r="P11" s="1">
        <f ca="1">'Debt worksheet'!Q5</f>
        <v>842227911.24702001</v>
      </c>
      <c r="Q11" s="1">
        <f ca="1">'Debt worksheet'!R5</f>
        <v>890666341.74141717</v>
      </c>
      <c r="R11" s="1">
        <f ca="1">'Debt worksheet'!S5</f>
        <v>942895562.27889943</v>
      </c>
      <c r="S11" s="1">
        <f ca="1">'Debt worksheet'!T5</f>
        <v>998926816.0111258</v>
      </c>
      <c r="T11" s="1">
        <f ca="1">'Debt worksheet'!U5</f>
        <v>1058752218.1314582</v>
      </c>
      <c r="U11" s="1">
        <f ca="1">'Debt worksheet'!V5</f>
        <v>1122342501.1210442</v>
      </c>
      <c r="V11" s="1">
        <f ca="1">'Debt worksheet'!W5</f>
        <v>1189644575.9342058</v>
      </c>
      <c r="W11" s="1">
        <f ca="1">'Debt worksheet'!X5</f>
        <v>1260578896.3275855</v>
      </c>
      <c r="X11" s="1">
        <f ca="1">'Debt worksheet'!Y5</f>
        <v>1335036612.7245555</v>
      </c>
      <c r="Y11" s="1">
        <f ca="1">'Debt worksheet'!Z5</f>
        <v>1412876501.1446185</v>
      </c>
      <c r="Z11" s="1">
        <f ca="1">'Debt worksheet'!AA5</f>
        <v>1493921651.8141046</v>
      </c>
      <c r="AA11" s="1">
        <f ca="1">'Debt worksheet'!AB5</f>
        <v>1577955901.1064057</v>
      </c>
      <c r="AB11" s="1">
        <f ca="1">'Debt worksheet'!AC5</f>
        <v>1664719989.4341426</v>
      </c>
      <c r="AC11" s="1">
        <f ca="1">'Debt worksheet'!AD5</f>
        <v>1753907426.6286902</v>
      </c>
      <c r="AD11" s="1">
        <f ca="1">'Debt worksheet'!AE5</f>
        <v>1845160045.1908908</v>
      </c>
      <c r="AE11" s="1">
        <f ca="1">'Debt worksheet'!AF5</f>
        <v>1938063220.5768223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-252068.89108456299</v>
      </c>
      <c r="D5" s="4">
        <f ca="1">'Profit and Loss'!D9</f>
        <v>12997957.829568133</v>
      </c>
      <c r="E5" s="4">
        <f ca="1">'Profit and Loss'!E9</f>
        <v>37640704.041237682</v>
      </c>
      <c r="F5" s="4">
        <f ca="1">'Profit and Loss'!F9</f>
        <v>57780341.936365195</v>
      </c>
      <c r="G5" s="4">
        <f ca="1">'Profit and Loss'!G9</f>
        <v>74015168.867878914</v>
      </c>
      <c r="H5" s="4">
        <f ca="1">'Profit and Loss'!H9</f>
        <v>95487994.63562274</v>
      </c>
      <c r="I5" s="4">
        <f ca="1">'Profit and Loss'!I9</f>
        <v>100985127.42204231</v>
      </c>
      <c r="J5" s="4">
        <f ca="1">'Profit and Loss'!J9</f>
        <v>106242937.76430887</v>
      </c>
      <c r="K5" s="4">
        <f ca="1">'Profit and Loss'!K9</f>
        <v>108456804.25598203</v>
      </c>
      <c r="L5" s="4">
        <f ca="1">'Profit and Loss'!L9</f>
        <v>110961352.26098816</v>
      </c>
      <c r="M5" s="4">
        <f ca="1">'Profit and Loss'!M9</f>
        <v>113796122.46790117</v>
      </c>
      <c r="N5" s="4">
        <f ca="1">'Profit and Loss'!N9</f>
        <v>117004521.91917303</v>
      </c>
      <c r="O5" s="4">
        <f ca="1">'Profit and Loss'!O9</f>
        <v>120634137.94913274</v>
      </c>
      <c r="P5" s="4">
        <f ca="1">'Profit and Loss'!P9</f>
        <v>124737075.05684707</v>
      </c>
      <c r="Q5" s="4">
        <f ca="1">'Profit and Loss'!Q9</f>
        <v>126395789.52642775</v>
      </c>
      <c r="R5" s="4">
        <f ca="1">'Profit and Loss'!R9</f>
        <v>128199694.52400918</v>
      </c>
      <c r="S5" s="4">
        <f ca="1">'Profit and Loss'!S9</f>
        <v>130171386.6112327</v>
      </c>
      <c r="T5" s="4">
        <f ca="1">'Profit and Loss'!T9</f>
        <v>132335722.71411748</v>
      </c>
      <c r="U5" s="4">
        <f ca="1">'Profit and Loss'!U9</f>
        <v>134719997.8395662</v>
      </c>
      <c r="V5" s="4">
        <f ca="1">'Profit and Loss'!V9</f>
        <v>137354135.00252345</v>
      </c>
      <c r="W5" s="4">
        <f ca="1">'Profit and Loss'!W9</f>
        <v>140270888.13640723</v>
      </c>
      <c r="X5" s="4">
        <f ca="1">'Profit and Loss'!X9</f>
        <v>143506058.80577025</v>
      </c>
      <c r="Y5" s="4">
        <f ca="1">'Profit and Loss'!Y9</f>
        <v>147098727.58916485</v>
      </c>
      <c r="Z5" s="4">
        <f ca="1">'Profit and Loss'!Z9</f>
        <v>151091501.05203706</v>
      </c>
      <c r="AA5" s="4">
        <f ca="1">'Profit and Loss'!AA9</f>
        <v>155530775.28431067</v>
      </c>
      <c r="AB5" s="4">
        <f ca="1">'Profit and Loss'!AB9</f>
        <v>160467017.03532672</v>
      </c>
      <c r="AC5" s="4">
        <f ca="1">'Profit and Loss'!AC9</f>
        <v>165955063.54013377</v>
      </c>
      <c r="AD5" s="4">
        <f ca="1">'Profit and Loss'!AD9</f>
        <v>172054442.1959908</v>
      </c>
      <c r="AE5" s="4">
        <f ca="1">'Profit and Loss'!AE9</f>
        <v>178829711.31652194</v>
      </c>
      <c r="AF5" s="4">
        <f ca="1">'Profit and Loss'!AF9</f>
        <v>186350823.26347864</v>
      </c>
      <c r="AG5" s="4"/>
      <c r="AH5" s="4"/>
      <c r="AI5" s="4"/>
      <c r="AJ5" s="4"/>
      <c r="AK5" s="4"/>
      <c r="AL5" s="4"/>
      <c r="AM5" s="4"/>
      <c r="AN5" s="4"/>
      <c r="AO5" s="4"/>
      <c r="AP5" s="4"/>
    </row>
    <row r="6" spans="1:42" x14ac:dyDescent="0.35">
      <c r="A6" t="s">
        <v>21</v>
      </c>
      <c r="C6" s="4">
        <f>Depreciation!C8+Depreciation!C9</f>
        <v>28204259.914513245</v>
      </c>
      <c r="D6" s="4">
        <f>Depreciation!D8+Depreciation!D9</f>
        <v>31892927.775894053</v>
      </c>
      <c r="E6" s="4">
        <f>Depreciation!E8+Depreciation!E9</f>
        <v>35788789.218250774</v>
      </c>
      <c r="F6" s="4">
        <f>Depreciation!F8+Depreciation!F9</f>
        <v>39901327.434875801</v>
      </c>
      <c r="G6" s="4">
        <f>Depreciation!G8+Depreciation!G9</f>
        <v>44240420.37720535</v>
      </c>
      <c r="H6" s="4">
        <f>Depreciation!H8+Depreciation!H9</f>
        <v>48816356.308550671</v>
      </c>
      <c r="I6" s="4">
        <f>Depreciation!I8+Depreciation!I9</f>
        <v>53639849.949035823</v>
      </c>
      <c r="J6" s="4">
        <f>Depreciation!J8+Depreciation!J9</f>
        <v>58722059.233652093</v>
      </c>
      <c r="K6" s="4">
        <f>Depreciation!K8+Depreciation!K9</f>
        <v>64074602.706135988</v>
      </c>
      <c r="L6" s="4">
        <f>Depreciation!L8+Depreciation!L9</f>
        <v>69709577.572203577</v>
      </c>
      <c r="M6" s="4">
        <f>Depreciation!M8+Depreciation!M9</f>
        <v>75639578.436528414</v>
      </c>
      <c r="N6" s="4">
        <f>Depreciation!N8+Depreciation!N9</f>
        <v>81877716.748736113</v>
      </c>
      <c r="O6" s="4">
        <f>Depreciation!O8+Depreciation!O9</f>
        <v>88437640.984606087</v>
      </c>
      <c r="P6" s="4">
        <f>Depreciation!P8+Depreciation!P9</f>
        <v>95333557.589621037</v>
      </c>
      <c r="Q6" s="4">
        <f>Depreciation!Q8+Depreciation!Q9</f>
        <v>102580252.71298867</v>
      </c>
      <c r="R6" s="4">
        <f>Depreciation!R8+Depreciation!R9</f>
        <v>110193114.76128015</v>
      </c>
      <c r="S6" s="4">
        <f>Depreciation!S8+Depreciation!S9</f>
        <v>118188157.80188411</v>
      </c>
      <c r="T6" s="4">
        <f>Depreciation!T8+Depreciation!T9</f>
        <v>126582045.84757119</v>
      </c>
      <c r="U6" s="4">
        <f>Depreciation!U8+Depreciation!U9</f>
        <v>135392118.05459312</v>
      </c>
      <c r="V6" s="4">
        <f>Depreciation!V8+Depreciation!V9</f>
        <v>144636414.86791655</v>
      </c>
      <c r="W6" s="4">
        <f>Depreciation!W8+Depreciation!W9</f>
        <v>154333705.14840481</v>
      </c>
      <c r="X6" s="4">
        <f>Depreciation!X8+Depreciation!X9</f>
        <v>164503514.31801951</v>
      </c>
      <c r="Y6" s="4">
        <f>Depreciation!Y8+Depreciation!Y9</f>
        <v>175166153.56041759</v>
      </c>
      <c r="Z6" s="4">
        <f>Depreciation!Z8+Depreciation!Z9</f>
        <v>186342750.11566752</v>
      </c>
      <c r="AA6" s="4">
        <f>Depreciation!AA8+Depreciation!AA9</f>
        <v>198055278.70920765</v>
      </c>
      <c r="AB6" s="4">
        <f>Depreciation!AB8+Depreciation!AB9</f>
        <v>210326594.15661576</v>
      </c>
      <c r="AC6" s="4">
        <f>Depreciation!AC8+Depreciation!AC9</f>
        <v>223180465.18725985</v>
      </c>
      <c r="AD6" s="4">
        <f>Depreciation!AD8+Depreciation!AD9</f>
        <v>236641609.53144878</v>
      </c>
      <c r="AE6" s="4">
        <f>Depreciation!AE8+Depreciation!AE9</f>
        <v>250735730.31731403</v>
      </c>
      <c r="AF6" s="4">
        <f>Depreciation!AF8+Depreciation!AF9</f>
        <v>265489553.8253144</v>
      </c>
      <c r="AG6" s="4"/>
      <c r="AH6" s="4"/>
      <c r="AI6" s="4"/>
      <c r="AJ6" s="4"/>
      <c r="AK6" s="4"/>
      <c r="AL6" s="4"/>
      <c r="AM6" s="4"/>
      <c r="AN6" s="4"/>
      <c r="AO6" s="4"/>
      <c r="AP6" s="4"/>
    </row>
    <row r="7" spans="1:42" x14ac:dyDescent="0.35">
      <c r="A7" t="s">
        <v>23</v>
      </c>
      <c r="C7" s="4">
        <f ca="1">C6+C5</f>
        <v>27952191.023428682</v>
      </c>
      <c r="D7" s="4">
        <f ca="1">D6+D5</f>
        <v>44890885.605462186</v>
      </c>
      <c r="E7" s="4">
        <f t="shared" ref="E7:AF7" ca="1" si="1">E6+E5</f>
        <v>73429493.259488463</v>
      </c>
      <c r="F7" s="4">
        <f t="shared" ca="1" si="1"/>
        <v>97681669.371241003</v>
      </c>
      <c r="G7" s="4">
        <f ca="1">G6+G5</f>
        <v>118255589.24508426</v>
      </c>
      <c r="H7" s="4">
        <f t="shared" ca="1" si="1"/>
        <v>144304350.9441734</v>
      </c>
      <c r="I7" s="4">
        <f t="shared" ca="1" si="1"/>
        <v>154624977.37107813</v>
      </c>
      <c r="J7" s="4">
        <f t="shared" ca="1" si="1"/>
        <v>164964996.99796095</v>
      </c>
      <c r="K7" s="4">
        <f t="shared" ca="1" si="1"/>
        <v>172531406.96211803</v>
      </c>
      <c r="L7" s="4">
        <f t="shared" ca="1" si="1"/>
        <v>180670929.83319175</v>
      </c>
      <c r="M7" s="4">
        <f t="shared" ca="1" si="1"/>
        <v>189435700.90442958</v>
      </c>
      <c r="N7" s="4">
        <f t="shared" ca="1" si="1"/>
        <v>198882238.66790915</v>
      </c>
      <c r="O7" s="4">
        <f t="shared" ca="1" si="1"/>
        <v>209071778.93373883</v>
      </c>
      <c r="P7" s="4">
        <f t="shared" ca="1" si="1"/>
        <v>220070632.6464681</v>
      </c>
      <c r="Q7" s="4">
        <f t="shared" ca="1" si="1"/>
        <v>228976042.23941642</v>
      </c>
      <c r="R7" s="4">
        <f t="shared" ca="1" si="1"/>
        <v>238392809.28528935</v>
      </c>
      <c r="S7" s="4">
        <f t="shared" ca="1" si="1"/>
        <v>248359544.41311681</v>
      </c>
      <c r="T7" s="4">
        <f t="shared" ca="1" si="1"/>
        <v>258917768.56168866</v>
      </c>
      <c r="U7" s="4">
        <f t="shared" ca="1" si="1"/>
        <v>270112115.89415932</v>
      </c>
      <c r="V7" s="4">
        <f t="shared" ca="1" si="1"/>
        <v>281990549.87044001</v>
      </c>
      <c r="W7" s="4">
        <f t="shared" ca="1" si="1"/>
        <v>294604593.28481203</v>
      </c>
      <c r="X7" s="4">
        <f t="shared" ca="1" si="1"/>
        <v>308009573.12378979</v>
      </c>
      <c r="Y7" s="4">
        <f t="shared" ca="1" si="1"/>
        <v>322264881.14958245</v>
      </c>
      <c r="Z7" s="4">
        <f t="shared" ca="1" si="1"/>
        <v>337434251.16770458</v>
      </c>
      <c r="AA7" s="4">
        <f t="shared" ca="1" si="1"/>
        <v>353586053.99351835</v>
      </c>
      <c r="AB7" s="4">
        <f t="shared" ca="1" si="1"/>
        <v>370793611.19194245</v>
      </c>
      <c r="AC7" s="4">
        <f t="shared" ca="1" si="1"/>
        <v>389135528.72739363</v>
      </c>
      <c r="AD7" s="4">
        <f t="shared" ca="1" si="1"/>
        <v>408696051.72743958</v>
      </c>
      <c r="AE7" s="4">
        <f t="shared" ca="1" si="1"/>
        <v>429565441.63383597</v>
      </c>
      <c r="AF7" s="4">
        <f t="shared" ca="1" si="1"/>
        <v>451840377.08879304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140693421.09492275</v>
      </c>
      <c r="D10" s="9">
        <f>Investment!D25</f>
        <v>147981742.11407667</v>
      </c>
      <c r="E10" s="9">
        <f>Investment!E25</f>
        <v>155592445.61525524</v>
      </c>
      <c r="F10" s="9">
        <f>Investment!F25</f>
        <v>163538700.83658439</v>
      </c>
      <c r="G10" s="9">
        <f>Investment!G25</f>
        <v>171834189.72776863</v>
      </c>
      <c r="H10" s="9">
        <f>Investment!H25</f>
        <v>180493126.27833197</v>
      </c>
      <c r="I10" s="9">
        <f>Investment!I25</f>
        <v>189530276.55785012</v>
      </c>
      <c r="J10" s="9">
        <f>Investment!J25</f>
        <v>198960979.49394846</v>
      </c>
      <c r="K10" s="9">
        <f>Investment!K25</f>
        <v>208801168.41476184</v>
      </c>
      <c r="L10" s="9">
        <f>Investment!L25</f>
        <v>219067393.38350546</v>
      </c>
      <c r="M10" s="9">
        <f>Investment!M25</f>
        <v>229776844.35379195</v>
      </c>
      <c r="N10" s="9">
        <f>Investment!N25</f>
        <v>240947375.1753521</v>
      </c>
      <c r="O10" s="9">
        <f>Investment!O25</f>
        <v>252597528.48087379</v>
      </c>
      <c r="P10" s="9">
        <f>Investment!P25</f>
        <v>264746561.48576927</v>
      </c>
      <c r="Q10" s="9">
        <f>Investment!Q25</f>
        <v>277414472.73381364</v>
      </c>
      <c r="R10" s="9">
        <f>Investment!R25</f>
        <v>290622029.82277155</v>
      </c>
      <c r="S10" s="9">
        <f>Investment!S25</f>
        <v>304390798.14534324</v>
      </c>
      <c r="T10" s="9">
        <f>Investment!T25</f>
        <v>318743170.68202102</v>
      </c>
      <c r="U10" s="9">
        <f>Investment!U25</f>
        <v>333702398.88374525</v>
      </c>
      <c r="V10" s="9">
        <f>Investment!V25</f>
        <v>349292624.68360162</v>
      </c>
      <c r="W10" s="9">
        <f>Investment!W25</f>
        <v>365538913.67819178</v>
      </c>
      <c r="X10" s="9">
        <f>Investment!X25</f>
        <v>382467289.5207597</v>
      </c>
      <c r="Y10" s="9">
        <f>Investment!Y25</f>
        <v>400104769.5696454</v>
      </c>
      <c r="Z10" s="9">
        <f>Investment!Z25</f>
        <v>418479401.83719063</v>
      </c>
      <c r="AA10" s="9">
        <f>Investment!AA25</f>
        <v>437620303.28581953</v>
      </c>
      <c r="AB10" s="9">
        <f>Investment!AB25</f>
        <v>457557699.51967919</v>
      </c>
      <c r="AC10" s="9">
        <f>Investment!AC25</f>
        <v>478322965.92194128</v>
      </c>
      <c r="AD10" s="9">
        <f>Investment!AD25</f>
        <v>499948670.28964007</v>
      </c>
      <c r="AE10" s="9">
        <f>Investment!AE25</f>
        <v>522468617.0197674</v>
      </c>
      <c r="AF10" s="9">
        <f>Investment!AF25</f>
        <v>545917892.90224636</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-112741230.07149407</v>
      </c>
      <c r="D12" s="1">
        <f t="shared" ref="D12:AF12" ca="1" si="2">D7-D9-D10</f>
        <v>-103090856.50861448</v>
      </c>
      <c r="E12" s="1">
        <f ca="1">E7-E9-E10</f>
        <v>-82162952.355766773</v>
      </c>
      <c r="F12" s="1">
        <f t="shared" ca="1" si="2"/>
        <v>-65857031.465343386</v>
      </c>
      <c r="G12" s="1">
        <f ca="1">G7-G9-G10</f>
        <v>-53578600.482684374</v>
      </c>
      <c r="H12" s="1">
        <f t="shared" ca="1" si="2"/>
        <v>-36188775.33415857</v>
      </c>
      <c r="I12" s="1">
        <f t="shared" ca="1" si="2"/>
        <v>-34905299.186771989</v>
      </c>
      <c r="J12" s="1">
        <f t="shared" ca="1" si="2"/>
        <v>-33995982.495987505</v>
      </c>
      <c r="K12" s="1">
        <f t="shared" ca="1" si="2"/>
        <v>-36269761.452643812</v>
      </c>
      <c r="L12" s="1">
        <f t="shared" ca="1" si="2"/>
        <v>-38396463.550313711</v>
      </c>
      <c r="M12" s="1">
        <f t="shared" ca="1" si="2"/>
        <v>-40341143.449362367</v>
      </c>
      <c r="N12" s="1">
        <f t="shared" ca="1" si="2"/>
        <v>-42065136.507442951</v>
      </c>
      <c r="O12" s="1">
        <f t="shared" ca="1" si="2"/>
        <v>-43525749.547134966</v>
      </c>
      <c r="P12" s="1">
        <f t="shared" ca="1" si="2"/>
        <v>-44675928.839301169</v>
      </c>
      <c r="Q12" s="1">
        <f t="shared" ca="1" si="2"/>
        <v>-48438430.494397223</v>
      </c>
      <c r="R12" s="1">
        <f t="shared" ca="1" si="2"/>
        <v>-52229220.537482202</v>
      </c>
      <c r="S12" s="1">
        <f t="shared" ca="1" si="2"/>
        <v>-56031253.732226431</v>
      </c>
      <c r="T12" s="1">
        <f t="shared" ca="1" si="2"/>
        <v>-59825402.12033236</v>
      </c>
      <c r="U12" s="1">
        <f t="shared" ca="1" si="2"/>
        <v>-63590282.989585936</v>
      </c>
      <c r="V12" s="1">
        <f t="shared" ca="1" si="2"/>
        <v>-67302074.813161612</v>
      </c>
      <c r="W12" s="1">
        <f t="shared" ca="1" si="2"/>
        <v>-70934320.393379748</v>
      </c>
      <c r="X12" s="1">
        <f t="shared" ca="1" si="2"/>
        <v>-74457716.396969914</v>
      </c>
      <c r="Y12" s="1">
        <f t="shared" ca="1" si="2"/>
        <v>-77839888.420062959</v>
      </c>
      <c r="Z12" s="1">
        <f t="shared" ca="1" si="2"/>
        <v>-81045150.669486046</v>
      </c>
      <c r="AA12" s="1">
        <f t="shared" ca="1" si="2"/>
        <v>-84034249.292301178</v>
      </c>
      <c r="AB12" s="1">
        <f t="shared" ca="1" si="2"/>
        <v>-86764088.327736735</v>
      </c>
      <c r="AC12" s="1">
        <f t="shared" ca="1" si="2"/>
        <v>-89187437.194547653</v>
      </c>
      <c r="AD12" s="1">
        <f t="shared" ca="1" si="2"/>
        <v>-91252618.562200487</v>
      </c>
      <c r="AE12" s="1">
        <f t="shared" ca="1" si="2"/>
        <v>-92903175.385931432</v>
      </c>
      <c r="AF12" s="1">
        <f t="shared" ca="1" si="2"/>
        <v>-94077515.813453317</v>
      </c>
      <c r="AG12" s="1"/>
      <c r="AH12" s="1"/>
      <c r="AI12" s="1"/>
      <c r="AJ12" s="1"/>
      <c r="AK12" s="1"/>
      <c r="AL12" s="1"/>
      <c r="AM12" s="1"/>
      <c r="AN12" s="1"/>
      <c r="AO12" s="1"/>
      <c r="AP12" s="1"/>
    </row>
    <row r="13" spans="1:42" x14ac:dyDescent="0.35">
      <c r="A13" t="s">
        <v>19</v>
      </c>
      <c r="C13" s="1">
        <f ca="1">C12</f>
        <v>-112741230.07149407</v>
      </c>
      <c r="D13" s="1">
        <f ca="1">D12</f>
        <v>-103090856.50861448</v>
      </c>
      <c r="E13" s="1">
        <f ca="1">E12</f>
        <v>-82162952.355766773</v>
      </c>
      <c r="F13" s="1">
        <f t="shared" ref="F13:AF13" ca="1" si="3">F12</f>
        <v>-65857031.465343386</v>
      </c>
      <c r="G13" s="1">
        <f ca="1">G12</f>
        <v>-53578600.482684374</v>
      </c>
      <c r="H13" s="1">
        <f t="shared" ca="1" si="3"/>
        <v>-36188775.33415857</v>
      </c>
      <c r="I13" s="1">
        <f t="shared" ca="1" si="3"/>
        <v>-34905299.186771989</v>
      </c>
      <c r="J13" s="1">
        <f t="shared" ca="1" si="3"/>
        <v>-33995982.495987505</v>
      </c>
      <c r="K13" s="1">
        <f t="shared" ca="1" si="3"/>
        <v>-36269761.452643812</v>
      </c>
      <c r="L13" s="1">
        <f t="shared" ca="1" si="3"/>
        <v>-38396463.550313711</v>
      </c>
      <c r="M13" s="1">
        <f t="shared" ca="1" si="3"/>
        <v>-40341143.449362367</v>
      </c>
      <c r="N13" s="1">
        <f t="shared" ca="1" si="3"/>
        <v>-42065136.507442951</v>
      </c>
      <c r="O13" s="1">
        <f t="shared" ca="1" si="3"/>
        <v>-43525749.547134966</v>
      </c>
      <c r="P13" s="1">
        <f t="shared" ca="1" si="3"/>
        <v>-44675928.839301169</v>
      </c>
      <c r="Q13" s="1">
        <f t="shared" ca="1" si="3"/>
        <v>-48438430.494397223</v>
      </c>
      <c r="R13" s="1">
        <f t="shared" ca="1" si="3"/>
        <v>-52229220.537482202</v>
      </c>
      <c r="S13" s="1">
        <f t="shared" ca="1" si="3"/>
        <v>-56031253.732226431</v>
      </c>
      <c r="T13" s="1">
        <f t="shared" ca="1" si="3"/>
        <v>-59825402.12033236</v>
      </c>
      <c r="U13" s="1">
        <f t="shared" ca="1" si="3"/>
        <v>-63590282.989585936</v>
      </c>
      <c r="V13" s="1">
        <f t="shared" ca="1" si="3"/>
        <v>-67302074.813161612</v>
      </c>
      <c r="W13" s="1">
        <f t="shared" ca="1" si="3"/>
        <v>-70934320.393379748</v>
      </c>
      <c r="X13" s="1">
        <f t="shared" ca="1" si="3"/>
        <v>-74457716.396969914</v>
      </c>
      <c r="Y13" s="1">
        <f t="shared" ca="1" si="3"/>
        <v>-77839888.420062959</v>
      </c>
      <c r="Z13" s="1">
        <f t="shared" ca="1" si="3"/>
        <v>-81045150.669486046</v>
      </c>
      <c r="AA13" s="1">
        <f t="shared" ca="1" si="3"/>
        <v>-84034249.292301178</v>
      </c>
      <c r="AB13" s="1">
        <f t="shared" ca="1" si="3"/>
        <v>-86764088.327736735</v>
      </c>
      <c r="AC13" s="1">
        <f t="shared" ca="1" si="3"/>
        <v>-89187437.194547653</v>
      </c>
      <c r="AD13" s="1">
        <f t="shared" ca="1" si="3"/>
        <v>-91252618.562200487</v>
      </c>
      <c r="AE13" s="1">
        <f t="shared" ca="1" si="3"/>
        <v>-92903175.385931432</v>
      </c>
      <c r="AF13" s="1">
        <f t="shared" ca="1" si="3"/>
        <v>-94077515.813453317</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1605368764.4999998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802684382.24999988</v>
      </c>
      <c r="D7" s="9">
        <f>C12</f>
        <v>830888642.16451323</v>
      </c>
      <c r="E7" s="9">
        <f>D12</f>
        <v>862781569.94040728</v>
      </c>
      <c r="F7" s="9">
        <f t="shared" ref="F7:H7" si="1">E12</f>
        <v>898570359.15865803</v>
      </c>
      <c r="G7" s="9">
        <f t="shared" si="1"/>
        <v>938471686.59353387</v>
      </c>
      <c r="H7" s="9">
        <f t="shared" si="1"/>
        <v>982712106.97073925</v>
      </c>
      <c r="I7" s="9">
        <f t="shared" ref="I7" si="2">H12</f>
        <v>1031528463.27929</v>
      </c>
      <c r="J7" s="9">
        <f t="shared" ref="J7" si="3">I12</f>
        <v>1085168313.2283258</v>
      </c>
      <c r="K7" s="9">
        <f t="shared" ref="K7" si="4">J12</f>
        <v>1143890372.461978</v>
      </c>
      <c r="L7" s="9">
        <f t="shared" ref="L7" si="5">K12</f>
        <v>1207964975.1681139</v>
      </c>
      <c r="M7" s="9">
        <f t="shared" ref="M7" si="6">L12</f>
        <v>1277674552.7403176</v>
      </c>
      <c r="N7" s="9">
        <f t="shared" ref="N7" si="7">M12</f>
        <v>1353314131.176846</v>
      </c>
      <c r="O7" s="9">
        <f t="shared" ref="O7" si="8">N12</f>
        <v>1435191847.9255822</v>
      </c>
      <c r="P7" s="9">
        <f t="shared" ref="P7" si="9">O12</f>
        <v>1523629488.9101882</v>
      </c>
      <c r="Q7" s="9">
        <f t="shared" ref="Q7" si="10">P12</f>
        <v>1618963046.4998093</v>
      </c>
      <c r="R7" s="9">
        <f t="shared" ref="R7" si="11">Q12</f>
        <v>1721543299.2127979</v>
      </c>
      <c r="S7" s="9">
        <f t="shared" ref="S7" si="12">R12</f>
        <v>1831736413.9740779</v>
      </c>
      <c r="T7" s="9">
        <f t="shared" ref="T7" si="13">S12</f>
        <v>1949924571.7759621</v>
      </c>
      <c r="U7" s="9">
        <f t="shared" ref="U7" si="14">T12</f>
        <v>2076506617.6235332</v>
      </c>
      <c r="V7" s="9">
        <f t="shared" ref="V7" si="15">U12</f>
        <v>2211898735.6781263</v>
      </c>
      <c r="W7" s="9">
        <f t="shared" ref="W7" si="16">V12</f>
        <v>2356535150.5460429</v>
      </c>
      <c r="X7" s="9">
        <f t="shared" ref="X7" si="17">W12</f>
        <v>2510868855.694448</v>
      </c>
      <c r="Y7" s="9">
        <f t="shared" ref="Y7" si="18">X12</f>
        <v>2675372370.0124674</v>
      </c>
      <c r="Z7" s="9">
        <f t="shared" ref="Z7" si="19">Y12</f>
        <v>2850538523.572885</v>
      </c>
      <c r="AA7" s="9">
        <f t="shared" ref="AA7" si="20">Z12</f>
        <v>3036881273.6885524</v>
      </c>
      <c r="AB7" s="9">
        <f t="shared" ref="AB7" si="21">AA12</f>
        <v>3234936552.3977604</v>
      </c>
      <c r="AC7" s="9">
        <f t="shared" ref="AC7" si="22">AB12</f>
        <v>3445263146.5543761</v>
      </c>
      <c r="AD7" s="9">
        <f t="shared" ref="AD7" si="23">AC12</f>
        <v>3668443611.7416358</v>
      </c>
      <c r="AE7" s="9">
        <f t="shared" ref="AE7" si="24">AD12</f>
        <v>3905085221.2730846</v>
      </c>
      <c r="AF7" s="9">
        <f t="shared" ref="AF7" si="25">AE12</f>
        <v>4155820951.5903983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25504520.046183418</v>
      </c>
      <c r="D8" s="9">
        <f>Assumptions!E111*Assumptions!E11</f>
        <v>26320664.687661286</v>
      </c>
      <c r="E8" s="9">
        <f>Assumptions!F111*Assumptions!F11</f>
        <v>27162925.957666449</v>
      </c>
      <c r="F8" s="9">
        <f>Assumptions!G111*Assumptions!G11</f>
        <v>28032139.588311773</v>
      </c>
      <c r="G8" s="9">
        <f>Assumptions!H111*Assumptions!H11</f>
        <v>28929168.055137753</v>
      </c>
      <c r="H8" s="9">
        <f>Assumptions!I111*Assumptions!I11</f>
        <v>29854901.432902157</v>
      </c>
      <c r="I8" s="9">
        <f>Assumptions!J111*Assumptions!J11</f>
        <v>30810258.278755024</v>
      </c>
      <c r="J8" s="9">
        <f>Assumptions!K111*Assumptions!K11</f>
        <v>31796186.543675188</v>
      </c>
      <c r="K8" s="9">
        <f>Assumptions!L111*Assumptions!L11</f>
        <v>32813664.513072796</v>
      </c>
      <c r="L8" s="9">
        <f>Assumptions!M111*Assumptions!M11</f>
        <v>33863701.777491122</v>
      </c>
      <c r="M8" s="9">
        <f>Assumptions!N111*Assumptions!N11</f>
        <v>34947340.234370835</v>
      </c>
      <c r="N8" s="9">
        <f>Assumptions!O111*Assumptions!O11</f>
        <v>36065655.121870704</v>
      </c>
      <c r="O8" s="9">
        <f>Assumptions!P111*Assumptions!P11</f>
        <v>37219756.08577057</v>
      </c>
      <c r="P8" s="9">
        <f>Assumptions!Q111*Assumptions!Q11</f>
        <v>38410788.280515224</v>
      </c>
      <c r="Q8" s="9">
        <f>Assumptions!R111*Assumptions!R11</f>
        <v>39639933.505491704</v>
      </c>
      <c r="R8" s="9">
        <f>Assumptions!S111*Assumptions!S11</f>
        <v>40908411.377667449</v>
      </c>
      <c r="S8" s="9">
        <f>Assumptions!T111*Assumptions!T11</f>
        <v>42217480.541752808</v>
      </c>
      <c r="T8" s="9">
        <f>Assumptions!U111*Assumptions!U11</f>
        <v>43568439.919088893</v>
      </c>
      <c r="U8" s="9">
        <f>Assumptions!V111*Assumptions!V11</f>
        <v>44962629.996499732</v>
      </c>
      <c r="V8" s="9">
        <f>Assumptions!W111*Assumptions!W11</f>
        <v>46401434.156387731</v>
      </c>
      <c r="W8" s="9">
        <f>Assumptions!X111*Assumptions!X11</f>
        <v>47886280.049392141</v>
      </c>
      <c r="X8" s="9">
        <f>Assumptions!Y111*Assumptions!Y11</f>
        <v>49418641.010972686</v>
      </c>
      <c r="Y8" s="9">
        <f>Assumptions!Z111*Assumptions!Z11</f>
        <v>51000037.523323804</v>
      </c>
      <c r="Z8" s="9">
        <f>Assumptions!AA111*Assumptions!AA11</f>
        <v>52632038.724070169</v>
      </c>
      <c r="AA8" s="9">
        <f>Assumptions!AB111*Assumptions!AB11</f>
        <v>54316263.96324043</v>
      </c>
      <c r="AB8" s="9">
        <f>Assumptions!AC111*Assumptions!AC11</f>
        <v>56054384.410064109</v>
      </c>
      <c r="AC8" s="9">
        <f>Assumptions!AD111*Assumptions!AD11</f>
        <v>57848124.711186156</v>
      </c>
      <c r="AD8" s="9">
        <f>Assumptions!AE111*Assumptions!AE11</f>
        <v>59699264.70194412</v>
      </c>
      <c r="AE8" s="9">
        <f>Assumptions!AF111*Assumptions!AF11</f>
        <v>61609641.172406331</v>
      </c>
      <c r="AF8" s="9">
        <f>Assumptions!AG111*Assumptions!AG11</f>
        <v>63581149.689923324</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2699739.8683298286</v>
      </c>
      <c r="D9" s="9">
        <f>Assumptions!E120*Assumptions!E11</f>
        <v>5572263.0882327659</v>
      </c>
      <c r="E9" s="9">
        <f>Assumptions!F120*Assumptions!F11</f>
        <v>8625863.2605843227</v>
      </c>
      <c r="F9" s="9">
        <f>Assumptions!G120*Assumptions!G11</f>
        <v>11869187.846564027</v>
      </c>
      <c r="G9" s="9">
        <f>Assumptions!H120*Assumptions!H11</f>
        <v>15311252.322067594</v>
      </c>
      <c r="H9" s="9">
        <f>Assumptions!I120*Assumptions!I11</f>
        <v>18961454.87564851</v>
      </c>
      <c r="I9" s="9">
        <f>Assumptions!J120*Assumptions!J11</f>
        <v>22829591.670280799</v>
      </c>
      <c r="J9" s="9">
        <f>Assumptions!K120*Assumptions!K11</f>
        <v>26925872.689976905</v>
      </c>
      <c r="K9" s="9">
        <f>Assumptions!L120*Assumptions!L11</f>
        <v>31260938.193063188</v>
      </c>
      <c r="L9" s="9">
        <f>Assumptions!M120*Assumptions!M11</f>
        <v>35845875.794712447</v>
      </c>
      <c r="M9" s="9">
        <f>Assumptions!N120*Assumptions!N11</f>
        <v>40692238.202157572</v>
      </c>
      <c r="N9" s="9">
        <f>Assumptions!O120*Assumptions!O11</f>
        <v>45812061.626865402</v>
      </c>
      <c r="O9" s="9">
        <f>Assumptions!P120*Assumptions!P11</f>
        <v>51217884.898835517</v>
      </c>
      <c r="P9" s="9">
        <f>Assumptions!Q120*Assumptions!Q11</f>
        <v>56922769.309105806</v>
      </c>
      <c r="Q9" s="9">
        <f>Assumptions!R120*Assumptions!R11</f>
        <v>62940319.207496978</v>
      </c>
      <c r="R9" s="9">
        <f>Assumptions!S120*Assumptions!S11</f>
        <v>69284703.383612692</v>
      </c>
      <c r="S9" s="9">
        <f>Assumptions!T120*Assumptions!T11</f>
        <v>75970677.260131314</v>
      </c>
      <c r="T9" s="9">
        <f>Assumptions!U120*Assumptions!U11</f>
        <v>83013605.928482309</v>
      </c>
      <c r="U9" s="9">
        <f>Assumptions!V120*Assumptions!V11</f>
        <v>90429488.058093384</v>
      </c>
      <c r="V9" s="9">
        <f>Assumptions!W120*Assumptions!W11</f>
        <v>98234980.711528823</v>
      </c>
      <c r="W9" s="9">
        <f>Assumptions!X120*Assumptions!X11</f>
        <v>106447425.09901266</v>
      </c>
      <c r="X9" s="9">
        <f>Assumptions!Y120*Assumptions!Y11</f>
        <v>115084873.30704683</v>
      </c>
      <c r="Y9" s="9">
        <f>Assumptions!Z120*Assumptions!Z11</f>
        <v>124166116.03709379</v>
      </c>
      <c r="Z9" s="9">
        <f>Assumptions!AA120*Assumptions!AA11</f>
        <v>133710711.39159736</v>
      </c>
      <c r="AA9" s="9">
        <f>Assumptions!AB120*Assumptions!AB11</f>
        <v>143739014.74596721</v>
      </c>
      <c r="AB9" s="9">
        <f>Assumptions!AC120*Assumptions!AC11</f>
        <v>154272209.74655166</v>
      </c>
      <c r="AC9" s="9">
        <f>Assumptions!AD120*Assumptions!AD11</f>
        <v>165332340.47607368</v>
      </c>
      <c r="AD9" s="9">
        <f>Assumptions!AE120*Assumptions!AE11</f>
        <v>176942344.82950467</v>
      </c>
      <c r="AE9" s="9">
        <f>Assumptions!AF120*Assumptions!AF11</f>
        <v>189126089.14490768</v>
      </c>
      <c r="AF9" s="9">
        <f>Assumptions!AG120*Assumptions!AG11</f>
        <v>201908404.13539109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28204259.914513245</v>
      </c>
      <c r="D10" s="9">
        <f>SUM($C$8:D9)</f>
        <v>60097187.690407299</v>
      </c>
      <c r="E10" s="9">
        <f>SUM($C$8:E9)</f>
        <v>95885976.908658072</v>
      </c>
      <c r="F10" s="9">
        <f>SUM($C$8:F9)</f>
        <v>135787304.34353387</v>
      </c>
      <c r="G10" s="9">
        <f>SUM($C$8:G9)</f>
        <v>180027724.72073922</v>
      </c>
      <c r="H10" s="9">
        <f>SUM($C$8:H9)</f>
        <v>228844081.02928987</v>
      </c>
      <c r="I10" s="9">
        <f>SUM($C$8:I9)</f>
        <v>282483930.97832566</v>
      </c>
      <c r="J10" s="9">
        <f>SUM($C$8:J9)</f>
        <v>341205990.21197784</v>
      </c>
      <c r="K10" s="9">
        <f>SUM($C$8:K9)</f>
        <v>405280592.91811383</v>
      </c>
      <c r="L10" s="9">
        <f>SUM($C$8:L9)</f>
        <v>474990170.4903174</v>
      </c>
      <c r="M10" s="9">
        <f>SUM($C$8:M9)</f>
        <v>550629748.92684579</v>
      </c>
      <c r="N10" s="9">
        <f>SUM($C$8:N9)</f>
        <v>632507465.67558193</v>
      </c>
      <c r="O10" s="9">
        <f>SUM($C$8:O9)</f>
        <v>720945106.66018796</v>
      </c>
      <c r="P10" s="9">
        <f>SUM($C$8:P9)</f>
        <v>816278664.24980891</v>
      </c>
      <c r="Q10" s="9">
        <f>SUM($C$8:Q9)</f>
        <v>918858916.96279764</v>
      </c>
      <c r="R10" s="9">
        <f>SUM($C$8:R9)</f>
        <v>1029052031.7240777</v>
      </c>
      <c r="S10" s="9">
        <f>SUM($C$8:S9)</f>
        <v>1147240189.5259621</v>
      </c>
      <c r="T10" s="9">
        <f>SUM($C$8:T9)</f>
        <v>1273822235.3735332</v>
      </c>
      <c r="U10" s="9">
        <f>SUM($C$8:U9)</f>
        <v>1409214353.4281261</v>
      </c>
      <c r="V10" s="9">
        <f>SUM($C$8:V9)</f>
        <v>1553850768.2960427</v>
      </c>
      <c r="W10" s="9">
        <f>SUM($C$8:W9)</f>
        <v>1708184473.4444473</v>
      </c>
      <c r="X10" s="9">
        <f>SUM($C$8:X9)</f>
        <v>1872687987.7624669</v>
      </c>
      <c r="Y10" s="9">
        <f>SUM($C$8:Y9)</f>
        <v>2047854141.3228846</v>
      </c>
      <c r="Z10" s="9">
        <f>SUM($C$8:Z9)</f>
        <v>2234196891.4385519</v>
      </c>
      <c r="AA10" s="9">
        <f>SUM($C$8:AA9)</f>
        <v>2432252170.1477599</v>
      </c>
      <c r="AB10" s="9">
        <f>SUM($C$8:AB9)</f>
        <v>2642578764.3043752</v>
      </c>
      <c r="AC10" s="9">
        <f>SUM($C$8:AC9)</f>
        <v>2865759229.4916353</v>
      </c>
      <c r="AD10" s="9">
        <f>SUM($C$8:AD9)</f>
        <v>3102400839.0230832</v>
      </c>
      <c r="AE10" s="9">
        <f>SUM($C$8:AE9)</f>
        <v>3353136569.3403974</v>
      </c>
      <c r="AF10" s="9">
        <f>SUM($C$8:AF9)</f>
        <v>3618626123.1657119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830888642.16451323</v>
      </c>
      <c r="D12" s="9">
        <f>D7+D8+D9</f>
        <v>862781569.94040728</v>
      </c>
      <c r="E12" s="9">
        <f>E7+E8+E9</f>
        <v>898570359.15865803</v>
      </c>
      <c r="F12" s="9">
        <f t="shared" ref="F12:H12" si="26">F7+F8+F9</f>
        <v>938471686.59353387</v>
      </c>
      <c r="G12" s="9">
        <f t="shared" si="26"/>
        <v>982712106.97073925</v>
      </c>
      <c r="H12" s="9">
        <f t="shared" si="26"/>
        <v>1031528463.27929</v>
      </c>
      <c r="I12" s="9">
        <f t="shared" ref="I12:AF12" si="27">I7+I8+I9</f>
        <v>1085168313.2283258</v>
      </c>
      <c r="J12" s="9">
        <f t="shared" si="27"/>
        <v>1143890372.461978</v>
      </c>
      <c r="K12" s="9">
        <f t="shared" si="27"/>
        <v>1207964975.1681139</v>
      </c>
      <c r="L12" s="9">
        <f t="shared" si="27"/>
        <v>1277674552.7403176</v>
      </c>
      <c r="M12" s="9">
        <f t="shared" si="27"/>
        <v>1353314131.176846</v>
      </c>
      <c r="N12" s="9">
        <f t="shared" si="27"/>
        <v>1435191847.9255822</v>
      </c>
      <c r="O12" s="9">
        <f t="shared" si="27"/>
        <v>1523629488.9101882</v>
      </c>
      <c r="P12" s="9">
        <f t="shared" si="27"/>
        <v>1618963046.4998093</v>
      </c>
      <c r="Q12" s="9">
        <f t="shared" si="27"/>
        <v>1721543299.2127979</v>
      </c>
      <c r="R12" s="9">
        <f t="shared" si="27"/>
        <v>1831736413.9740779</v>
      </c>
      <c r="S12" s="9">
        <f t="shared" si="27"/>
        <v>1949924571.7759621</v>
      </c>
      <c r="T12" s="9">
        <f t="shared" si="27"/>
        <v>2076506617.6235332</v>
      </c>
      <c r="U12" s="9">
        <f t="shared" si="27"/>
        <v>2211898735.6781263</v>
      </c>
      <c r="V12" s="9">
        <f t="shared" si="27"/>
        <v>2356535150.5460429</v>
      </c>
      <c r="W12" s="9">
        <f t="shared" si="27"/>
        <v>2510868855.694448</v>
      </c>
      <c r="X12" s="9">
        <f t="shared" si="27"/>
        <v>2675372370.0124674</v>
      </c>
      <c r="Y12" s="9">
        <f t="shared" si="27"/>
        <v>2850538523.572885</v>
      </c>
      <c r="Z12" s="9">
        <f t="shared" si="27"/>
        <v>3036881273.6885524</v>
      </c>
      <c r="AA12" s="9">
        <f t="shared" si="27"/>
        <v>3234936552.3977604</v>
      </c>
      <c r="AB12" s="9">
        <f t="shared" si="27"/>
        <v>3445263146.5543761</v>
      </c>
      <c r="AC12" s="9">
        <f t="shared" si="27"/>
        <v>3668443611.7416358</v>
      </c>
      <c r="AD12" s="9">
        <f t="shared" si="27"/>
        <v>3905085221.2730846</v>
      </c>
      <c r="AE12" s="9">
        <f t="shared" si="27"/>
        <v>4155820951.5903983</v>
      </c>
      <c r="AF12" s="9">
        <f t="shared" si="27"/>
        <v>4421310505.4157124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140693421.09492275</v>
      </c>
      <c r="D18" s="9">
        <f>Investment!D25</f>
        <v>147981742.11407667</v>
      </c>
      <c r="E18" s="9">
        <f>Investment!E25</f>
        <v>155592445.61525524</v>
      </c>
      <c r="F18" s="9">
        <f>Investment!F25</f>
        <v>163538700.83658439</v>
      </c>
      <c r="G18" s="9">
        <f>Investment!G25</f>
        <v>171834189.72776863</v>
      </c>
      <c r="H18" s="9">
        <f>Investment!H25</f>
        <v>180493126.27833197</v>
      </c>
      <c r="I18" s="9">
        <f>Investment!I25</f>
        <v>189530276.55785012</v>
      </c>
      <c r="J18" s="9">
        <f>Investment!J25</f>
        <v>198960979.49394846</v>
      </c>
      <c r="K18" s="9">
        <f>Investment!K25</f>
        <v>208801168.41476184</v>
      </c>
      <c r="L18" s="9">
        <f>Investment!L25</f>
        <v>219067393.38350546</v>
      </c>
      <c r="M18" s="9">
        <f>Investment!M25</f>
        <v>229776844.35379195</v>
      </c>
      <c r="N18" s="9">
        <f>Investment!N25</f>
        <v>240947375.1753521</v>
      </c>
      <c r="O18" s="9">
        <f>Investment!O25</f>
        <v>252597528.48087379</v>
      </c>
      <c r="P18" s="9">
        <f>Investment!P25</f>
        <v>264746561.48576927</v>
      </c>
      <c r="Q18" s="9">
        <f>Investment!Q25</f>
        <v>277414472.73381364</v>
      </c>
      <c r="R18" s="9">
        <f>Investment!R25</f>
        <v>290622029.82277155</v>
      </c>
      <c r="S18" s="9">
        <f>Investment!S25</f>
        <v>304390798.14534324</v>
      </c>
      <c r="T18" s="9">
        <f>Investment!T25</f>
        <v>318743170.68202102</v>
      </c>
      <c r="U18" s="9">
        <f>Investment!U25</f>
        <v>333702398.88374525</v>
      </c>
      <c r="V18" s="9">
        <f>Investment!V25</f>
        <v>349292624.68360162</v>
      </c>
      <c r="W18" s="9">
        <f>Investment!W25</f>
        <v>365538913.67819178</v>
      </c>
      <c r="X18" s="9">
        <f>Investment!X25</f>
        <v>382467289.5207597</v>
      </c>
      <c r="Y18" s="9">
        <f>Investment!Y25</f>
        <v>400104769.5696454</v>
      </c>
      <c r="Z18" s="9">
        <f>Investment!Z25</f>
        <v>418479401.83719063</v>
      </c>
      <c r="AA18" s="9">
        <f>Investment!AA25</f>
        <v>437620303.28581953</v>
      </c>
      <c r="AB18" s="9">
        <f>Investment!AB25</f>
        <v>457557699.51967919</v>
      </c>
      <c r="AC18" s="9">
        <f>Investment!AC25</f>
        <v>478322965.92194128</v>
      </c>
      <c r="AD18" s="9">
        <f>Investment!AD25</f>
        <v>499948670.28964007</v>
      </c>
      <c r="AE18" s="9">
        <f>Investment!AE25</f>
        <v>522468617.0197674</v>
      </c>
      <c r="AF18" s="9">
        <f>Investment!AF25</f>
        <v>545917892.90224636</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943377803.34492266</v>
      </c>
      <c r="D19" s="9">
        <f>D18+C20</f>
        <v>1063155285.544486</v>
      </c>
      <c r="E19" s="9">
        <f>E18+D20</f>
        <v>1186854803.3838472</v>
      </c>
      <c r="F19" s="9">
        <f t="shared" ref="F19:AF19" si="28">F18+E20</f>
        <v>1314604715.0021808</v>
      </c>
      <c r="G19" s="9">
        <f t="shared" si="28"/>
        <v>1446537577.2950737</v>
      </c>
      <c r="H19" s="9">
        <f t="shared" si="28"/>
        <v>1582790283.1962004</v>
      </c>
      <c r="I19" s="9">
        <f t="shared" si="28"/>
        <v>1723504203.4454999</v>
      </c>
      <c r="J19" s="9">
        <f t="shared" si="28"/>
        <v>1868825332.9904127</v>
      </c>
      <c r="K19" s="9">
        <f t="shared" si="28"/>
        <v>2018904442.1715224</v>
      </c>
      <c r="L19" s="9">
        <f t="shared" si="28"/>
        <v>2173897232.8488917</v>
      </c>
      <c r="M19" s="9">
        <f t="shared" si="28"/>
        <v>2333964499.6304798</v>
      </c>
      <c r="N19" s="9">
        <f t="shared" si="28"/>
        <v>2499272296.3693037</v>
      </c>
      <c r="O19" s="9">
        <f t="shared" si="28"/>
        <v>2669992108.1014414</v>
      </c>
      <c r="P19" s="9">
        <f t="shared" si="28"/>
        <v>2846301028.6026044</v>
      </c>
      <c r="Q19" s="9">
        <f t="shared" si="28"/>
        <v>3028381943.7467971</v>
      </c>
      <c r="R19" s="9">
        <f t="shared" si="28"/>
        <v>3216423720.8565798</v>
      </c>
      <c r="S19" s="9">
        <f t="shared" si="28"/>
        <v>3410621404.240643</v>
      </c>
      <c r="T19" s="9">
        <f t="shared" si="28"/>
        <v>3611176417.12078</v>
      </c>
      <c r="U19" s="9">
        <f t="shared" si="28"/>
        <v>3818296770.1569538</v>
      </c>
      <c r="V19" s="9">
        <f t="shared" si="28"/>
        <v>4032197276.7859621</v>
      </c>
      <c r="W19" s="9">
        <f t="shared" si="28"/>
        <v>4253099775.5962372</v>
      </c>
      <c r="X19" s="9">
        <f t="shared" si="28"/>
        <v>4481233359.9685917</v>
      </c>
      <c r="Y19" s="9">
        <f t="shared" si="28"/>
        <v>4716834615.2202168</v>
      </c>
      <c r="Z19" s="9">
        <f t="shared" si="28"/>
        <v>4960147863.4969893</v>
      </c>
      <c r="AA19" s="9">
        <f t="shared" si="28"/>
        <v>5211425416.667141</v>
      </c>
      <c r="AB19" s="9">
        <f t="shared" si="28"/>
        <v>5470927837.4776125</v>
      </c>
      <c r="AC19" s="9">
        <f t="shared" si="28"/>
        <v>5738924209.242939</v>
      </c>
      <c r="AD19" s="9">
        <f t="shared" si="28"/>
        <v>6015692414.3453197</v>
      </c>
      <c r="AE19" s="9">
        <f t="shared" si="28"/>
        <v>6301519421.8336382</v>
      </c>
      <c r="AF19" s="9">
        <f t="shared" si="28"/>
        <v>6596701584.4185705</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915173543.43040931</v>
      </c>
      <c r="D20" s="9">
        <f>D19-D8-D9</f>
        <v>1031262357.768592</v>
      </c>
      <c r="E20" s="9">
        <f t="shared" ref="E20:AF20" si="29">E19-E8-E9</f>
        <v>1151066014.1655965</v>
      </c>
      <c r="F20" s="9">
        <f t="shared" si="29"/>
        <v>1274703387.5673051</v>
      </c>
      <c r="G20" s="9">
        <f t="shared" si="29"/>
        <v>1402297156.9178684</v>
      </c>
      <c r="H20" s="9">
        <f t="shared" si="29"/>
        <v>1533973926.8876498</v>
      </c>
      <c r="I20" s="9">
        <f t="shared" si="29"/>
        <v>1669864353.4964643</v>
      </c>
      <c r="J20" s="9">
        <f t="shared" si="29"/>
        <v>1810103273.7567606</v>
      </c>
      <c r="K20" s="9">
        <f t="shared" si="29"/>
        <v>1954829839.4653864</v>
      </c>
      <c r="L20" s="9">
        <f t="shared" si="29"/>
        <v>2104187655.2766881</v>
      </c>
      <c r="M20" s="9">
        <f t="shared" si="29"/>
        <v>2258324921.1939516</v>
      </c>
      <c r="N20" s="9">
        <f t="shared" si="29"/>
        <v>2417394579.6205678</v>
      </c>
      <c r="O20" s="9">
        <f t="shared" si="29"/>
        <v>2581554467.1168351</v>
      </c>
      <c r="P20" s="9">
        <f t="shared" si="29"/>
        <v>2750967471.0129833</v>
      </c>
      <c r="Q20" s="9">
        <f t="shared" si="29"/>
        <v>2925801691.0338082</v>
      </c>
      <c r="R20" s="9">
        <f t="shared" si="29"/>
        <v>3106230606.0952997</v>
      </c>
      <c r="S20" s="9">
        <f t="shared" si="29"/>
        <v>3292433246.4387589</v>
      </c>
      <c r="T20" s="9">
        <f t="shared" si="29"/>
        <v>3484594371.2732086</v>
      </c>
      <c r="U20" s="9">
        <f t="shared" si="29"/>
        <v>3682904652.1023607</v>
      </c>
      <c r="V20" s="9">
        <f t="shared" si="29"/>
        <v>3887560861.9180455</v>
      </c>
      <c r="W20" s="9">
        <f t="shared" si="29"/>
        <v>4098766070.4478321</v>
      </c>
      <c r="X20" s="9">
        <f t="shared" si="29"/>
        <v>4316729845.6505718</v>
      </c>
      <c r="Y20" s="9">
        <f t="shared" si="29"/>
        <v>4541668461.6597986</v>
      </c>
      <c r="Z20" s="9">
        <f t="shared" si="29"/>
        <v>4773805113.381321</v>
      </c>
      <c r="AA20" s="9">
        <f t="shared" si="29"/>
        <v>5013370137.9579334</v>
      </c>
      <c r="AB20" s="9">
        <f t="shared" si="29"/>
        <v>5260601243.3209972</v>
      </c>
      <c r="AC20" s="9">
        <f t="shared" si="29"/>
        <v>5515743744.0556793</v>
      </c>
      <c r="AD20" s="9">
        <f t="shared" si="29"/>
        <v>5779050804.8138704</v>
      </c>
      <c r="AE20" s="9">
        <f t="shared" si="29"/>
        <v>6050783691.516324</v>
      </c>
      <c r="AF20" s="9">
        <f t="shared" si="29"/>
        <v>6331212030.593256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74433000</v>
      </c>
      <c r="D22" s="9">
        <f ca="1">'Balance Sheet'!C11</f>
        <v>187174230.07149407</v>
      </c>
      <c r="E22" s="9">
        <f ca="1">'Balance Sheet'!D11</f>
        <v>290265086.58010852</v>
      </c>
      <c r="F22" s="9">
        <f ca="1">'Balance Sheet'!E11</f>
        <v>372428038.9358753</v>
      </c>
      <c r="G22" s="9">
        <f ca="1">'Balance Sheet'!F11</f>
        <v>438285070.40121865</v>
      </c>
      <c r="H22" s="9">
        <f ca="1">'Balance Sheet'!G11</f>
        <v>491863670.88390303</v>
      </c>
      <c r="I22" s="9">
        <f ca="1">'Balance Sheet'!H11</f>
        <v>528052446.21806157</v>
      </c>
      <c r="J22" s="9">
        <f ca="1">'Balance Sheet'!I11</f>
        <v>562957745.40483356</v>
      </c>
      <c r="K22" s="9">
        <f ca="1">'Balance Sheet'!J11</f>
        <v>596953727.90082109</v>
      </c>
      <c r="L22" s="9">
        <f ca="1">'Balance Sheet'!K11</f>
        <v>633223489.35346484</v>
      </c>
      <c r="M22" s="9">
        <f ca="1">'Balance Sheet'!L11</f>
        <v>671619952.90377855</v>
      </c>
      <c r="N22" s="9">
        <f ca="1">'Balance Sheet'!M11</f>
        <v>711961096.35314095</v>
      </c>
      <c r="O22" s="9">
        <f ca="1">'Balance Sheet'!N11</f>
        <v>754026232.8605839</v>
      </c>
      <c r="P22" s="9">
        <f ca="1">'Balance Sheet'!O11</f>
        <v>797551982.4077189</v>
      </c>
      <c r="Q22" s="9">
        <f ca="1">'Balance Sheet'!P11</f>
        <v>842227911.24702001</v>
      </c>
      <c r="R22" s="9">
        <f ca="1">'Balance Sheet'!Q11</f>
        <v>890666341.74141717</v>
      </c>
      <c r="S22" s="9">
        <f ca="1">'Balance Sheet'!R11</f>
        <v>942895562.27889943</v>
      </c>
      <c r="T22" s="9">
        <f ca="1">'Balance Sheet'!S11</f>
        <v>998926816.0111258</v>
      </c>
      <c r="U22" s="9">
        <f ca="1">'Balance Sheet'!T11</f>
        <v>1058752218.1314582</v>
      </c>
      <c r="V22" s="9">
        <f ca="1">'Balance Sheet'!U11</f>
        <v>1122342501.1210442</v>
      </c>
      <c r="W22" s="9">
        <f ca="1">'Balance Sheet'!V11</f>
        <v>1189644575.9342058</v>
      </c>
      <c r="X22" s="9">
        <f ca="1">'Balance Sheet'!W11</f>
        <v>1260578896.3275855</v>
      </c>
      <c r="Y22" s="9">
        <f ca="1">'Balance Sheet'!X11</f>
        <v>1335036612.7245555</v>
      </c>
      <c r="Z22" s="9">
        <f ca="1">'Balance Sheet'!Y11</f>
        <v>1412876501.1446185</v>
      </c>
      <c r="AA22" s="9">
        <f ca="1">'Balance Sheet'!Z11</f>
        <v>1493921651.8141046</v>
      </c>
      <c r="AB22" s="9">
        <f ca="1">'Balance Sheet'!AA11</f>
        <v>1577955901.1064057</v>
      </c>
      <c r="AC22" s="9">
        <f ca="1">'Balance Sheet'!AB11</f>
        <v>1664719989.4341426</v>
      </c>
      <c r="AD22" s="9">
        <f ca="1">'Balance Sheet'!AC11</f>
        <v>1753907426.6286902</v>
      </c>
      <c r="AE22" s="9">
        <f ca="1">'Balance Sheet'!AD11</f>
        <v>1845160045.1908908</v>
      </c>
      <c r="AF22" s="9">
        <f ca="1">'Balance Sheet'!AE11</f>
        <v>1938063220.5768223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840740543.43040931</v>
      </c>
      <c r="D23" s="9">
        <f t="shared" ref="D23:AF23" ca="1" si="30">D20-D22</f>
        <v>844088127.6970979</v>
      </c>
      <c r="E23" s="9">
        <f t="shared" ca="1" si="30"/>
        <v>860800927.58548796</v>
      </c>
      <c r="F23" s="9">
        <f t="shared" ca="1" si="30"/>
        <v>902275348.63142979</v>
      </c>
      <c r="G23" s="9">
        <f t="shared" ca="1" si="30"/>
        <v>964012086.51664972</v>
      </c>
      <c r="H23" s="9">
        <f t="shared" ca="1" si="30"/>
        <v>1042110256.0037467</v>
      </c>
      <c r="I23" s="9">
        <f t="shared" ca="1" si="30"/>
        <v>1141811907.2784028</v>
      </c>
      <c r="J23" s="9">
        <f ca="1">J20-J22</f>
        <v>1247145528.351927</v>
      </c>
      <c r="K23" s="9">
        <f t="shared" ca="1" si="30"/>
        <v>1357876111.5645652</v>
      </c>
      <c r="L23" s="9">
        <f t="shared" ca="1" si="30"/>
        <v>1470964165.9232233</v>
      </c>
      <c r="M23" s="9">
        <f t="shared" ca="1" si="30"/>
        <v>1586704968.2901731</v>
      </c>
      <c r="N23" s="9">
        <f t="shared" ca="1" si="30"/>
        <v>1705433483.267427</v>
      </c>
      <c r="O23" s="9">
        <f t="shared" ca="1" si="30"/>
        <v>1827528234.2562513</v>
      </c>
      <c r="P23" s="9">
        <f t="shared" ca="1" si="30"/>
        <v>1953415488.6052644</v>
      </c>
      <c r="Q23" s="9">
        <f t="shared" ca="1" si="30"/>
        <v>2083573779.7867882</v>
      </c>
      <c r="R23" s="9">
        <f t="shared" ca="1" si="30"/>
        <v>2215564264.3538828</v>
      </c>
      <c r="S23" s="9">
        <f t="shared" ca="1" si="30"/>
        <v>2349537684.1598597</v>
      </c>
      <c r="T23" s="9">
        <f t="shared" ca="1" si="30"/>
        <v>2485667555.2620831</v>
      </c>
      <c r="U23" s="9">
        <f t="shared" ca="1" si="30"/>
        <v>2624152433.9709024</v>
      </c>
      <c r="V23" s="9">
        <f t="shared" ca="1" si="30"/>
        <v>2765218360.7970014</v>
      </c>
      <c r="W23" s="9">
        <f t="shared" ca="1" si="30"/>
        <v>2909121494.5136261</v>
      </c>
      <c r="X23" s="9">
        <f t="shared" ca="1" si="30"/>
        <v>3056150949.3229866</v>
      </c>
      <c r="Y23" s="9">
        <f t="shared" ca="1" si="30"/>
        <v>3206631848.9352431</v>
      </c>
      <c r="Z23" s="9">
        <f t="shared" ca="1" si="30"/>
        <v>3360928612.2367024</v>
      </c>
      <c r="AA23" s="9">
        <f t="shared" ca="1" si="30"/>
        <v>3519448486.1438289</v>
      </c>
      <c r="AB23" s="9">
        <f t="shared" ca="1" si="30"/>
        <v>3682645342.2145915</v>
      </c>
      <c r="AC23" s="9">
        <f t="shared" ca="1" si="30"/>
        <v>3851023754.6215367</v>
      </c>
      <c r="AD23" s="9">
        <f t="shared" ca="1" si="30"/>
        <v>4025143378.1851802</v>
      </c>
      <c r="AE23" s="9">
        <f t="shared" ca="1" si="30"/>
        <v>4205623646.3254333</v>
      </c>
      <c r="AF23" s="9">
        <f t="shared" ca="1" si="30"/>
        <v>4393148810.0164337</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74433000</v>
      </c>
      <c r="D5" s="1">
        <f ca="1">C5+C6</f>
        <v>187174230.07149407</v>
      </c>
      <c r="E5" s="1">
        <f t="shared" ref="E5:AF5" ca="1" si="1">D5+D6</f>
        <v>290265086.58010852</v>
      </c>
      <c r="F5" s="1">
        <f t="shared" ca="1" si="1"/>
        <v>372428038.9358753</v>
      </c>
      <c r="G5" s="1">
        <f t="shared" ca="1" si="1"/>
        <v>438285070.40121865</v>
      </c>
      <c r="H5" s="1">
        <f t="shared" ca="1" si="1"/>
        <v>491863670.88390303</v>
      </c>
      <c r="I5" s="1">
        <f t="shared" ca="1" si="1"/>
        <v>528052446.21806157</v>
      </c>
      <c r="J5" s="1">
        <f t="shared" ca="1" si="1"/>
        <v>562957745.40483356</v>
      </c>
      <c r="K5" s="1">
        <f t="shared" ca="1" si="1"/>
        <v>596953727.90082109</v>
      </c>
      <c r="L5" s="1">
        <f t="shared" ca="1" si="1"/>
        <v>633223489.35346484</v>
      </c>
      <c r="M5" s="1">
        <f t="shared" ca="1" si="1"/>
        <v>671619952.90377855</v>
      </c>
      <c r="N5" s="1">
        <f t="shared" ca="1" si="1"/>
        <v>711961096.35314095</v>
      </c>
      <c r="O5" s="1">
        <f t="shared" ca="1" si="1"/>
        <v>754026232.8605839</v>
      </c>
      <c r="P5" s="1">
        <f t="shared" ca="1" si="1"/>
        <v>797551982.4077189</v>
      </c>
      <c r="Q5" s="1">
        <f t="shared" ca="1" si="1"/>
        <v>842227911.24702001</v>
      </c>
      <c r="R5" s="1">
        <f t="shared" ca="1" si="1"/>
        <v>890666341.74141717</v>
      </c>
      <c r="S5" s="1">
        <f t="shared" ca="1" si="1"/>
        <v>942895562.27889943</v>
      </c>
      <c r="T5" s="1">
        <f t="shared" ca="1" si="1"/>
        <v>998926816.0111258</v>
      </c>
      <c r="U5" s="1">
        <f t="shared" ca="1" si="1"/>
        <v>1058752218.1314582</v>
      </c>
      <c r="V5" s="1">
        <f t="shared" ca="1" si="1"/>
        <v>1122342501.1210442</v>
      </c>
      <c r="W5" s="1">
        <f t="shared" ca="1" si="1"/>
        <v>1189644575.9342058</v>
      </c>
      <c r="X5" s="1">
        <f t="shared" ca="1" si="1"/>
        <v>1260578896.3275855</v>
      </c>
      <c r="Y5" s="1">
        <f t="shared" ca="1" si="1"/>
        <v>1335036612.7245555</v>
      </c>
      <c r="Z5" s="1">
        <f t="shared" ca="1" si="1"/>
        <v>1412876501.1446185</v>
      </c>
      <c r="AA5" s="1">
        <f t="shared" ca="1" si="1"/>
        <v>1493921651.8141046</v>
      </c>
      <c r="AB5" s="1">
        <f t="shared" ca="1" si="1"/>
        <v>1577955901.1064057</v>
      </c>
      <c r="AC5" s="1">
        <f t="shared" ca="1" si="1"/>
        <v>1664719989.4341426</v>
      </c>
      <c r="AD5" s="1">
        <f t="shared" ca="1" si="1"/>
        <v>1753907426.6286902</v>
      </c>
      <c r="AE5" s="1">
        <f t="shared" ca="1" si="1"/>
        <v>1845160045.1908908</v>
      </c>
      <c r="AF5" s="1">
        <f t="shared" ca="1" si="1"/>
        <v>1938063220.5768223</v>
      </c>
      <c r="AG5" s="1"/>
      <c r="AH5" s="1"/>
      <c r="AI5" s="1"/>
      <c r="AJ5" s="1"/>
      <c r="AK5" s="1"/>
      <c r="AL5" s="1"/>
      <c r="AM5" s="1"/>
      <c r="AN5" s="1"/>
      <c r="AO5" s="1"/>
      <c r="AP5" s="1"/>
    </row>
    <row r="6" spans="1:42" x14ac:dyDescent="0.35">
      <c r="A6" s="63" t="s">
        <v>3</v>
      </c>
      <c r="C6" s="1">
        <f ca="1">-'Cash Flow'!C13</f>
        <v>112741230.07149407</v>
      </c>
      <c r="D6" s="1">
        <f ca="1">-'Cash Flow'!D13</f>
        <v>103090856.50861448</v>
      </c>
      <c r="E6" s="1">
        <f ca="1">-'Cash Flow'!E13</f>
        <v>82162952.355766773</v>
      </c>
      <c r="F6" s="1">
        <f ca="1">-'Cash Flow'!F13</f>
        <v>65857031.465343386</v>
      </c>
      <c r="G6" s="1">
        <f ca="1">-'Cash Flow'!G13</f>
        <v>53578600.482684374</v>
      </c>
      <c r="H6" s="1">
        <f ca="1">-'Cash Flow'!H13</f>
        <v>36188775.33415857</v>
      </c>
      <c r="I6" s="1">
        <f ca="1">-'Cash Flow'!I13</f>
        <v>34905299.186771989</v>
      </c>
      <c r="J6" s="1">
        <f ca="1">-'Cash Flow'!J13</f>
        <v>33995982.495987505</v>
      </c>
      <c r="K6" s="1">
        <f ca="1">-'Cash Flow'!K13</f>
        <v>36269761.452643812</v>
      </c>
      <c r="L6" s="1">
        <f ca="1">-'Cash Flow'!L13</f>
        <v>38396463.550313711</v>
      </c>
      <c r="M6" s="1">
        <f ca="1">-'Cash Flow'!M13</f>
        <v>40341143.449362367</v>
      </c>
      <c r="N6" s="1">
        <f ca="1">-'Cash Flow'!N13</f>
        <v>42065136.507442951</v>
      </c>
      <c r="O6" s="1">
        <f ca="1">-'Cash Flow'!O13</f>
        <v>43525749.547134966</v>
      </c>
      <c r="P6" s="1">
        <f ca="1">-'Cash Flow'!P13</f>
        <v>44675928.839301169</v>
      </c>
      <c r="Q6" s="1">
        <f ca="1">-'Cash Flow'!Q13</f>
        <v>48438430.494397223</v>
      </c>
      <c r="R6" s="1">
        <f ca="1">-'Cash Flow'!R13</f>
        <v>52229220.537482202</v>
      </c>
      <c r="S6" s="1">
        <f ca="1">-'Cash Flow'!S13</f>
        <v>56031253.732226431</v>
      </c>
      <c r="T6" s="1">
        <f ca="1">-'Cash Flow'!T13</f>
        <v>59825402.12033236</v>
      </c>
      <c r="U6" s="1">
        <f ca="1">-'Cash Flow'!U13</f>
        <v>63590282.989585936</v>
      </c>
      <c r="V6" s="1">
        <f ca="1">-'Cash Flow'!V13</f>
        <v>67302074.813161612</v>
      </c>
      <c r="W6" s="1">
        <f ca="1">-'Cash Flow'!W13</f>
        <v>70934320.393379748</v>
      </c>
      <c r="X6" s="1">
        <f ca="1">-'Cash Flow'!X13</f>
        <v>74457716.396969914</v>
      </c>
      <c r="Y6" s="1">
        <f ca="1">-'Cash Flow'!Y13</f>
        <v>77839888.420062959</v>
      </c>
      <c r="Z6" s="1">
        <f ca="1">-'Cash Flow'!Z13</f>
        <v>81045150.669486046</v>
      </c>
      <c r="AA6" s="1">
        <f ca="1">-'Cash Flow'!AA13</f>
        <v>84034249.292301178</v>
      </c>
      <c r="AB6" s="1">
        <f ca="1">-'Cash Flow'!AB13</f>
        <v>86764088.327736735</v>
      </c>
      <c r="AC6" s="1">
        <f ca="1">-'Cash Flow'!AC13</f>
        <v>89187437.194547653</v>
      </c>
      <c r="AD6" s="1">
        <f ca="1">-'Cash Flow'!AD13</f>
        <v>91252618.562200487</v>
      </c>
      <c r="AE6" s="1">
        <f ca="1">-'Cash Flow'!AE13</f>
        <v>92903175.385931432</v>
      </c>
      <c r="AF6" s="1">
        <f ca="1">-'Cash Flow'!AF13</f>
        <v>94077515.813453317</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6551098.0525022931</v>
      </c>
      <c r="D8" s="1">
        <f ca="1">IF(SUM(D5:D6)&gt;0,Assumptions!$C$26*SUM(D5:D6),Assumptions!$C$27*(SUM(D5:D6)))</f>
        <v>10159278.030303799</v>
      </c>
      <c r="E8" s="1">
        <f ca="1">IF(SUM(E5:E6)&gt;0,Assumptions!$C$26*SUM(E5:E6),Assumptions!$C$27*(SUM(E5:E6)))</f>
        <v>13034981.362755636</v>
      </c>
      <c r="F8" s="1">
        <f ca="1">IF(SUM(F5:F6)&gt;0,Assumptions!$C$26*SUM(F5:F6),Assumptions!$C$27*(SUM(F5:F6)))</f>
        <v>15339977.464042654</v>
      </c>
      <c r="G8" s="1">
        <f ca="1">IF(SUM(G5:G6)&gt;0,Assumptions!$C$26*SUM(G5:G6),Assumptions!$C$27*(SUM(G5:G6)))</f>
        <v>17215228.480936609</v>
      </c>
      <c r="H8" s="1">
        <f ca="1">IF(SUM(H5:H6)&gt;0,Assumptions!$C$26*SUM(H5:H6),Assumptions!$C$27*(SUM(H5:H6)))</f>
        <v>18481835.617632158</v>
      </c>
      <c r="I8" s="1">
        <f ca="1">IF(SUM(I5:I6)&gt;0,Assumptions!$C$26*SUM(I5:I6),Assumptions!$C$27*(SUM(I5:I6)))</f>
        <v>19703521.089169178</v>
      </c>
      <c r="J8" s="1">
        <f ca="1">IF(SUM(J5:J6)&gt;0,Assumptions!$C$26*SUM(J5:J6),Assumptions!$C$27*(SUM(J5:J6)))</f>
        <v>20893380.476528741</v>
      </c>
      <c r="K8" s="1">
        <f ca="1">IF(SUM(K5:K6)&gt;0,Assumptions!$C$26*SUM(K5:K6),Assumptions!$C$27*(SUM(K5:K6)))</f>
        <v>22162822.12737127</v>
      </c>
      <c r="L8" s="1">
        <f ca="1">IF(SUM(L5:L6)&gt;0,Assumptions!$C$26*SUM(L5:L6),Assumptions!$C$27*(SUM(L5:L6)))</f>
        <v>23506698.351632252</v>
      </c>
      <c r="M8" s="1">
        <f ca="1">IF(SUM(M5:M6)&gt;0,Assumptions!$C$26*SUM(M5:M6),Assumptions!$C$27*(SUM(M5:M6)))</f>
        <v>24918638.372359935</v>
      </c>
      <c r="N8" s="1">
        <f ca="1">IF(SUM(N5:N6)&gt;0,Assumptions!$C$26*SUM(N5:N6),Assumptions!$C$27*(SUM(N5:N6)))</f>
        <v>26390918.150120441</v>
      </c>
      <c r="O8" s="1">
        <f ca="1">IF(SUM(O5:O6)&gt;0,Assumptions!$C$26*SUM(O5:O6),Assumptions!$C$27*(SUM(O5:O6)))</f>
        <v>27914319.384270165</v>
      </c>
      <c r="P8" s="1">
        <f ca="1">IF(SUM(P5:P6)&gt;0,Assumptions!$C$26*SUM(P5:P6),Assumptions!$C$27*(SUM(P5:P6)))</f>
        <v>29477976.893645704</v>
      </c>
      <c r="Q8" s="1">
        <f ca="1">IF(SUM(Q5:Q6)&gt;0,Assumptions!$C$26*SUM(Q5:Q6),Assumptions!$C$27*(SUM(Q5:Q6)))</f>
        <v>31173321.960949603</v>
      </c>
      <c r="R8" s="1">
        <f ca="1">IF(SUM(R5:R6)&gt;0,Assumptions!$C$26*SUM(R5:R6),Assumptions!$C$27*(SUM(R5:R6)))</f>
        <v>33001344.679761484</v>
      </c>
      <c r="S8" s="1">
        <f ca="1">IF(SUM(S5:S6)&gt;0,Assumptions!$C$26*SUM(S5:S6),Assumptions!$C$27*(SUM(S5:S6)))</f>
        <v>34962438.560389407</v>
      </c>
      <c r="T8" s="1">
        <f ca="1">IF(SUM(T5:T6)&gt;0,Assumptions!$C$26*SUM(T5:T6),Assumptions!$C$27*(SUM(T5:T6)))</f>
        <v>37056327.634601042</v>
      </c>
      <c r="U8" s="1">
        <f ca="1">IF(SUM(U5:U6)&gt;0,Assumptions!$C$26*SUM(U5:U6),Assumptions!$C$27*(SUM(U5:U6)))</f>
        <v>39281987.539236553</v>
      </c>
      <c r="V8" s="1">
        <f ca="1">IF(SUM(V5:V6)&gt;0,Assumptions!$C$26*SUM(V5:V6),Assumptions!$C$27*(SUM(V5:V6)))</f>
        <v>41637560.157697208</v>
      </c>
      <c r="W8" s="1">
        <f ca="1">IF(SUM(W5:W6)&gt;0,Assumptions!$C$26*SUM(W5:W6),Assumptions!$C$27*(SUM(W5:W6)))</f>
        <v>44120261.371465497</v>
      </c>
      <c r="X8" s="1">
        <f ca="1">IF(SUM(X5:X6)&gt;0,Assumptions!$C$26*SUM(X5:X6),Assumptions!$C$27*(SUM(X5:X6)))</f>
        <v>46726281.445359446</v>
      </c>
      <c r="Y8" s="1">
        <f ca="1">IF(SUM(Y5:Y6)&gt;0,Assumptions!$C$26*SUM(Y5:Y6),Assumptions!$C$27*(SUM(Y5:Y6)))</f>
        <v>49450677.540061653</v>
      </c>
      <c r="Z8" s="1">
        <f ca="1">IF(SUM(Z5:Z6)&gt;0,Assumptions!$C$26*SUM(Z5:Z6),Assumptions!$C$27*(SUM(Z5:Z6)))</f>
        <v>52287257.813493662</v>
      </c>
      <c r="AA8" s="1">
        <f ca="1">IF(SUM(AA5:AA6)&gt;0,Assumptions!$C$26*SUM(AA5:AA6),Assumptions!$C$27*(SUM(AA5:AA6)))</f>
        <v>55228456.538724206</v>
      </c>
      <c r="AB8" s="1">
        <f ca="1">IF(SUM(AB5:AB6)&gt;0,Assumptions!$C$26*SUM(AB5:AB6),Assumptions!$C$27*(SUM(AB5:AB6)))</f>
        <v>58265199.630194999</v>
      </c>
      <c r="AC8" s="1">
        <f ca="1">IF(SUM(AC5:AC6)&gt;0,Assumptions!$C$26*SUM(AC5:AC6),Assumptions!$C$27*(SUM(AC5:AC6)))</f>
        <v>61386759.932004161</v>
      </c>
      <c r="AD8" s="1">
        <f ca="1">IF(SUM(AD5:AD6)&gt;0,Assumptions!$C$26*SUM(AD5:AD6),Assumptions!$C$27*(SUM(AD5:AD6)))</f>
        <v>64580601.581681184</v>
      </c>
      <c r="AE8" s="1">
        <f ca="1">IF(SUM(AE5:AE6)&gt;0,Assumptions!$C$26*SUM(AE5:AE6),Assumptions!$C$27*(SUM(AE5:AE6)))</f>
        <v>67832212.720188782</v>
      </c>
      <c r="AF8" s="1">
        <f ca="1">IF(SUM(AF5:AF6)&gt;0,Assumptions!$C$26*SUM(AF5:AF6),Assumptions!$C$27*(SUM(AF5:AF6)))</f>
        <v>71124925.773659647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5"/>
  <sheetViews>
    <sheetView zoomScaleNormal="100" workbookViewId="0">
      <selection activeCell="A4" sqref="A1:XFD1048576"/>
    </sheetView>
  </sheetViews>
  <sheetFormatPr defaultRowHeight="15.5" x14ac:dyDescent="0.35"/>
  <cols>
    <col min="1" max="1" width="107.9140625" style="63" customWidth="1"/>
    <col min="2" max="2" width="18.1640625" style="63" bestFit="1" customWidth="1"/>
    <col min="3" max="3" width="50.91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96</v>
      </c>
      <c r="B7" s="181">
        <f>Assumptions!C24</f>
        <v>36607300</v>
      </c>
      <c r="C7" s="180" t="s">
        <v>135</v>
      </c>
    </row>
    <row r="8" spans="1:3" ht="34" x14ac:dyDescent="0.45">
      <c r="A8" s="90" t="s">
        <v>174</v>
      </c>
      <c r="B8" s="182">
        <f>Assumptions!$C$133</f>
        <v>0.7</v>
      </c>
      <c r="C8" s="180" t="s">
        <v>201</v>
      </c>
    </row>
    <row r="9" spans="1:3" ht="18.5" x14ac:dyDescent="0.45">
      <c r="A9" s="90"/>
      <c r="B9" s="183"/>
      <c r="C9" s="180"/>
    </row>
    <row r="10" spans="1:3" ht="68" x14ac:dyDescent="0.45">
      <c r="A10" s="94" t="s">
        <v>102</v>
      </c>
      <c r="B10" s="184">
        <f>Assumptions!C135</f>
        <v>13333.333333333332</v>
      </c>
      <c r="C10" s="180" t="s">
        <v>202</v>
      </c>
    </row>
    <row r="11" spans="1:3" ht="18.5" x14ac:dyDescent="0.45">
      <c r="A11" s="94"/>
      <c r="B11" s="185"/>
      <c r="C11" s="180"/>
    </row>
    <row r="12" spans="1:3" ht="18.5" x14ac:dyDescent="0.45">
      <c r="A12" s="94" t="s">
        <v>184</v>
      </c>
      <c r="B12" s="181">
        <f>(B7*B8)/B10</f>
        <v>1921.8832500000001</v>
      </c>
      <c r="C12" s="180"/>
    </row>
    <row r="13" spans="1:3" ht="18.5" x14ac:dyDescent="0.45">
      <c r="A13" s="96"/>
      <c r="B13" s="186"/>
      <c r="C13" s="180"/>
    </row>
    <row r="14" spans="1:3" ht="18.5" x14ac:dyDescent="0.45">
      <c r="A14" s="94" t="s">
        <v>103</v>
      </c>
      <c r="B14" s="103">
        <v>1</v>
      </c>
      <c r="C14" s="180"/>
    </row>
    <row r="15" spans="1:3" ht="18.5" x14ac:dyDescent="0.45">
      <c r="A15" s="96"/>
      <c r="B15" s="99"/>
      <c r="C15" s="180"/>
    </row>
    <row r="16" spans="1:3" ht="18.5" x14ac:dyDescent="0.45">
      <c r="A16" s="96" t="s">
        <v>179</v>
      </c>
      <c r="B16" s="187">
        <f>B12/B14</f>
        <v>1921.8832500000001</v>
      </c>
      <c r="C16" s="180"/>
    </row>
    <row r="17" spans="1:3" ht="18.5" x14ac:dyDescent="0.45">
      <c r="A17" s="94"/>
      <c r="B17" s="188"/>
      <c r="C17" s="180"/>
    </row>
    <row r="18" spans="1:3" ht="18.5" x14ac:dyDescent="0.45">
      <c r="A18" s="102" t="s">
        <v>178</v>
      </c>
      <c r="B18" s="188"/>
      <c r="C18" s="180"/>
    </row>
    <row r="19" spans="1:3" ht="18.5" x14ac:dyDescent="0.45">
      <c r="A19" s="94"/>
      <c r="B19" s="188"/>
      <c r="C19" s="180"/>
    </row>
    <row r="20" spans="1:3" ht="34" x14ac:dyDescent="0.45">
      <c r="A20" s="94" t="s">
        <v>65</v>
      </c>
      <c r="B20" s="181">
        <f>'Profit and Loss'!L5</f>
        <v>274622526.64556533</v>
      </c>
      <c r="C20" s="180" t="s">
        <v>203</v>
      </c>
    </row>
    <row r="21" spans="1:3" ht="34" x14ac:dyDescent="0.45">
      <c r="A21" s="94" t="str">
        <f>A8</f>
        <v>Assumed revenue from households</v>
      </c>
      <c r="B21" s="182">
        <f>B8</f>
        <v>0.7</v>
      </c>
      <c r="C21" s="180" t="s">
        <v>201</v>
      </c>
    </row>
    <row r="22" spans="1:3" ht="18.5" x14ac:dyDescent="0.45">
      <c r="A22" s="94"/>
      <c r="B22" s="185"/>
      <c r="C22" s="180"/>
    </row>
    <row r="23" spans="1:3" ht="34" x14ac:dyDescent="0.45">
      <c r="A23" s="94" t="s">
        <v>101</v>
      </c>
      <c r="B23" s="184">
        <f>Assumptions!M135</f>
        <v>17967.143453352077</v>
      </c>
      <c r="C23" s="180" t="s">
        <v>204</v>
      </c>
    </row>
    <row r="24" spans="1:3" ht="18.5" x14ac:dyDescent="0.45">
      <c r="A24" s="94"/>
      <c r="B24" s="185"/>
      <c r="C24" s="180"/>
    </row>
    <row r="25" spans="1:3" ht="18.5" x14ac:dyDescent="0.45">
      <c r="A25" s="94" t="s">
        <v>183</v>
      </c>
      <c r="B25" s="181">
        <f>(B20*B21)/B23</f>
        <v>10699.295029896968</v>
      </c>
      <c r="C25" s="180"/>
    </row>
    <row r="26" spans="1:3" ht="18.5" x14ac:dyDescent="0.45">
      <c r="A26" s="94"/>
      <c r="B26" s="181"/>
      <c r="C26" s="180"/>
    </row>
    <row r="27" spans="1:3" ht="34" x14ac:dyDescent="0.45">
      <c r="A27" s="94" t="s">
        <v>103</v>
      </c>
      <c r="B27" s="103">
        <f>1.022^11</f>
        <v>1.2704566586717592</v>
      </c>
      <c r="C27" s="180" t="s">
        <v>205</v>
      </c>
    </row>
    <row r="28" spans="1:3" ht="18.5" x14ac:dyDescent="0.45">
      <c r="A28" s="96"/>
      <c r="B28" s="186"/>
      <c r="C28" s="180"/>
    </row>
    <row r="29" spans="1:3" ht="18.5" x14ac:dyDescent="0.45">
      <c r="A29" s="96" t="s">
        <v>180</v>
      </c>
      <c r="B29" s="181">
        <f>B25/B27</f>
        <v>8421.6135645925133</v>
      </c>
      <c r="C29" s="180"/>
    </row>
    <row r="30" spans="1:3" ht="18.5" x14ac:dyDescent="0.45">
      <c r="A30" s="96"/>
      <c r="B30" s="186"/>
      <c r="C30" s="180"/>
    </row>
    <row r="31" spans="1:3" ht="18.5" x14ac:dyDescent="0.45">
      <c r="A31" s="102" t="s">
        <v>186</v>
      </c>
      <c r="B31" s="189"/>
      <c r="C31" s="180"/>
    </row>
    <row r="32" spans="1:3" ht="18.5" x14ac:dyDescent="0.45">
      <c r="A32" s="94"/>
      <c r="B32" s="181"/>
      <c r="C32" s="180"/>
    </row>
    <row r="33" spans="1:3" ht="34" x14ac:dyDescent="0.45">
      <c r="A33" s="94" t="s">
        <v>66</v>
      </c>
      <c r="B33" s="181">
        <f>'Profit and Loss'!AF5</f>
        <v>795023539.2373836</v>
      </c>
      <c r="C33" s="180" t="s">
        <v>203</v>
      </c>
    </row>
    <row r="34" spans="1:3" ht="34" x14ac:dyDescent="0.45">
      <c r="A34" s="94" t="str">
        <f>A21</f>
        <v>Assumed revenue from households</v>
      </c>
      <c r="B34" s="182">
        <f>B21</f>
        <v>0.7</v>
      </c>
      <c r="C34" s="180" t="s">
        <v>201</v>
      </c>
    </row>
    <row r="35" spans="1:3" ht="18.5" x14ac:dyDescent="0.45">
      <c r="A35" s="94"/>
      <c r="B35" s="185"/>
      <c r="C35" s="180"/>
    </row>
    <row r="36" spans="1:3" ht="34" x14ac:dyDescent="0.45">
      <c r="A36" s="94" t="s">
        <v>100</v>
      </c>
      <c r="B36" s="184">
        <f>Assumptions!AG135</f>
        <v>32625.684545801392</v>
      </c>
      <c r="C36" s="180" t="s">
        <v>204</v>
      </c>
    </row>
    <row r="37" spans="1:3" ht="18.5" x14ac:dyDescent="0.45">
      <c r="A37" s="94"/>
      <c r="B37" s="185"/>
      <c r="C37" s="180"/>
    </row>
    <row r="38" spans="1:3" ht="18.5" x14ac:dyDescent="0.45">
      <c r="A38" s="94" t="s">
        <v>182</v>
      </c>
      <c r="B38" s="181">
        <f>(B33*B34)/B36</f>
        <v>17057.618413642966</v>
      </c>
      <c r="C38" s="180"/>
    </row>
    <row r="39" spans="1:3" ht="18.5" x14ac:dyDescent="0.45">
      <c r="A39" s="94"/>
      <c r="B39" s="185"/>
      <c r="C39" s="180"/>
    </row>
    <row r="40" spans="1:3" ht="34" x14ac:dyDescent="0.45">
      <c r="A40" s="94" t="s">
        <v>103</v>
      </c>
      <c r="B40" s="103">
        <f>1.022^31</f>
        <v>1.9632597808456462</v>
      </c>
      <c r="C40" s="180" t="s">
        <v>205</v>
      </c>
    </row>
    <row r="41" spans="1:3" ht="18.5" x14ac:dyDescent="0.45">
      <c r="A41" s="96"/>
      <c r="B41" s="186"/>
    </row>
    <row r="42" spans="1:3" ht="18.5" x14ac:dyDescent="0.45">
      <c r="A42" s="96" t="s">
        <v>181</v>
      </c>
      <c r="B42" s="181">
        <f>B38/B40</f>
        <v>8688.4163675454292</v>
      </c>
    </row>
    <row r="43" spans="1:3" x14ac:dyDescent="0.35">
      <c r="B43" s="190"/>
    </row>
    <row r="44" spans="1:3" x14ac:dyDescent="0.35">
      <c r="B44" s="190"/>
    </row>
    <row r="45" spans="1:3" x14ac:dyDescent="0.35">
      <c r="B45" s="1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1" t="s">
        <v>27</v>
      </c>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3.0277059704020504E-2</v>
      </c>
      <c r="D13" s="128">
        <f t="shared" ref="D13:AG13" si="3">(1+$C$13)^D8</f>
        <v>1.0302770597040205</v>
      </c>
      <c r="E13" s="128">
        <f t="shared" si="3"/>
        <v>1.0614708197523619</v>
      </c>
      <c r="F13" s="128">
        <f t="shared" si="3"/>
        <v>1.0936090351360797</v>
      </c>
      <c r="G13" s="128">
        <f t="shared" si="3"/>
        <v>1.1267203011857512</v>
      </c>
      <c r="H13" s="128">
        <f t="shared" si="3"/>
        <v>1.1608340790144842</v>
      </c>
      <c r="I13" s="128">
        <f t="shared" si="3"/>
        <v>1.1959807217312675</v>
      </c>
      <c r="J13" s="128">
        <f t="shared" si="3"/>
        <v>1.2321915014479825</v>
      </c>
      <c r="K13" s="128">
        <f t="shared" si="3"/>
        <v>1.2694986371041099</v>
      </c>
      <c r="L13" s="128">
        <f t="shared" si="3"/>
        <v>1.3079353231338837</v>
      </c>
      <c r="M13" s="128">
        <f t="shared" si="3"/>
        <v>1.3475357590014059</v>
      </c>
      <c r="N13" s="128">
        <f t="shared" si="3"/>
        <v>1.3883351796299939</v>
      </c>
      <c r="O13" s="128">
        <f t="shared" si="3"/>
        <v>1.4303698867528434</v>
      </c>
      <c r="P13" s="128">
        <f t="shared" si="3"/>
        <v>1.4736772812128924</v>
      </c>
      <c r="Q13" s="128">
        <f t="shared" si="3"/>
        <v>1.5182958962406339</v>
      </c>
      <c r="R13" s="128">
        <f t="shared" si="3"/>
        <v>1.5642654317394806</v>
      </c>
      <c r="S13" s="128">
        <f t="shared" si="3"/>
        <v>1.6116267896091927</v>
      </c>
      <c r="T13" s="128">
        <f t="shared" si="3"/>
        <v>1.660422110138789</v>
      </c>
      <c r="U13" s="128">
        <f t="shared" si="3"/>
        <v>1.710694809501337</v>
      </c>
      <c r="V13" s="128">
        <f t="shared" si="3"/>
        <v>1.7624896183839669</v>
      </c>
      <c r="W13" s="128">
        <f t="shared" si="3"/>
        <v>1.8158526217874948</v>
      </c>
      <c r="X13" s="128">
        <f t="shared" si="3"/>
        <v>1.870831300031057</v>
      </c>
      <c r="Y13" s="128">
        <f t="shared" si="3"/>
        <v>1.9274745709982479</v>
      </c>
      <c r="Z13" s="128">
        <f t="shared" si="3"/>
        <v>1.985832833662343</v>
      </c>
      <c r="AA13" s="128">
        <f t="shared" si="3"/>
        <v>2.0459580129293422</v>
      </c>
      <c r="AB13" s="128">
        <f t="shared" si="3"/>
        <v>2.107903605838723</v>
      </c>
      <c r="AC13" s="128">
        <f t="shared" si="3"/>
        <v>2.1717247291630226</v>
      </c>
      <c r="AD13" s="128">
        <f t="shared" si="3"/>
        <v>2.2374781684485887</v>
      </c>
      <c r="AE13" s="128">
        <f t="shared" si="3"/>
        <v>2.3052224285411493</v>
      </c>
      <c r="AF13" s="128">
        <f t="shared" si="3"/>
        <v>2.3750177856411372</v>
      </c>
      <c r="AG13" s="128">
        <f t="shared" si="3"/>
        <v>2.4469263409351045</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1605368764.4999998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802684382.24999988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74433000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135</v>
      </c>
      <c r="C24" s="136">
        <v>36607300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17786552.340000004</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133</v>
      </c>
      <c r="C49" s="71">
        <v>1070245842.9999999</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134</v>
      </c>
      <c r="C50" s="71">
        <v>2140491685.9999998</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3161018.091810341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8941184.466892302</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6051101.279351322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8616052.9887888338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22928942.508014586</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15772497.748401709</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24713682.215294011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140</v>
      </c>
      <c r="B77" s="70" t="s">
        <v>176</v>
      </c>
      <c r="C77" s="87">
        <v>1196064412.0478618</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2199731211.4785509</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1948207474.9146507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3395795623.526413</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3144271886.9625125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ht="31" x14ac:dyDescent="0.35">
      <c r="A85" s="69" t="s">
        <v>149</v>
      </c>
      <c r="B85" s="70" t="s">
        <v>198</v>
      </c>
      <c r="C85" s="150">
        <v>65000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ht="31" x14ac:dyDescent="0.35">
      <c r="A86" s="69" t="s">
        <v>150</v>
      </c>
      <c r="B86" s="70" t="s">
        <v>200</v>
      </c>
      <c r="C86" s="150">
        <v>65000</v>
      </c>
      <c r="D86" s="179"/>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65000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52243.009592714043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48373.413645577115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3395795623.526413</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3144271886.9625125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3270033755.244463</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3270033755.244463</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109001125.17481543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24713682.215294011</v>
      </c>
      <c r="E111" s="149">
        <f t="shared" si="9"/>
        <v>24713682.215294011</v>
      </c>
      <c r="F111" s="149">
        <f t="shared" si="9"/>
        <v>24713682.215294011</v>
      </c>
      <c r="G111" s="149">
        <f t="shared" si="9"/>
        <v>24713682.215294011</v>
      </c>
      <c r="H111" s="149">
        <f t="shared" si="9"/>
        <v>24713682.215294011</v>
      </c>
      <c r="I111" s="149">
        <f t="shared" si="9"/>
        <v>24713682.215294011</v>
      </c>
      <c r="J111" s="149">
        <f t="shared" si="9"/>
        <v>24713682.215294011</v>
      </c>
      <c r="K111" s="149">
        <f t="shared" si="9"/>
        <v>24713682.215294011</v>
      </c>
      <c r="L111" s="149">
        <f t="shared" si="9"/>
        <v>24713682.215294011</v>
      </c>
      <c r="M111" s="149">
        <f t="shared" si="9"/>
        <v>24713682.215294011</v>
      </c>
      <c r="N111" s="149">
        <f t="shared" si="9"/>
        <v>24713682.215294011</v>
      </c>
      <c r="O111" s="149">
        <f t="shared" si="9"/>
        <v>24713682.215294011</v>
      </c>
      <c r="P111" s="149">
        <f t="shared" si="9"/>
        <v>24713682.215294011</v>
      </c>
      <c r="Q111" s="149">
        <f t="shared" si="9"/>
        <v>24713682.215294011</v>
      </c>
      <c r="R111" s="149">
        <f t="shared" si="9"/>
        <v>24713682.215294011</v>
      </c>
      <c r="S111" s="149">
        <f t="shared" si="9"/>
        <v>24713682.215294011</v>
      </c>
      <c r="T111" s="149">
        <f t="shared" si="9"/>
        <v>24713682.215294011</v>
      </c>
      <c r="U111" s="149">
        <f t="shared" si="9"/>
        <v>24713682.215294011</v>
      </c>
      <c r="V111" s="149">
        <f t="shared" si="9"/>
        <v>24713682.215294011</v>
      </c>
      <c r="W111" s="149">
        <f t="shared" si="9"/>
        <v>24713682.215294011</v>
      </c>
      <c r="X111" s="149">
        <f t="shared" si="9"/>
        <v>24713682.215294011</v>
      </c>
      <c r="Y111" s="149">
        <f t="shared" si="9"/>
        <v>24713682.215294011</v>
      </c>
      <c r="Z111" s="149">
        <f t="shared" si="9"/>
        <v>24713682.215294011</v>
      </c>
      <c r="AA111" s="149">
        <f t="shared" si="9"/>
        <v>24713682.215294011</v>
      </c>
      <c r="AB111" s="149">
        <f t="shared" si="9"/>
        <v>24713682.215294011</v>
      </c>
      <c r="AC111" s="149">
        <f t="shared" si="9"/>
        <v>24713682.215294011</v>
      </c>
      <c r="AD111" s="149">
        <f t="shared" si="9"/>
        <v>24713682.215294011</v>
      </c>
      <c r="AE111" s="149">
        <f t="shared" si="9"/>
        <v>24713682.215294011</v>
      </c>
      <c r="AF111" s="149">
        <f t="shared" si="9"/>
        <v>24713682.215294011</v>
      </c>
      <c r="AG111" s="149">
        <f t="shared" si="9"/>
        <v>24713682.215294011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3270033755.2444654</v>
      </c>
      <c r="D113" s="149">
        <f t="shared" ref="D113:AG113" si="10">$C$102</f>
        <v>109001125.17481543</v>
      </c>
      <c r="E113" s="149">
        <f t="shared" si="10"/>
        <v>109001125.17481543</v>
      </c>
      <c r="F113" s="149">
        <f t="shared" si="10"/>
        <v>109001125.17481543</v>
      </c>
      <c r="G113" s="149">
        <f t="shared" si="10"/>
        <v>109001125.17481543</v>
      </c>
      <c r="H113" s="149">
        <f t="shared" si="10"/>
        <v>109001125.17481543</v>
      </c>
      <c r="I113" s="149">
        <f t="shared" si="10"/>
        <v>109001125.17481543</v>
      </c>
      <c r="J113" s="149">
        <f t="shared" si="10"/>
        <v>109001125.17481543</v>
      </c>
      <c r="K113" s="149">
        <f t="shared" si="10"/>
        <v>109001125.17481543</v>
      </c>
      <c r="L113" s="149">
        <f t="shared" si="10"/>
        <v>109001125.17481543</v>
      </c>
      <c r="M113" s="149">
        <f t="shared" si="10"/>
        <v>109001125.17481543</v>
      </c>
      <c r="N113" s="149">
        <f t="shared" si="10"/>
        <v>109001125.17481543</v>
      </c>
      <c r="O113" s="149">
        <f t="shared" si="10"/>
        <v>109001125.17481543</v>
      </c>
      <c r="P113" s="149">
        <f t="shared" si="10"/>
        <v>109001125.17481543</v>
      </c>
      <c r="Q113" s="149">
        <f t="shared" si="10"/>
        <v>109001125.17481543</v>
      </c>
      <c r="R113" s="149">
        <f t="shared" si="10"/>
        <v>109001125.17481543</v>
      </c>
      <c r="S113" s="149">
        <f t="shared" si="10"/>
        <v>109001125.17481543</v>
      </c>
      <c r="T113" s="149">
        <f t="shared" si="10"/>
        <v>109001125.17481543</v>
      </c>
      <c r="U113" s="149">
        <f t="shared" si="10"/>
        <v>109001125.17481543</v>
      </c>
      <c r="V113" s="149">
        <f t="shared" si="10"/>
        <v>109001125.17481543</v>
      </c>
      <c r="W113" s="149">
        <f t="shared" si="10"/>
        <v>109001125.17481543</v>
      </c>
      <c r="X113" s="149">
        <f t="shared" si="10"/>
        <v>109001125.17481543</v>
      </c>
      <c r="Y113" s="149">
        <f t="shared" si="10"/>
        <v>109001125.17481543</v>
      </c>
      <c r="Z113" s="149">
        <f t="shared" si="10"/>
        <v>109001125.17481543</v>
      </c>
      <c r="AA113" s="149">
        <f t="shared" si="10"/>
        <v>109001125.17481543</v>
      </c>
      <c r="AB113" s="149">
        <f t="shared" si="10"/>
        <v>109001125.17481543</v>
      </c>
      <c r="AC113" s="149">
        <f t="shared" si="10"/>
        <v>109001125.17481543</v>
      </c>
      <c r="AD113" s="149">
        <f t="shared" si="10"/>
        <v>109001125.17481543</v>
      </c>
      <c r="AE113" s="149">
        <f t="shared" si="10"/>
        <v>109001125.17481543</v>
      </c>
      <c r="AF113" s="149">
        <f t="shared" si="10"/>
        <v>109001125.17481543</v>
      </c>
      <c r="AG113" s="149">
        <f t="shared" si="10"/>
        <v>109001125.17481543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109001125.17481543</v>
      </c>
      <c r="E118" s="149">
        <f t="shared" ref="E118:AG118" si="13">E113+E115+E116</f>
        <v>109001125.17481543</v>
      </c>
      <c r="F118" s="149">
        <f>F113+F115+F116</f>
        <v>109001125.17481543</v>
      </c>
      <c r="G118" s="149">
        <f t="shared" si="13"/>
        <v>109001125.17481543</v>
      </c>
      <c r="H118" s="149">
        <f t="shared" si="13"/>
        <v>109001125.17481543</v>
      </c>
      <c r="I118" s="149">
        <f t="shared" si="13"/>
        <v>109001125.17481543</v>
      </c>
      <c r="J118" s="149">
        <f t="shared" si="13"/>
        <v>109001125.17481543</v>
      </c>
      <c r="K118" s="149">
        <f t="shared" si="13"/>
        <v>109001125.17481543</v>
      </c>
      <c r="L118" s="149">
        <f t="shared" si="13"/>
        <v>109001125.17481543</v>
      </c>
      <c r="M118" s="149">
        <f t="shared" si="13"/>
        <v>109001125.17481543</v>
      </c>
      <c r="N118" s="149">
        <f t="shared" si="13"/>
        <v>109001125.17481543</v>
      </c>
      <c r="O118" s="149">
        <f t="shared" si="13"/>
        <v>109001125.17481543</v>
      </c>
      <c r="P118" s="149">
        <f t="shared" si="13"/>
        <v>109001125.17481543</v>
      </c>
      <c r="Q118" s="149">
        <f t="shared" si="13"/>
        <v>109001125.17481543</v>
      </c>
      <c r="R118" s="149">
        <f t="shared" si="13"/>
        <v>109001125.17481543</v>
      </c>
      <c r="S118" s="149">
        <f t="shared" si="13"/>
        <v>109001125.17481543</v>
      </c>
      <c r="T118" s="149">
        <f t="shared" si="13"/>
        <v>109001125.17481543</v>
      </c>
      <c r="U118" s="149">
        <f t="shared" si="13"/>
        <v>109001125.17481543</v>
      </c>
      <c r="V118" s="149">
        <f t="shared" si="13"/>
        <v>109001125.17481543</v>
      </c>
      <c r="W118" s="149">
        <f t="shared" si="13"/>
        <v>109001125.17481543</v>
      </c>
      <c r="X118" s="149">
        <f t="shared" si="13"/>
        <v>109001125.17481543</v>
      </c>
      <c r="Y118" s="149">
        <f t="shared" si="13"/>
        <v>109001125.17481543</v>
      </c>
      <c r="Z118" s="149">
        <f t="shared" si="13"/>
        <v>109001125.17481543</v>
      </c>
      <c r="AA118" s="149">
        <f t="shared" si="13"/>
        <v>109001125.17481543</v>
      </c>
      <c r="AB118" s="149">
        <f t="shared" si="13"/>
        <v>109001125.17481543</v>
      </c>
      <c r="AC118" s="149">
        <f t="shared" si="13"/>
        <v>109001125.17481543</v>
      </c>
      <c r="AD118" s="149">
        <f t="shared" si="13"/>
        <v>109001125.17481543</v>
      </c>
      <c r="AE118" s="149">
        <f t="shared" si="13"/>
        <v>109001125.17481543</v>
      </c>
      <c r="AF118" s="149">
        <f t="shared" si="13"/>
        <v>109001125.17481543</v>
      </c>
      <c r="AG118" s="149">
        <f t="shared" si="13"/>
        <v>109001125.17481543</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2616027.0041955705</v>
      </c>
      <c r="E120" s="149">
        <f>(SUM($D$118:E118)*$C$104/$C$106)+(SUM($D$118:E118)*$C$105/$C$107)</f>
        <v>5232054.008391141</v>
      </c>
      <c r="F120" s="149">
        <f>(SUM($D$118:F118)*$C$104/$C$106)+(SUM($D$118:F118)*$C$105/$C$107)</f>
        <v>7848081.0125867119</v>
      </c>
      <c r="G120" s="149">
        <f>(SUM($D$118:G118)*$C$104/$C$106)+(SUM($D$118:G118)*$C$105/$C$107)</f>
        <v>10464108.016782282</v>
      </c>
      <c r="H120" s="149">
        <f>(SUM($D$118:H118)*$C$104/$C$106)+(SUM($D$118:H118)*$C$105/$C$107)</f>
        <v>13080135.020977851</v>
      </c>
      <c r="I120" s="149">
        <f>(SUM($D$118:I118)*$C$104/$C$106)+(SUM($D$118:I118)*$C$105/$C$107)</f>
        <v>15696162.025173424</v>
      </c>
      <c r="J120" s="149">
        <f>(SUM($D$118:J118)*$C$104/$C$106)+(SUM($D$118:J118)*$C$105/$C$107)</f>
        <v>18312189.029368993</v>
      </c>
      <c r="K120" s="149">
        <f>(SUM($D$118:K118)*$C$104/$C$106)+(SUM($D$118:K118)*$C$105/$C$107)</f>
        <v>20928216.033564564</v>
      </c>
      <c r="L120" s="149">
        <f>(SUM($D$118:L118)*$C$104/$C$106)+(SUM($D$118:L118)*$C$105/$C$107)</f>
        <v>23544243.037760135</v>
      </c>
      <c r="M120" s="149">
        <f>(SUM($D$118:M118)*$C$104/$C$106)+(SUM($D$118:M118)*$C$105/$C$107)</f>
        <v>26160270.041955702</v>
      </c>
      <c r="N120" s="149">
        <f>(SUM($D$118:N118)*$C$104/$C$106)+(SUM($D$118:N118)*$C$105/$C$107)</f>
        <v>28776297.046151277</v>
      </c>
      <c r="O120" s="149">
        <f>(SUM($D$118:O118)*$C$104/$C$106)+(SUM($D$118:O118)*$C$105/$C$107)</f>
        <v>31392324.050346848</v>
      </c>
      <c r="P120" s="149">
        <f>(SUM($D$118:P118)*$C$104/$C$106)+(SUM($D$118:P118)*$C$105/$C$107)</f>
        <v>34008351.054542415</v>
      </c>
      <c r="Q120" s="149">
        <f>(SUM($D$118:Q118)*$C$104/$C$106)+(SUM($D$118:Q118)*$C$105/$C$107)</f>
        <v>36624378.058737986</v>
      </c>
      <c r="R120" s="149">
        <f>(SUM($D$118:R118)*$C$104/$C$106)+(SUM($D$118:R118)*$C$105/$C$107)</f>
        <v>39240405.062933557</v>
      </c>
      <c r="S120" s="149">
        <f>(SUM($D$118:S118)*$C$104/$C$106)+(SUM($D$118:S118)*$C$105/$C$107)</f>
        <v>41856432.067129128</v>
      </c>
      <c r="T120" s="149">
        <f>(SUM($D$118:T118)*$C$104/$C$106)+(SUM($D$118:T118)*$C$105/$C$107)</f>
        <v>44472459.071324691</v>
      </c>
      <c r="U120" s="149">
        <f>(SUM($D$118:U118)*$C$104/$C$106)+(SUM($D$118:U118)*$C$105/$C$107)</f>
        <v>47088486.07552027</v>
      </c>
      <c r="V120" s="149">
        <f>(SUM($D$118:V118)*$C$104/$C$106)+(SUM($D$118:V118)*$C$105/$C$107)</f>
        <v>49704513.079715833</v>
      </c>
      <c r="W120" s="149">
        <f>(SUM($D$118:W118)*$C$104/$C$106)+(SUM($D$118:W118)*$C$105/$C$107)</f>
        <v>52320540.083911404</v>
      </c>
      <c r="X120" s="149">
        <f>(SUM($D$118:X118)*$C$104/$C$106)+(SUM($D$118:X118)*$C$105/$C$107)</f>
        <v>54936567.088106982</v>
      </c>
      <c r="Y120" s="149">
        <f>(SUM($D$118:Y118)*$C$104/$C$106)+(SUM($D$118:Y118)*$C$105/$C$107)</f>
        <v>57552594.092302561</v>
      </c>
      <c r="Z120" s="149">
        <f>(SUM($D$118:Z118)*$C$104/$C$106)+(SUM($D$118:Z118)*$C$105/$C$107)</f>
        <v>60168621.096498139</v>
      </c>
      <c r="AA120" s="149">
        <f>(SUM($D$118:AA118)*$C$104/$C$106)+(SUM($D$118:AA118)*$C$105/$C$107)</f>
        <v>62784648.10069371</v>
      </c>
      <c r="AB120" s="149">
        <f>(SUM($D$118:AB118)*$C$104/$C$106)+(SUM($D$118:AB118)*$C$105/$C$107)</f>
        <v>65400675.104889289</v>
      </c>
      <c r="AC120" s="149">
        <f>(SUM($D$118:AC118)*$C$104/$C$106)+(SUM($D$118:AC118)*$C$105/$C$107)</f>
        <v>68016702.109084859</v>
      </c>
      <c r="AD120" s="149">
        <f>(SUM($D$118:AD118)*$C$104/$C$106)+(SUM($D$118:AD118)*$C$105/$C$107)</f>
        <v>70632729.113280445</v>
      </c>
      <c r="AE120" s="149">
        <f>(SUM($D$118:AE118)*$C$104/$C$106)+(SUM($D$118:AE118)*$C$105/$C$107)</f>
        <v>73248756.117476016</v>
      </c>
      <c r="AF120" s="149">
        <f>(SUM($D$118:AF118)*$C$104/$C$106)+(SUM($D$118:AF118)*$C$105/$C$107)</f>
        <v>75864783.121671587</v>
      </c>
      <c r="AG120" s="149">
        <f>(SUM($D$118:AG118)*$C$104/$C$106)+(SUM($D$118:AG118)*$C$105/$C$107)</f>
        <v>78480810.125867158</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3270033.7552444628</v>
      </c>
      <c r="E122" s="72">
        <f>(SUM($D$118:E118)*$C$109)</f>
        <v>6540067.5104889255</v>
      </c>
      <c r="F122" s="72">
        <f>(SUM($D$118:F118)*$C$109)</f>
        <v>9810101.2657333892</v>
      </c>
      <c r="G122" s="72">
        <f>(SUM($D$118:G118)*$C$109)</f>
        <v>13080135.020977851</v>
      </c>
      <c r="H122" s="72">
        <f>(SUM($D$118:H118)*$C$109)</f>
        <v>16350168.776222315</v>
      </c>
      <c r="I122" s="72">
        <f>(SUM($D$118:I118)*$C$109)</f>
        <v>19620202.531466778</v>
      </c>
      <c r="J122" s="72">
        <f>(SUM($D$118:J118)*$C$109)</f>
        <v>22890236.286711238</v>
      </c>
      <c r="K122" s="72">
        <f>(SUM($D$118:K118)*$C$109)</f>
        <v>26160270.041955702</v>
      </c>
      <c r="L122" s="72">
        <f>(SUM($D$118:L118)*$C$109)</f>
        <v>29430303.797200166</v>
      </c>
      <c r="M122" s="72">
        <f>(SUM($D$118:M118)*$C$109)</f>
        <v>32700337.552444629</v>
      </c>
      <c r="N122" s="72">
        <f>(SUM($D$118:N118)*$C$109)</f>
        <v>35970371.307689093</v>
      </c>
      <c r="O122" s="72">
        <f>(SUM($D$118:O118)*$C$109)</f>
        <v>39240405.062933557</v>
      </c>
      <c r="P122" s="72">
        <f>(SUM($D$118:P118)*$C$109)</f>
        <v>42510438.81817802</v>
      </c>
      <c r="Q122" s="72">
        <f>(SUM($D$118:Q118)*$C$109)</f>
        <v>45780472.573422477</v>
      </c>
      <c r="R122" s="72">
        <f>(SUM($D$118:R118)*$C$109)</f>
        <v>49050506.32866694</v>
      </c>
      <c r="S122" s="72">
        <f>(SUM($D$118:S118)*$C$109)</f>
        <v>52320540.083911404</v>
      </c>
      <c r="T122" s="72">
        <f>(SUM($D$118:T118)*$C$109)</f>
        <v>55590573.839155868</v>
      </c>
      <c r="U122" s="72">
        <f>(SUM($D$118:U118)*$C$109)</f>
        <v>58860607.594400331</v>
      </c>
      <c r="V122" s="72">
        <f>(SUM($D$118:V118)*$C$109)</f>
        <v>62130641.349644795</v>
      </c>
      <c r="W122" s="72">
        <f>(SUM($D$118:W118)*$C$109)</f>
        <v>65400675.104889259</v>
      </c>
      <c r="X122" s="72">
        <f>(SUM($D$118:X118)*$C$109)</f>
        <v>68670708.860133737</v>
      </c>
      <c r="Y122" s="72">
        <f>(SUM($D$118:Y118)*$C$109)</f>
        <v>71940742.615378201</v>
      </c>
      <c r="Z122" s="72">
        <f>(SUM($D$118:Z118)*$C$109)</f>
        <v>75210776.370622665</v>
      </c>
      <c r="AA122" s="72">
        <f>(SUM($D$118:AA118)*$C$109)</f>
        <v>78480810.125867143</v>
      </c>
      <c r="AB122" s="72">
        <f>(SUM($D$118:AB118)*$C$109)</f>
        <v>81750843.881111607</v>
      </c>
      <c r="AC122" s="72">
        <f>(SUM($D$118:AC118)*$C$109)</f>
        <v>85020877.636356086</v>
      </c>
      <c r="AD122" s="72">
        <f>(SUM($D$118:AD118)*$C$109)</f>
        <v>88290911.391600549</v>
      </c>
      <c r="AE122" s="72">
        <f>(SUM($D$118:AE118)*$C$109)</f>
        <v>91560945.146845013</v>
      </c>
      <c r="AF122" s="72">
        <f>(SUM($D$118:AF118)*$C$109)</f>
        <v>94830978.902089491</v>
      </c>
      <c r="AG122" s="72">
        <f>(SUM($D$118:AG118)*$C$109)</f>
        <v>98101012.657333955</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197</v>
      </c>
      <c r="C126" s="126">
        <v>36000</v>
      </c>
      <c r="D126" s="140"/>
    </row>
    <row r="127" spans="1:33" x14ac:dyDescent="0.35">
      <c r="A127" s="77" t="s">
        <v>150</v>
      </c>
      <c r="B127" s="77" t="s">
        <v>199</v>
      </c>
      <c r="C127" s="126">
        <v>36000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36000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13333.333333333332</v>
      </c>
      <c r="D135" s="157">
        <f t="shared" ref="D135:AG135" si="14">$C$135*D13</f>
        <v>13737.027462720273</v>
      </c>
      <c r="E135" s="157">
        <f t="shared" si="14"/>
        <v>14152.944263364825</v>
      </c>
      <c r="F135" s="157">
        <f t="shared" si="14"/>
        <v>14581.453801814394</v>
      </c>
      <c r="G135" s="157">
        <f t="shared" si="14"/>
        <v>15022.937349143347</v>
      </c>
      <c r="H135" s="157">
        <f t="shared" si="14"/>
        <v>15477.787720193121</v>
      </c>
      <c r="I135" s="157">
        <f t="shared" si="14"/>
        <v>15946.409623083564</v>
      </c>
      <c r="J135" s="157">
        <f t="shared" si="14"/>
        <v>16429.220019306431</v>
      </c>
      <c r="K135" s="157">
        <f t="shared" si="14"/>
        <v>16926.648494721463</v>
      </c>
      <c r="L135" s="157">
        <f t="shared" si="14"/>
        <v>17439.137641785113</v>
      </c>
      <c r="M135" s="157">
        <f t="shared" si="14"/>
        <v>17967.143453352077</v>
      </c>
      <c r="N135" s="157">
        <f t="shared" si="14"/>
        <v>18511.135728399917</v>
      </c>
      <c r="O135" s="157">
        <f t="shared" si="14"/>
        <v>19071.598490037912</v>
      </c>
      <c r="P135" s="157">
        <f t="shared" si="14"/>
        <v>19649.030416171896</v>
      </c>
      <c r="Q135" s="157">
        <f t="shared" si="14"/>
        <v>20243.94528320845</v>
      </c>
      <c r="R135" s="157">
        <f t="shared" si="14"/>
        <v>20856.872423193072</v>
      </c>
      <c r="S135" s="157">
        <f t="shared" si="14"/>
        <v>21488.357194789234</v>
      </c>
      <c r="T135" s="157">
        <f t="shared" si="14"/>
        <v>22138.961468517184</v>
      </c>
      <c r="U135" s="157">
        <f t="shared" si="14"/>
        <v>22809.264126684491</v>
      </c>
      <c r="V135" s="157">
        <f t="shared" si="14"/>
        <v>23499.861578452888</v>
      </c>
      <c r="W135" s="157">
        <f t="shared" si="14"/>
        <v>24211.36829049993</v>
      </c>
      <c r="X135" s="157">
        <f t="shared" si="14"/>
        <v>24944.417333747424</v>
      </c>
      <c r="Y135" s="157">
        <f t="shared" si="14"/>
        <v>25699.660946643304</v>
      </c>
      <c r="Z135" s="157">
        <f t="shared" si="14"/>
        <v>26477.771115497904</v>
      </c>
      <c r="AA135" s="157">
        <f t="shared" si="14"/>
        <v>27279.440172391227</v>
      </c>
      <c r="AB135" s="157">
        <f t="shared" si="14"/>
        <v>28105.381411182971</v>
      </c>
      <c r="AC135" s="157">
        <f t="shared" si="14"/>
        <v>28956.329722173632</v>
      </c>
      <c r="AD135" s="157">
        <f t="shared" si="14"/>
        <v>29833.042245981182</v>
      </c>
      <c r="AE135" s="157">
        <f t="shared" si="14"/>
        <v>30736.299047215321</v>
      </c>
      <c r="AF135" s="157">
        <f t="shared" si="14"/>
        <v>31666.903808548494</v>
      </c>
      <c r="AG135" s="157">
        <f t="shared" si="14"/>
        <v>32625.684545801392</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0.4</v>
      </c>
      <c r="G4" s="65">
        <v>0.4</v>
      </c>
      <c r="H4" s="65">
        <v>0.23</v>
      </c>
      <c r="I4" s="65">
        <v>0.15</v>
      </c>
      <c r="J4" s="65">
        <v>0.15</v>
      </c>
      <c r="K4" s="65">
        <v>0.05</v>
      </c>
      <c r="L4" s="65">
        <v>4.4999999999999998E-2</v>
      </c>
      <c r="M4" s="65">
        <v>0.03</v>
      </c>
      <c r="N4" s="65">
        <v>0.03</v>
      </c>
      <c r="O4" s="65">
        <v>0.03</v>
      </c>
      <c r="P4" s="65">
        <v>0.03</v>
      </c>
      <c r="Q4" s="65">
        <v>0.03</v>
      </c>
      <c r="R4" s="65">
        <v>0.03</v>
      </c>
      <c r="S4" s="65">
        <v>2.1999999999999999E-2</v>
      </c>
      <c r="T4" s="65">
        <v>2.1999999999999999E-2</v>
      </c>
      <c r="U4" s="65">
        <v>2.1999999999999999E-2</v>
      </c>
      <c r="V4" s="65">
        <v>2.1999999999999999E-2</v>
      </c>
      <c r="W4" s="65">
        <v>2.1999999999999999E-2</v>
      </c>
      <c r="X4" s="65">
        <v>2.1999999999999999E-2</v>
      </c>
      <c r="Y4" s="65">
        <v>2.1999999999999999E-2</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2.4969285236298009</v>
      </c>
      <c r="C6" s="25"/>
      <c r="D6" s="25"/>
      <c r="E6" s="27">
        <f>'Debt worksheet'!C5/'Profit and Loss'!C5</f>
        <v>1.3156868565445674</v>
      </c>
      <c r="F6" s="28">
        <f ca="1">'Debt worksheet'!D5/'Profit and Loss'!D5</f>
        <v>2.2937759904532999</v>
      </c>
      <c r="G6" s="28">
        <f ca="1">'Debt worksheet'!E5/'Profit and Loss'!E5</f>
        <v>2.4661397490295416</v>
      </c>
      <c r="H6" s="28">
        <f ca="1">'Debt worksheet'!F5/'Profit and Loss'!F5</f>
        <v>2.4969285236298009</v>
      </c>
      <c r="I6" s="28">
        <f ca="1">'Debt worksheet'!G5/'Profit and Loss'!G5</f>
        <v>2.4800963166495658</v>
      </c>
      <c r="J6" s="28">
        <f ca="1">'Debt worksheet'!H5/'Profit and Loss'!H5</f>
        <v>2.3491175344933377</v>
      </c>
      <c r="K6" s="28">
        <f ca="1">'Debt worksheet'!I5/'Profit and Loss'!I5</f>
        <v>2.3312761989148822</v>
      </c>
      <c r="L6" s="28">
        <f ca="1">'Debt worksheet'!J5/'Profit and Loss'!J5</f>
        <v>2.3084589138115654</v>
      </c>
      <c r="M6" s="28">
        <f ca="1">'Debt worksheet'!K5/'Profit and Loss'!K5</f>
        <v>2.306724693147352</v>
      </c>
      <c r="N6" s="28">
        <f ca="1">'Debt worksheet'!L5/'Profit and Loss'!L5</f>
        <v>2.3057958758449515</v>
      </c>
      <c r="O6" s="28">
        <f ca="1">'Debt worksheet'!M5/'Profit and Loss'!M5</f>
        <v>2.3046032863323855</v>
      </c>
      <c r="P6" s="28">
        <f ca="1">'Debt worksheet'!N5/'Profit and Loss'!N5</f>
        <v>2.3021710879309478</v>
      </c>
      <c r="Q6" s="28">
        <f ca="1">'Debt worksheet'!O5/'Profit and Loss'!O5</f>
        <v>2.2976111659253982</v>
      </c>
      <c r="R6" s="28">
        <f ca="1">'Debt worksheet'!P5/'Profit and Loss'!P5</f>
        <v>2.2901177984350469</v>
      </c>
      <c r="S6" s="28">
        <f ca="1">'Debt worksheet'!Q5/'Profit and Loss'!Q5</f>
        <v>2.2968018391549969</v>
      </c>
      <c r="T6" s="28">
        <f ca="1">'Debt worksheet'!R5/'Profit and Loss'!R5</f>
        <v>2.3067685010392327</v>
      </c>
      <c r="U6" s="28">
        <f ca="1">'Debt worksheet'!S5/'Profit and Loss'!S5</f>
        <v>2.3192503879015396</v>
      </c>
      <c r="V6" s="28">
        <f ca="1">'Debt worksheet'!T5/'Profit and Loss'!T5</f>
        <v>2.3335267963393553</v>
      </c>
      <c r="W6" s="28">
        <f ca="1">'Debt worksheet'!U5/'Profit and Loss'!U5</f>
        <v>2.348921634972434</v>
      </c>
      <c r="X6" s="28">
        <f ca="1">'Debt worksheet'!V5/'Profit and Loss'!V5</f>
        <v>2.3648014246307127</v>
      </c>
      <c r="Y6" s="28">
        <f ca="1">'Debt worksheet'!W5/'Profit and Loss'!W5</f>
        <v>2.3805733765588637</v>
      </c>
      <c r="Z6" s="28">
        <f ca="1">'Debt worksheet'!X5/'Profit and Loss'!X5</f>
        <v>2.3956835458069214</v>
      </c>
      <c r="AA6" s="28">
        <f ca="1">'Debt worksheet'!Y5/'Profit and Loss'!Y5</f>
        <v>2.4096150570748467</v>
      </c>
      <c r="AB6" s="28">
        <f ca="1">'Debt worksheet'!Z5/'Profit and Loss'!Z5</f>
        <v>2.4218864003740248</v>
      </c>
      <c r="AC6" s="28">
        <f ca="1">'Debt worksheet'!AA5/'Profit and Loss'!AA5</f>
        <v>2.4320497939606081</v>
      </c>
      <c r="AD6" s="28">
        <f ca="1">'Debt worksheet'!AB5/'Profit and Loss'!AB5</f>
        <v>2.4396896120843858</v>
      </c>
      <c r="AE6" s="28">
        <f ca="1">'Debt worksheet'!AC5/'Profit and Loss'!AC5</f>
        <v>2.4444208751826677</v>
      </c>
      <c r="AF6" s="28">
        <f ca="1">'Debt worksheet'!AD5/'Profit and Loss'!AD5</f>
        <v>2.4458878002315068</v>
      </c>
      <c r="AG6" s="28">
        <f ca="1">'Debt worksheet'!AE5/'Profit and Loss'!AE5</f>
        <v>2.4437624090466543</v>
      </c>
      <c r="AH6" s="28">
        <f ca="1">'Debt worksheet'!AF5/'Profit and Loss'!AF5</f>
        <v>2.4377431924039445</v>
      </c>
      <c r="AI6" s="31"/>
    </row>
    <row r="7" spans="1:35" ht="21" x14ac:dyDescent="0.5">
      <c r="A7" s="19" t="s">
        <v>38</v>
      </c>
      <c r="B7" s="26">
        <f ca="1">MIN('Price and Financial ratios'!E7:AH7)</f>
        <v>0.23280660274073697</v>
      </c>
      <c r="C7" s="26"/>
      <c r="D7" s="26"/>
      <c r="E7" s="56">
        <f ca="1">'Cash Flow'!C7/'Debt worksheet'!C5</f>
        <v>0.37553492434039581</v>
      </c>
      <c r="F7" s="32">
        <f ca="1">'Cash Flow'!D7/'Debt worksheet'!D5</f>
        <v>0.23983475496768664</v>
      </c>
      <c r="G7" s="32">
        <f ca="1">'Cash Flow'!E7/'Debt worksheet'!E5</f>
        <v>0.25297390783242923</v>
      </c>
      <c r="H7" s="32">
        <f ca="1">'Cash Flow'!F7/'Debt worksheet'!F5</f>
        <v>0.26228333841443086</v>
      </c>
      <c r="I7" s="32">
        <f ca="1">'Cash Flow'!G7/'Debt worksheet'!G5</f>
        <v>0.26981432230130431</v>
      </c>
      <c r="J7" s="32">
        <f ca="1">'Cash Flow'!H7/'Debt worksheet'!H5</f>
        <v>0.29338282025352969</v>
      </c>
      <c r="K7" s="32">
        <f ca="1">'Cash Flow'!I7/'Debt worksheet'!I5</f>
        <v>0.29282125000747572</v>
      </c>
      <c r="L7" s="32">
        <f ca="1">'Cash Flow'!J7/'Debt worksheet'!J5</f>
        <v>0.29303264471355928</v>
      </c>
      <c r="M7" s="17">
        <f ca="1">'Cash Flow'!K7/'Debt worksheet'!K5</f>
        <v>0.28901973285068872</v>
      </c>
      <c r="N7" s="17">
        <f ca="1">'Cash Flow'!L7/'Debt worksheet'!L5</f>
        <v>0.28531937439285576</v>
      </c>
      <c r="O7" s="17">
        <f ca="1">'Cash Flow'!M7/'Debt worksheet'!M5</f>
        <v>0.28205788122493375</v>
      </c>
      <c r="P7" s="17">
        <f ca="1">'Cash Flow'!N7/'Debt worksheet'!N5</f>
        <v>0.27934425024996207</v>
      </c>
      <c r="Q7" s="17">
        <f ca="1">'Cash Flow'!O7/'Debt worksheet'!O5</f>
        <v>0.2772738796375474</v>
      </c>
      <c r="R7" s="17">
        <f ca="1">'Cash Flow'!P7/'Debt worksheet'!P5</f>
        <v>0.27593265078735035</v>
      </c>
      <c r="S7" s="17">
        <f ca="1">'Cash Flow'!Q7/'Debt worksheet'!Q5</f>
        <v>0.27186945383986355</v>
      </c>
      <c r="T7" s="17">
        <f ca="1">'Cash Flow'!R7/'Debt worksheet'!R5</f>
        <v>0.26765669489562993</v>
      </c>
      <c r="U7" s="17">
        <f ca="1">'Cash Flow'!S7/'Debt worksheet'!S5</f>
        <v>0.26340090498766655</v>
      </c>
      <c r="V7" s="17">
        <f ca="1">'Cash Flow'!T7/'Debt worksheet'!T5</f>
        <v>0.25919593348748876</v>
      </c>
      <c r="W7" s="17">
        <f ca="1">'Cash Flow'!U7/'Debt worksheet'!U5</f>
        <v>0.25512306965539816</v>
      </c>
      <c r="X7" s="17">
        <f ca="1">'Cash Flow'!V7/'Debt worksheet'!V5</f>
        <v>0.25125177883647432</v>
      </c>
      <c r="Y7" s="17">
        <f ca="1">'Cash Flow'!W7/'Debt worksheet'!W5</f>
        <v>0.24764084941375411</v>
      </c>
      <c r="Z7" s="17">
        <f ca="1">'Cash Flow'!X7/'Debt worksheet'!X5</f>
        <v>0.24433978231835132</v>
      </c>
      <c r="AA7" s="17">
        <f ca="1">'Cash Flow'!Y7/'Debt worksheet'!Y5</f>
        <v>0.24139029452675548</v>
      </c>
      <c r="AB7" s="17">
        <f ca="1">'Cash Flow'!Z7/'Debt worksheet'!Z5</f>
        <v>0.23882784581266503</v>
      </c>
      <c r="AC7" s="17">
        <f ca="1">'Cash Flow'!AA7/'Debt worksheet'!AA5</f>
        <v>0.23668313098223753</v>
      </c>
      <c r="AD7" s="17">
        <f ca="1">'Cash Flow'!AB7/'Debt worksheet'!AB5</f>
        <v>0.23498350678365304</v>
      </c>
      <c r="AE7" s="17">
        <f ca="1">'Cash Flow'!AC7/'Debt worksheet'!AC5</f>
        <v>0.23375434379187413</v>
      </c>
      <c r="AF7" s="17">
        <f ca="1">'Cash Flow'!AD7/'Debt worksheet'!AD5</f>
        <v>0.23302030969389487</v>
      </c>
      <c r="AG7" s="17">
        <f ca="1">'Cash Flow'!AE7/'Debt worksheet'!AE5</f>
        <v>0.23280660274073697</v>
      </c>
      <c r="AH7" s="17">
        <f ca="1">'Cash Flow'!AF7/'Debt worksheet'!AF5</f>
        <v>0.23314016400059054</v>
      </c>
      <c r="AI7" s="29"/>
    </row>
    <row r="8" spans="1:35" ht="21" x14ac:dyDescent="0.5">
      <c r="A8" s="19" t="s">
        <v>33</v>
      </c>
      <c r="B8" s="26">
        <f ca="1">MAX('Price and Financial ratios'!E8:AH8)</f>
        <v>0.39642781012512951</v>
      </c>
      <c r="C8" s="26"/>
      <c r="D8" s="176"/>
      <c r="E8" s="17">
        <f>'Balance Sheet'!B11/'Balance Sheet'!B8</f>
        <v>9.6107050204908132E-2</v>
      </c>
      <c r="F8" s="17">
        <f ca="1">'Balance Sheet'!C11/'Balance Sheet'!C8</f>
        <v>0.24291325475838008</v>
      </c>
      <c r="G8" s="17">
        <f ca="1">'Balance Sheet'!D11/'Balance Sheet'!D8</f>
        <v>0.32882570845914938</v>
      </c>
      <c r="H8" s="17">
        <f ca="1">'Balance Sheet'!E11/'Balance Sheet'!E8</f>
        <v>0.37301611500799231</v>
      </c>
      <c r="I8" s="17">
        <f ca="1">'Balance Sheet'!F11/'Balance Sheet'!F8</f>
        <v>0.39212359914470429</v>
      </c>
      <c r="J8" s="17">
        <f ca="1">'Balance Sheet'!G11/'Balance Sheet'!G8</f>
        <v>0.39642781012512951</v>
      </c>
      <c r="K8" s="17">
        <f ca="1">'Balance Sheet'!H11/'Balance Sheet'!H8</f>
        <v>0.38611816918151021</v>
      </c>
      <c r="L8" s="17">
        <f ca="1">'Balance Sheet'!I11/'Balance Sheet'!I8</f>
        <v>0.37570564974782644</v>
      </c>
      <c r="M8" s="17">
        <f ca="1">'Balance Sheet'!J11/'Balance Sheet'!J8</f>
        <v>0.36549214358922444</v>
      </c>
      <c r="N8" s="17">
        <f ca="1">'Balance Sheet'!K11/'Balance Sheet'!K8</f>
        <v>0.35727317801916469</v>
      </c>
      <c r="O8" s="17">
        <f ca="1">'Balance Sheet'!L11/'Balance Sheet'!L8</f>
        <v>0.35056767546090567</v>
      </c>
      <c r="P8" s="17">
        <f ca="1">'Balance Sheet'!M11/'Balance Sheet'!M8</f>
        <v>0.34499153716371922</v>
      </c>
      <c r="Q8" s="17">
        <f ca="1">'Balance Sheet'!N11/'Balance Sheet'!N8</f>
        <v>0.34023142690789671</v>
      </c>
      <c r="R8" s="17">
        <f ca="1">'Balance Sheet'!O11/'Balance Sheet'!O8</f>
        <v>0.3360264633024419</v>
      </c>
      <c r="S8" s="17">
        <f ca="1">'Balance Sheet'!P11/'Balance Sheet'!P8</f>
        <v>0.33215516486015179</v>
      </c>
      <c r="T8" s="17">
        <f ca="1">'Balance Sheet'!Q11/'Balance Sheet'!Q8</f>
        <v>0.3295264723195821</v>
      </c>
      <c r="U8" s="17">
        <f ca="1">'Balance Sheet'!R11/'Balance Sheet'!R8</f>
        <v>0.3279293161716057</v>
      </c>
      <c r="V8" s="17">
        <f ca="1">'Balance Sheet'!S11/'Balance Sheet'!S8</f>
        <v>0.32718337225209448</v>
      </c>
      <c r="W8" s="17">
        <f ca="1">'Balance Sheet'!T11/'Balance Sheet'!T8</f>
        <v>0.32713269542233886</v>
      </c>
      <c r="X8" s="17">
        <f ca="1">'Balance Sheet'!U11/'Balance Sheet'!U8</f>
        <v>0.32764082687836632</v>
      </c>
      <c r="Y8" s="17">
        <f ca="1">'Balance Sheet'!V11/'Balance Sheet'!V8</f>
        <v>0.32858699081290238</v>
      </c>
      <c r="Z8" s="17">
        <f ca="1">'Balance Sheet'!W11/'Balance Sheet'!W8</f>
        <v>0.32986310654134199</v>
      </c>
      <c r="AA8" s="17">
        <f ca="1">'Balance Sheet'!X11/'Balance Sheet'!X8</f>
        <v>0.331371418152695</v>
      </c>
      <c r="AB8" s="17">
        <f ca="1">'Balance Sheet'!Y11/'Balance Sheet'!Y8</f>
        <v>0.33302259679557328</v>
      </c>
      <c r="AC8" s="17">
        <f ca="1">'Balance Sheet'!Z11/'Balance Sheet'!Z8</f>
        <v>0.33473420828140898</v>
      </c>
      <c r="AD8" s="17">
        <f ca="1">'Balance Sheet'!AA11/'Balance Sheet'!AA8</f>
        <v>0.33642946564175369</v>
      </c>
      <c r="AE8" s="17">
        <f ca="1">'Balance Sheet'!AB11/'Balance Sheet'!AB8</f>
        <v>0.33803620584595684</v>
      </c>
      <c r="AF8" s="17">
        <f ca="1">'Balance Sheet'!AC11/'Balance Sheet'!AC8</f>
        <v>0.33948604425158296</v>
      </c>
      <c r="AG8" s="17">
        <f ca="1">'Balance Sheet'!AD11/'Balance Sheet'!AD8</f>
        <v>0.34071367101574057</v>
      </c>
      <c r="AH8" s="17">
        <f ca="1">'Balance Sheet'!AE11/'Balance Sheet'!AE8</f>
        <v>0.34165626167603763</v>
      </c>
      <c r="AI8" s="29"/>
    </row>
    <row r="9" spans="1:35" ht="21.5" thickBot="1" x14ac:dyDescent="0.55000000000000004">
      <c r="A9" s="20" t="s">
        <v>32</v>
      </c>
      <c r="B9" s="21">
        <f ca="1">MIN('Price and Financial ratios'!E9:AH9)</f>
        <v>5.2667947875931898</v>
      </c>
      <c r="C9" s="21"/>
      <c r="D9" s="177"/>
      <c r="E9" s="21">
        <f ca="1">('Cash Flow'!C7+'Profit and Loss'!C8)/('Profit and Loss'!C8)</f>
        <v>5.2667947875931898</v>
      </c>
      <c r="F9" s="21">
        <f ca="1">('Cash Flow'!D7+'Profit and Loss'!D8)/('Profit and Loss'!D8)</f>
        <v>5.4187082459559175</v>
      </c>
      <c r="G9" s="21">
        <f ca="1">('Cash Flow'!E7+'Profit and Loss'!E8)/('Profit and Loss'!E8)</f>
        <v>6.6332641540474935</v>
      </c>
      <c r="H9" s="21">
        <f ca="1">('Cash Flow'!F7+'Profit and Loss'!F8)/('Profit and Loss'!F8)</f>
        <v>7.3677844116922353</v>
      </c>
      <c r="I9" s="21">
        <f ca="1">('Cash Flow'!G7+'Profit and Loss'!G8)/('Profit and Loss'!G8)</f>
        <v>7.8692430876555211</v>
      </c>
      <c r="J9" s="21">
        <f ca="1">('Cash Flow'!H7+'Profit and Loss'!H8)/('Profit and Loss'!H8)</f>
        <v>8.8079014406179024</v>
      </c>
      <c r="K9" s="21">
        <f ca="1">('Cash Flow'!I7+'Profit and Loss'!I8)/('Profit and Loss'!I8)</f>
        <v>8.8475809816588509</v>
      </c>
      <c r="L9" s="21">
        <f ca="1">('Cash Flow'!J7+'Profit and Loss'!J8)/('Profit and Loss'!J8)</f>
        <v>8.8955627684701266</v>
      </c>
      <c r="M9" s="21">
        <f ca="1">('Cash Flow'!K7+'Profit and Loss'!K8)/('Profit and Loss'!K8)</f>
        <v>8.784721908183359</v>
      </c>
      <c r="N9" s="21">
        <f ca="1">('Cash Flow'!L7+'Profit and Loss'!L8)/('Profit and Loss'!L8)</f>
        <v>8.6859339040544743</v>
      </c>
      <c r="O9" s="21">
        <f ca="1">('Cash Flow'!M7+'Profit and Loss'!M8)/('Profit and Loss'!M8)</f>
        <v>8.6021690300122504</v>
      </c>
      <c r="P9" s="21">
        <f ca="1">('Cash Flow'!N7+'Profit and Loss'!N8)/('Profit and Loss'!N8)</f>
        <v>8.5360105903326247</v>
      </c>
      <c r="Q9" s="21">
        <f ca="1">('Cash Flow'!O7+'Profit and Loss'!O8)/('Profit and Loss'!O8)</f>
        <v>8.4897681027305154</v>
      </c>
      <c r="R9" s="21">
        <f ca="1">('Cash Flow'!P7+'Profit and Loss'!P8)/('Profit and Loss'!P8)</f>
        <v>8.4655948554565388</v>
      </c>
      <c r="S9" s="21">
        <f ca="1">('Cash Flow'!Q7+'Profit and Loss'!Q8)/('Profit and Loss'!Q8)</f>
        <v>8.3452563870559437</v>
      </c>
      <c r="T9" s="21">
        <f ca="1">('Cash Flow'!R7+'Profit and Loss'!R8)/('Profit and Loss'!R8)</f>
        <v>8.2237301721674054</v>
      </c>
      <c r="U9" s="21">
        <f ca="1">('Cash Flow'!S7+'Profit and Loss'!S8)/('Profit and Loss'!S8)</f>
        <v>8.1036104642453353</v>
      </c>
      <c r="V9" s="21">
        <f ca="1">('Cash Flow'!T7+'Profit and Loss'!T8)/('Profit and Loss'!T8)</f>
        <v>7.9871405260333015</v>
      </c>
      <c r="W9" s="21">
        <f ca="1">('Cash Flow'!U7+'Profit and Loss'!U8)/('Profit and Loss'!U8)</f>
        <v>7.8762334294913057</v>
      </c>
      <c r="X9" s="21">
        <f ca="1">('Cash Flow'!V7+'Profit and Loss'!V8)/('Profit and Loss'!V8)</f>
        <v>7.7725041717726731</v>
      </c>
      <c r="Y9" s="21">
        <f ca="1">('Cash Flow'!W7+'Profit and Loss'!W8)/('Profit and Loss'!W8)</f>
        <v>7.6773084321605065</v>
      </c>
      <c r="Z9" s="21">
        <f ca="1">('Cash Flow'!X7+'Profit and Loss'!X8)/('Profit and Loss'!X8)</f>
        <v>7.5917844004763904</v>
      </c>
      <c r="AA9" s="21">
        <f ca="1">('Cash Flow'!Y7+'Profit and Loss'!Y8)/('Profit and Loss'!Y8)</f>
        <v>7.5168951606073522</v>
      </c>
      <c r="AB9" s="21">
        <f ca="1">('Cash Flow'!Z7+'Profit and Loss'!Z8)/('Profit and Loss'!Z8)</f>
        <v>7.4534700284210285</v>
      </c>
      <c r="AC9" s="21">
        <f ca="1">('Cash Flow'!AA7+'Profit and Loss'!AA8)/('Profit and Loss'!AA8)</f>
        <v>7.4022439907513347</v>
      </c>
      <c r="AD9" s="21">
        <f ca="1">('Cash Flow'!AB7+'Profit and Loss'!AB8)/('Profit and Loss'!AB8)</f>
        <v>7.3638949758233503</v>
      </c>
      <c r="AE9" s="21">
        <f ca="1">('Cash Flow'!AC7+'Profit and Loss'!AC8)/('Profit and Loss'!AC8)</f>
        <v>7.3390791297410818</v>
      </c>
      <c r="AF9" s="21">
        <f ca="1">('Cash Flow'!AD7+'Profit and Loss'!AD8)/('Profit and Loss'!AD8)</f>
        <v>7.3284646119395944</v>
      </c>
      <c r="AG9" s="21">
        <f ca="1">('Cash Flow'!AE7+'Profit and Loss'!AE8)/('Profit and Loss'!AE8)</f>
        <v>7.3327646911035407</v>
      </c>
      <c r="AH9" s="21">
        <f ca="1">('Cash Flow'!AF7+'Profit and Loss'!AF8)/('Profit and Loss'!AF8)</f>
        <v>7.352771158267096</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24713682.215294011</v>
      </c>
      <c r="D5" s="1">
        <f>Assumptions!E111</f>
        <v>24713682.215294011</v>
      </c>
      <c r="E5" s="1">
        <f>Assumptions!F111</f>
        <v>24713682.215294011</v>
      </c>
      <c r="F5" s="1">
        <f>Assumptions!G111</f>
        <v>24713682.215294011</v>
      </c>
      <c r="G5" s="1">
        <f>Assumptions!H111</f>
        <v>24713682.215294011</v>
      </c>
      <c r="H5" s="1">
        <f>Assumptions!I111</f>
        <v>24713682.215294011</v>
      </c>
      <c r="I5" s="1">
        <f>Assumptions!J111</f>
        <v>24713682.215294011</v>
      </c>
      <c r="J5" s="1">
        <f>Assumptions!K111</f>
        <v>24713682.215294011</v>
      </c>
      <c r="K5" s="1">
        <f>Assumptions!L111</f>
        <v>24713682.215294011</v>
      </c>
      <c r="L5" s="1">
        <f>Assumptions!M111</f>
        <v>24713682.215294011</v>
      </c>
      <c r="M5" s="1">
        <f>Assumptions!N111</f>
        <v>24713682.215294011</v>
      </c>
      <c r="N5" s="1">
        <f>Assumptions!O111</f>
        <v>24713682.215294011</v>
      </c>
      <c r="O5" s="1">
        <f>Assumptions!P111</f>
        <v>24713682.215294011</v>
      </c>
      <c r="P5" s="1">
        <f>Assumptions!Q111</f>
        <v>24713682.215294011</v>
      </c>
      <c r="Q5" s="1">
        <f>Assumptions!R111</f>
        <v>24713682.215294011</v>
      </c>
      <c r="R5" s="1">
        <f>Assumptions!S111</f>
        <v>24713682.215294011</v>
      </c>
      <c r="S5" s="1">
        <f>Assumptions!T111</f>
        <v>24713682.215294011</v>
      </c>
      <c r="T5" s="1">
        <f>Assumptions!U111</f>
        <v>24713682.215294011</v>
      </c>
      <c r="U5" s="1">
        <f>Assumptions!V111</f>
        <v>24713682.215294011</v>
      </c>
      <c r="V5" s="1">
        <f>Assumptions!W111</f>
        <v>24713682.215294011</v>
      </c>
      <c r="W5" s="1">
        <f>Assumptions!X111</f>
        <v>24713682.215294011</v>
      </c>
      <c r="X5" s="1">
        <f>Assumptions!Y111</f>
        <v>24713682.215294011</v>
      </c>
      <c r="Y5" s="1">
        <f>Assumptions!Z111</f>
        <v>24713682.215294011</v>
      </c>
      <c r="Z5" s="1">
        <f>Assumptions!AA111</f>
        <v>24713682.215294011</v>
      </c>
      <c r="AA5" s="1">
        <f>Assumptions!AB111</f>
        <v>24713682.215294011</v>
      </c>
      <c r="AB5" s="1">
        <f>Assumptions!AC111</f>
        <v>24713682.215294011</v>
      </c>
      <c r="AC5" s="1">
        <f>Assumptions!AD111</f>
        <v>24713682.215294011</v>
      </c>
      <c r="AD5" s="1">
        <f>Assumptions!AE111</f>
        <v>24713682.215294011</v>
      </c>
      <c r="AE5" s="1">
        <f>Assumptions!AF111</f>
        <v>24713682.215294011</v>
      </c>
      <c r="AF5" s="1">
        <f>Assumptions!AG111</f>
        <v>24713682.215294011</v>
      </c>
    </row>
    <row r="6" spans="1:32" x14ac:dyDescent="0.35">
      <c r="A6" t="s">
        <v>68</v>
      </c>
      <c r="C6" s="1">
        <f>Assumptions!D113</f>
        <v>109001125.17481543</v>
      </c>
      <c r="D6" s="1">
        <f>Assumptions!E113</f>
        <v>109001125.17481543</v>
      </c>
      <c r="E6" s="1">
        <f>Assumptions!F113</f>
        <v>109001125.17481543</v>
      </c>
      <c r="F6" s="1">
        <f>Assumptions!G113</f>
        <v>109001125.17481543</v>
      </c>
      <c r="G6" s="1">
        <f>Assumptions!H113</f>
        <v>109001125.17481543</v>
      </c>
      <c r="H6" s="1">
        <f>Assumptions!I113</f>
        <v>109001125.17481543</v>
      </c>
      <c r="I6" s="1">
        <f>Assumptions!J113</f>
        <v>109001125.17481543</v>
      </c>
      <c r="J6" s="1">
        <f>Assumptions!K113</f>
        <v>109001125.17481543</v>
      </c>
      <c r="K6" s="1">
        <f>Assumptions!L113</f>
        <v>109001125.17481543</v>
      </c>
      <c r="L6" s="1">
        <f>Assumptions!M113</f>
        <v>109001125.17481543</v>
      </c>
      <c r="M6" s="1">
        <f>Assumptions!N113</f>
        <v>109001125.17481543</v>
      </c>
      <c r="N6" s="1">
        <f>Assumptions!O113</f>
        <v>109001125.17481543</v>
      </c>
      <c r="O6" s="1">
        <f>Assumptions!P113</f>
        <v>109001125.17481543</v>
      </c>
      <c r="P6" s="1">
        <f>Assumptions!Q113</f>
        <v>109001125.17481543</v>
      </c>
      <c r="Q6" s="1">
        <f>Assumptions!R113</f>
        <v>109001125.17481543</v>
      </c>
      <c r="R6" s="1">
        <f>Assumptions!S113</f>
        <v>109001125.17481543</v>
      </c>
      <c r="S6" s="1">
        <f>Assumptions!T113</f>
        <v>109001125.17481543</v>
      </c>
      <c r="T6" s="1">
        <f>Assumptions!U113</f>
        <v>109001125.17481543</v>
      </c>
      <c r="U6" s="1">
        <f>Assumptions!V113</f>
        <v>109001125.17481543</v>
      </c>
      <c r="V6" s="1">
        <f>Assumptions!W113</f>
        <v>109001125.17481543</v>
      </c>
      <c r="W6" s="1">
        <f>Assumptions!X113</f>
        <v>109001125.17481543</v>
      </c>
      <c r="X6" s="1">
        <f>Assumptions!Y113</f>
        <v>109001125.17481543</v>
      </c>
      <c r="Y6" s="1">
        <f>Assumptions!Z113</f>
        <v>109001125.17481543</v>
      </c>
      <c r="Z6" s="1">
        <f>Assumptions!AA113</f>
        <v>109001125.17481543</v>
      </c>
      <c r="AA6" s="1">
        <f>Assumptions!AB113</f>
        <v>109001125.17481543</v>
      </c>
      <c r="AB6" s="1">
        <f>Assumptions!AC113</f>
        <v>109001125.17481543</v>
      </c>
      <c r="AC6" s="1">
        <f>Assumptions!AD113</f>
        <v>109001125.17481543</v>
      </c>
      <c r="AD6" s="1">
        <f>Assumptions!AE113</f>
        <v>109001125.17481543</v>
      </c>
      <c r="AE6" s="1">
        <f>Assumptions!AF113</f>
        <v>109001125.17481543</v>
      </c>
      <c r="AF6" s="1">
        <f>Assumptions!AG113</f>
        <v>109001125.17481543</v>
      </c>
    </row>
    <row r="7" spans="1:32" x14ac:dyDescent="0.35">
      <c r="A7" t="s">
        <v>73</v>
      </c>
      <c r="C7" s="1">
        <f>Assumptions!D120</f>
        <v>2616027.0041955705</v>
      </c>
      <c r="D7" s="1">
        <f>Assumptions!E120</f>
        <v>5232054.008391141</v>
      </c>
      <c r="E7" s="1">
        <f>Assumptions!F120</f>
        <v>7848081.0125867119</v>
      </c>
      <c r="F7" s="1">
        <f>Assumptions!G120</f>
        <v>10464108.016782282</v>
      </c>
      <c r="G7" s="1">
        <f>Assumptions!H120</f>
        <v>13080135.020977851</v>
      </c>
      <c r="H7" s="1">
        <f>Assumptions!I120</f>
        <v>15696162.025173424</v>
      </c>
      <c r="I7" s="1">
        <f>Assumptions!J120</f>
        <v>18312189.029368993</v>
      </c>
      <c r="J7" s="1">
        <f>Assumptions!K120</f>
        <v>20928216.033564564</v>
      </c>
      <c r="K7" s="1">
        <f>Assumptions!L120</f>
        <v>23544243.037760135</v>
      </c>
      <c r="L7" s="1">
        <f>Assumptions!M120</f>
        <v>26160270.041955702</v>
      </c>
      <c r="M7" s="1">
        <f>Assumptions!N120</f>
        <v>28776297.046151277</v>
      </c>
      <c r="N7" s="1">
        <f>Assumptions!O120</f>
        <v>31392324.050346848</v>
      </c>
      <c r="O7" s="1">
        <f>Assumptions!P120</f>
        <v>34008351.054542415</v>
      </c>
      <c r="P7" s="1">
        <f>Assumptions!Q120</f>
        <v>36624378.058737986</v>
      </c>
      <c r="Q7" s="1">
        <f>Assumptions!R120</f>
        <v>39240405.062933557</v>
      </c>
      <c r="R7" s="1">
        <f>Assumptions!S120</f>
        <v>41856432.067129128</v>
      </c>
      <c r="S7" s="1">
        <f>Assumptions!T120</f>
        <v>44472459.071324691</v>
      </c>
      <c r="T7" s="1">
        <f>Assumptions!U120</f>
        <v>47088486.07552027</v>
      </c>
      <c r="U7" s="1">
        <f>Assumptions!V120</f>
        <v>49704513.079715833</v>
      </c>
      <c r="V7" s="1">
        <f>Assumptions!W120</f>
        <v>52320540.083911404</v>
      </c>
      <c r="W7" s="1">
        <f>Assumptions!X120</f>
        <v>54936567.088106982</v>
      </c>
      <c r="X7" s="1">
        <f>Assumptions!Y120</f>
        <v>57552594.092302561</v>
      </c>
      <c r="Y7" s="1">
        <f>Assumptions!Z120</f>
        <v>60168621.096498139</v>
      </c>
      <c r="Z7" s="1">
        <f>Assumptions!AA120</f>
        <v>62784648.10069371</v>
      </c>
      <c r="AA7" s="1">
        <f>Assumptions!AB120</f>
        <v>65400675.104889289</v>
      </c>
      <c r="AB7" s="1">
        <f>Assumptions!AC120</f>
        <v>68016702.109084859</v>
      </c>
      <c r="AC7" s="1">
        <f>Assumptions!AD120</f>
        <v>70632729.113280445</v>
      </c>
      <c r="AD7" s="1">
        <f>Assumptions!AE120</f>
        <v>73248756.117476016</v>
      </c>
      <c r="AE7" s="1">
        <f>Assumptions!AF120</f>
        <v>75864783.121671587</v>
      </c>
      <c r="AF7" s="1">
        <f>Assumptions!AG120</f>
        <v>78480810.125867158</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25504520.046183418</v>
      </c>
      <c r="D11" s="1">
        <f>D5*D$9</f>
        <v>26320664.687661286</v>
      </c>
      <c r="E11" s="1">
        <f t="shared" ref="D11:AF13" si="1">E5*E$9</f>
        <v>27162925.957666449</v>
      </c>
      <c r="F11" s="1">
        <f t="shared" si="1"/>
        <v>28032139.588311773</v>
      </c>
      <c r="G11" s="1">
        <f t="shared" si="1"/>
        <v>28929168.055137753</v>
      </c>
      <c r="H11" s="1">
        <f t="shared" si="1"/>
        <v>29854901.432902157</v>
      </c>
      <c r="I11" s="1">
        <f t="shared" si="1"/>
        <v>30810258.278755024</v>
      </c>
      <c r="J11" s="1">
        <f t="shared" si="1"/>
        <v>31796186.543675188</v>
      </c>
      <c r="K11" s="1">
        <f t="shared" si="1"/>
        <v>32813664.513072796</v>
      </c>
      <c r="L11" s="1">
        <f t="shared" si="1"/>
        <v>33863701.777491122</v>
      </c>
      <c r="M11" s="1">
        <f t="shared" si="1"/>
        <v>34947340.234370835</v>
      </c>
      <c r="N11" s="1">
        <f t="shared" si="1"/>
        <v>36065655.121870704</v>
      </c>
      <c r="O11" s="1">
        <f t="shared" si="1"/>
        <v>37219756.08577057</v>
      </c>
      <c r="P11" s="1">
        <f t="shared" si="1"/>
        <v>38410788.280515224</v>
      </c>
      <c r="Q11" s="1">
        <f t="shared" si="1"/>
        <v>39639933.505491704</v>
      </c>
      <c r="R11" s="1">
        <f t="shared" si="1"/>
        <v>40908411.377667449</v>
      </c>
      <c r="S11" s="1">
        <f t="shared" si="1"/>
        <v>42217480.541752808</v>
      </c>
      <c r="T11" s="1">
        <f t="shared" si="1"/>
        <v>43568439.919088893</v>
      </c>
      <c r="U11" s="1">
        <f t="shared" si="1"/>
        <v>44962629.996499732</v>
      </c>
      <c r="V11" s="1">
        <f t="shared" si="1"/>
        <v>46401434.156387731</v>
      </c>
      <c r="W11" s="1">
        <f t="shared" si="1"/>
        <v>47886280.049392141</v>
      </c>
      <c r="X11" s="1">
        <f t="shared" si="1"/>
        <v>49418641.010972686</v>
      </c>
      <c r="Y11" s="1">
        <f t="shared" si="1"/>
        <v>51000037.523323804</v>
      </c>
      <c r="Z11" s="1">
        <f t="shared" si="1"/>
        <v>52632038.724070169</v>
      </c>
      <c r="AA11" s="1">
        <f t="shared" si="1"/>
        <v>54316263.96324043</v>
      </c>
      <c r="AB11" s="1">
        <f t="shared" si="1"/>
        <v>56054384.410064109</v>
      </c>
      <c r="AC11" s="1">
        <f t="shared" si="1"/>
        <v>57848124.711186156</v>
      </c>
      <c r="AD11" s="1">
        <f t="shared" si="1"/>
        <v>59699264.70194412</v>
      </c>
      <c r="AE11" s="1">
        <f t="shared" si="1"/>
        <v>61609641.172406331</v>
      </c>
      <c r="AF11" s="1">
        <f t="shared" si="1"/>
        <v>63581149.689923324</v>
      </c>
    </row>
    <row r="12" spans="1:32" x14ac:dyDescent="0.35">
      <c r="A12" t="s">
        <v>71</v>
      </c>
      <c r="C12" s="1">
        <f t="shared" ref="C12:R12" si="2">C6*C$9</f>
        <v>112489161.18040952</v>
      </c>
      <c r="D12" s="1">
        <f t="shared" si="2"/>
        <v>116088814.33818263</v>
      </c>
      <c r="E12" s="1">
        <f t="shared" si="2"/>
        <v>119803656.39700447</v>
      </c>
      <c r="F12" s="1">
        <f t="shared" si="2"/>
        <v>123637373.4017086</v>
      </c>
      <c r="G12" s="1">
        <f t="shared" si="2"/>
        <v>127593769.3505633</v>
      </c>
      <c r="H12" s="1">
        <f t="shared" si="2"/>
        <v>131676769.96978131</v>
      </c>
      <c r="I12" s="1">
        <f t="shared" si="2"/>
        <v>135890426.6088143</v>
      </c>
      <c r="J12" s="1">
        <f t="shared" si="2"/>
        <v>140238920.26029637</v>
      </c>
      <c r="K12" s="1">
        <f t="shared" si="2"/>
        <v>144726565.70862585</v>
      </c>
      <c r="L12" s="1">
        <f t="shared" si="2"/>
        <v>149357815.81130189</v>
      </c>
      <c r="M12" s="1">
        <f t="shared" si="2"/>
        <v>154137265.91726354</v>
      </c>
      <c r="N12" s="1">
        <f t="shared" si="2"/>
        <v>159069658.42661598</v>
      </c>
      <c r="O12" s="1">
        <f t="shared" si="2"/>
        <v>164159887.49626771</v>
      </c>
      <c r="P12" s="1">
        <f t="shared" si="2"/>
        <v>169413003.89614823</v>
      </c>
      <c r="Q12" s="1">
        <f t="shared" si="2"/>
        <v>174834220.02082494</v>
      </c>
      <c r="R12" s="1">
        <f t="shared" si="2"/>
        <v>180428915.06149137</v>
      </c>
      <c r="S12" s="1">
        <f t="shared" si="1"/>
        <v>186202640.34345913</v>
      </c>
      <c r="T12" s="1">
        <f t="shared" si="1"/>
        <v>192161124.8344498</v>
      </c>
      <c r="U12" s="1">
        <f t="shared" si="1"/>
        <v>198310280.82915217</v>
      </c>
      <c r="V12" s="1">
        <f t="shared" si="1"/>
        <v>204656209.81568506</v>
      </c>
      <c r="W12" s="1">
        <f t="shared" si="1"/>
        <v>211205208.529787</v>
      </c>
      <c r="X12" s="1">
        <f t="shared" si="1"/>
        <v>217963775.20274016</v>
      </c>
      <c r="Y12" s="1">
        <f t="shared" si="1"/>
        <v>224938616.00922781</v>
      </c>
      <c r="Z12" s="1">
        <f t="shared" si="1"/>
        <v>232136651.72152311</v>
      </c>
      <c r="AA12" s="1">
        <f t="shared" si="1"/>
        <v>239565024.57661191</v>
      </c>
      <c r="AB12" s="1">
        <f t="shared" si="1"/>
        <v>247231105.36306345</v>
      </c>
      <c r="AC12" s="1">
        <f t="shared" si="1"/>
        <v>255142500.73468146</v>
      </c>
      <c r="AD12" s="1">
        <f t="shared" si="1"/>
        <v>263307060.75819129</v>
      </c>
      <c r="AE12" s="1">
        <f t="shared" si="1"/>
        <v>271732886.70245343</v>
      </c>
      <c r="AF12" s="1">
        <f t="shared" si="1"/>
        <v>280428339.07693189</v>
      </c>
    </row>
    <row r="13" spans="1:32" x14ac:dyDescent="0.35">
      <c r="A13" t="s">
        <v>74</v>
      </c>
      <c r="C13" s="1">
        <f>C7*C$9</f>
        <v>2699739.8683298286</v>
      </c>
      <c r="D13" s="1">
        <f t="shared" si="1"/>
        <v>5572263.0882327659</v>
      </c>
      <c r="E13" s="1">
        <f t="shared" si="1"/>
        <v>8625863.2605843227</v>
      </c>
      <c r="F13" s="1">
        <f t="shared" si="1"/>
        <v>11869187.846564027</v>
      </c>
      <c r="G13" s="1">
        <f t="shared" si="1"/>
        <v>15311252.322067594</v>
      </c>
      <c r="H13" s="1">
        <f t="shared" si="1"/>
        <v>18961454.87564851</v>
      </c>
      <c r="I13" s="1">
        <f t="shared" si="1"/>
        <v>22829591.670280799</v>
      </c>
      <c r="J13" s="1">
        <f t="shared" si="1"/>
        <v>26925872.689976905</v>
      </c>
      <c r="K13" s="1">
        <f t="shared" si="1"/>
        <v>31260938.193063188</v>
      </c>
      <c r="L13" s="1">
        <f t="shared" si="1"/>
        <v>35845875.794712447</v>
      </c>
      <c r="M13" s="1">
        <f t="shared" si="1"/>
        <v>40692238.202157572</v>
      </c>
      <c r="N13" s="1">
        <f t="shared" si="1"/>
        <v>45812061.626865402</v>
      </c>
      <c r="O13" s="1">
        <f t="shared" si="1"/>
        <v>51217884.898835517</v>
      </c>
      <c r="P13" s="1">
        <f t="shared" si="1"/>
        <v>56922769.309105806</v>
      </c>
      <c r="Q13" s="1">
        <f t="shared" si="1"/>
        <v>62940319.207496978</v>
      </c>
      <c r="R13" s="1">
        <f t="shared" si="1"/>
        <v>69284703.383612692</v>
      </c>
      <c r="S13" s="1">
        <f t="shared" si="1"/>
        <v>75970677.260131314</v>
      </c>
      <c r="T13" s="1">
        <f t="shared" si="1"/>
        <v>83013605.928482309</v>
      </c>
      <c r="U13" s="1">
        <f t="shared" si="1"/>
        <v>90429488.058093384</v>
      </c>
      <c r="V13" s="1">
        <f t="shared" si="1"/>
        <v>98234980.711528823</v>
      </c>
      <c r="W13" s="1">
        <f t="shared" si="1"/>
        <v>106447425.09901266</v>
      </c>
      <c r="X13" s="1">
        <f t="shared" si="1"/>
        <v>115084873.30704683</v>
      </c>
      <c r="Y13" s="1">
        <f t="shared" si="1"/>
        <v>124166116.03709379</v>
      </c>
      <c r="Z13" s="1">
        <f t="shared" si="1"/>
        <v>133710711.39159736</v>
      </c>
      <c r="AA13" s="1">
        <f t="shared" si="1"/>
        <v>143739014.74596721</v>
      </c>
      <c r="AB13" s="1">
        <f t="shared" si="1"/>
        <v>154272209.74655166</v>
      </c>
      <c r="AC13" s="1">
        <f t="shared" si="1"/>
        <v>165332340.47607368</v>
      </c>
      <c r="AD13" s="1">
        <f t="shared" si="1"/>
        <v>176942344.82950467</v>
      </c>
      <c r="AE13" s="1">
        <f t="shared" si="1"/>
        <v>189126089.14490768</v>
      </c>
      <c r="AF13" s="1">
        <f t="shared" si="1"/>
        <v>201908404.13539109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140693421.09492275</v>
      </c>
      <c r="D25" s="40">
        <f>SUM(D11:D13,D18:D23)</f>
        <v>147981742.11407667</v>
      </c>
      <c r="E25" s="40">
        <f t="shared" ref="E25:AF25" si="7">SUM(E11:E13,E18:E23)</f>
        <v>155592445.61525524</v>
      </c>
      <c r="F25" s="40">
        <f t="shared" si="7"/>
        <v>163538700.83658439</v>
      </c>
      <c r="G25" s="40">
        <f t="shared" si="7"/>
        <v>171834189.72776863</v>
      </c>
      <c r="H25" s="40">
        <f t="shared" si="7"/>
        <v>180493126.27833197</v>
      </c>
      <c r="I25" s="40">
        <f t="shared" si="7"/>
        <v>189530276.55785012</v>
      </c>
      <c r="J25" s="40">
        <f t="shared" si="7"/>
        <v>198960979.49394846</v>
      </c>
      <c r="K25" s="40">
        <f t="shared" si="7"/>
        <v>208801168.41476184</v>
      </c>
      <c r="L25" s="40">
        <f t="shared" si="7"/>
        <v>219067393.38350546</v>
      </c>
      <c r="M25" s="40">
        <f t="shared" si="7"/>
        <v>229776844.35379195</v>
      </c>
      <c r="N25" s="40">
        <f t="shared" si="7"/>
        <v>240947375.1753521</v>
      </c>
      <c r="O25" s="40">
        <f t="shared" si="7"/>
        <v>252597528.48087379</v>
      </c>
      <c r="P25" s="40">
        <f t="shared" si="7"/>
        <v>264746561.48576927</v>
      </c>
      <c r="Q25" s="40">
        <f t="shared" si="7"/>
        <v>277414472.73381364</v>
      </c>
      <c r="R25" s="40">
        <f t="shared" si="7"/>
        <v>290622029.82277155</v>
      </c>
      <c r="S25" s="40">
        <f t="shared" si="7"/>
        <v>304390798.14534324</v>
      </c>
      <c r="T25" s="40">
        <f t="shared" si="7"/>
        <v>318743170.68202102</v>
      </c>
      <c r="U25" s="40">
        <f t="shared" si="7"/>
        <v>333702398.88374525</v>
      </c>
      <c r="V25" s="40">
        <f t="shared" si="7"/>
        <v>349292624.68360162</v>
      </c>
      <c r="W25" s="40">
        <f t="shared" si="7"/>
        <v>365538913.67819178</v>
      </c>
      <c r="X25" s="40">
        <f t="shared" si="7"/>
        <v>382467289.5207597</v>
      </c>
      <c r="Y25" s="40">
        <f t="shared" si="7"/>
        <v>400104769.5696454</v>
      </c>
      <c r="Z25" s="40">
        <f t="shared" si="7"/>
        <v>418479401.83719063</v>
      </c>
      <c r="AA25" s="40">
        <f t="shared" si="7"/>
        <v>437620303.28581953</v>
      </c>
      <c r="AB25" s="40">
        <f t="shared" si="7"/>
        <v>457557699.51967919</v>
      </c>
      <c r="AC25" s="40">
        <f t="shared" si="7"/>
        <v>478322965.92194128</v>
      </c>
      <c r="AD25" s="40">
        <f t="shared" si="7"/>
        <v>499948670.28964007</v>
      </c>
      <c r="AE25" s="40">
        <f t="shared" si="7"/>
        <v>522468617.0197674</v>
      </c>
      <c r="AF25" s="40">
        <f t="shared" si="7"/>
        <v>545917892.90224636</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56573492.111554481</v>
      </c>
      <c r="D5" s="59">
        <f>C5*('Price and Financial ratios'!F4+1)*(1+Assumptions!$C$13)</f>
        <v>81600919.553833321</v>
      </c>
      <c r="E5" s="59">
        <f>D5*('Price and Financial ratios'!G4+1)*(1+Assumptions!$C$13)</f>
        <v>117700177.65389478</v>
      </c>
      <c r="F5" s="59">
        <f>E5*('Price and Financial ratios'!H4+1)*(1+Assumptions!$C$13)</f>
        <v>149154465.34067154</v>
      </c>
      <c r="G5" s="59">
        <f>F5*('Price and Financial ratios'!I4+1)*(1+Assumptions!$C$13)</f>
        <v>176720987.59184915</v>
      </c>
      <c r="H5" s="59">
        <f>G5*('Price and Financial ratios'!J4+1)*(1+Assumptions!$C$13)</f>
        <v>209382316.40673915</v>
      </c>
      <c r="I5" s="59">
        <f>H5*('Price and Financial ratios'!K4+1)*(1+Assumptions!$C$13)</f>
        <v>226507887.1666297</v>
      </c>
      <c r="J5" s="59">
        <f>I5*('Price and Financial ratios'!L4+1)*(1+Assumptions!$C$13)</f>
        <v>243867344.5893465</v>
      </c>
      <c r="K5" s="59">
        <f>J5*('Price and Financial ratios'!M4+1)*(1+Assumptions!$C$13)</f>
        <v>258788458.66357926</v>
      </c>
      <c r="L5" s="59">
        <f>K5*('Price and Financial ratios'!N4+1)*(1+Assumptions!$C$13)</f>
        <v>274622526.64556533</v>
      </c>
      <c r="M5" s="59">
        <f>L5*('Price and Financial ratios'!O4+1)*(1+Assumptions!$C$13)</f>
        <v>291425407.95930851</v>
      </c>
      <c r="N5" s="59">
        <f>M5*('Price and Financial ratios'!P4+1)*(1+Assumptions!$C$13)</f>
        <v>309256379.80842185</v>
      </c>
      <c r="O5" s="59">
        <f>N5*('Price and Financial ratios'!Q4+1)*(1+Assumptions!$C$13)</f>
        <v>328178346.29424262</v>
      </c>
      <c r="P5" s="59">
        <f>O5*('Price and Financial ratios'!R4+1)*(1+Assumptions!$C$13)</f>
        <v>348258060.32891691</v>
      </c>
      <c r="Q5" s="59">
        <f>P5*('Price and Financial ratios'!S4+1)*(1+Assumptions!$C$13)</f>
        <v>366695940.80300772</v>
      </c>
      <c r="R5" s="59">
        <f>Q5*('Price and Financial ratios'!T4+1)*(1+Assumptions!$C$13)</f>
        <v>386109980.84123266</v>
      </c>
      <c r="S5" s="59">
        <f>R5*('Price and Financial ratios'!U4+1)*(1+Assumptions!$C$13)</f>
        <v>406551861.41071749</v>
      </c>
      <c r="T5" s="59">
        <f>S5*('Price and Financial ratios'!V4+1)*(1+Assumptions!$C$13)</f>
        <v>428075999.63204193</v>
      </c>
      <c r="U5" s="59">
        <f>T5*('Price and Financial ratios'!W4+1)*(1+Assumptions!$C$13)</f>
        <v>450739693.63983625</v>
      </c>
      <c r="V5" s="59">
        <f>U5*('Price and Financial ratios'!X4+1)*(1+Assumptions!$C$13)</f>
        <v>474603275.11275458</v>
      </c>
      <c r="W5" s="59">
        <f>V5*('Price and Financial ratios'!Y4+1)*(1+Assumptions!$C$13)</f>
        <v>499730269.87886661</v>
      </c>
      <c r="X5" s="59">
        <f>W5*('Price and Financial ratios'!Z4+1)*(1+Assumptions!$C$13)</f>
        <v>526187567.02400506</v>
      </c>
      <c r="Y5" s="59">
        <f>X5*('Price and Financial ratios'!AA4+1)*(1+Assumptions!$C$13)</f>
        <v>554045596.95324278</v>
      </c>
      <c r="Z5" s="59">
        <f>Y5*('Price and Financial ratios'!AB4+1)*(1+Assumptions!$C$13)</f>
        <v>583378518.87950671</v>
      </c>
      <c r="AA5" s="59">
        <f>Z5*('Price and Financial ratios'!AC4+1)*(1+Assumptions!$C$13)</f>
        <v>614264418.23842919</v>
      </c>
      <c r="AB5" s="59">
        <f>AA5*('Price and Financial ratios'!AD4+1)*(1+Assumptions!$C$13)</f>
        <v>646785514.55496633</v>
      </c>
      <c r="AC5" s="59">
        <f>AB5*('Price and Financial ratios'!AE4+1)*(1+Assumptions!$C$13)</f>
        <v>681028380.31512916</v>
      </c>
      <c r="AD5" s="59">
        <f>AC5*('Price and Financial ratios'!AF4+1)*(1+Assumptions!$C$13)</f>
        <v>717084171.42547607</v>
      </c>
      <c r="AE5" s="59">
        <f>AD5*('Price and Financial ratios'!AG4+1)*(1+Assumptions!$C$13)</f>
        <v>755048869.87385702</v>
      </c>
      <c r="AF5" s="59">
        <f>AE5*('Price and Financial ratios'!AH4+1)*(1+Assumptions!$C$13)</f>
        <v>795023539.2373836</v>
      </c>
    </row>
    <row r="6" spans="1:32" s="11" customFormat="1" x14ac:dyDescent="0.35">
      <c r="A6" s="11" t="s">
        <v>20</v>
      </c>
      <c r="C6" s="59">
        <f>C27</f>
        <v>22070203.035623506</v>
      </c>
      <c r="D6" s="59">
        <f t="shared" ref="D6:AF6" si="1">D27</f>
        <v>26550755.918067336</v>
      </c>
      <c r="E6" s="59">
        <f>E27</f>
        <v>31235703.031650692</v>
      </c>
      <c r="F6" s="59">
        <f t="shared" si="1"/>
        <v>36132818.505387887</v>
      </c>
      <c r="G6" s="59">
        <f t="shared" si="1"/>
        <v>41250169.865828276</v>
      </c>
      <c r="H6" s="59">
        <f t="shared" si="1"/>
        <v>46596129.844933577</v>
      </c>
      <c r="I6" s="59">
        <f t="shared" si="1"/>
        <v>52179388.706382394</v>
      </c>
      <c r="J6" s="59">
        <f t="shared" si="1"/>
        <v>58008967.114856809</v>
      </c>
      <c r="K6" s="59">
        <f t="shared" si="1"/>
        <v>64094229.574089967</v>
      </c>
      <c r="L6" s="59">
        <f t="shared" si="1"/>
        <v>70444898.460741341</v>
      </c>
      <c r="M6" s="59">
        <f t="shared" si="1"/>
        <v>77071068.682518989</v>
      </c>
      <c r="N6" s="59">
        <f t="shared" si="1"/>
        <v>83983222.990392253</v>
      </c>
      <c r="O6" s="59">
        <f t="shared" si="1"/>
        <v>91192247.976233631</v>
      </c>
      <c r="P6" s="59">
        <f t="shared" si="1"/>
        <v>98709450.788803101</v>
      </c>
      <c r="Q6" s="59">
        <f t="shared" si="1"/>
        <v>106546576.60264169</v>
      </c>
      <c r="R6" s="59">
        <f t="shared" si="1"/>
        <v>114715826.87618181</v>
      </c>
      <c r="S6" s="59">
        <f t="shared" si="1"/>
        <v>123229878.43721125</v>
      </c>
      <c r="T6" s="59">
        <f t="shared" si="1"/>
        <v>132101903.43575221</v>
      </c>
      <c r="U6" s="59">
        <f t="shared" si="1"/>
        <v>141345590.20644039</v>
      </c>
      <c r="V6" s="59">
        <f t="shared" si="1"/>
        <v>150975165.08461738</v>
      </c>
      <c r="W6" s="59">
        <f t="shared" si="1"/>
        <v>161005415.22258908</v>
      </c>
      <c r="X6" s="59">
        <f t="shared" si="1"/>
        <v>171451712.45485586</v>
      </c>
      <c r="Y6" s="59">
        <f t="shared" si="1"/>
        <v>182330038.26359868</v>
      </c>
      <c r="Z6" s="59">
        <f t="shared" si="1"/>
        <v>193657009.89830846</v>
      </c>
      <c r="AA6" s="59">
        <f t="shared" si="1"/>
        <v>205449907.70618665</v>
      </c>
      <c r="AB6" s="59">
        <f t="shared" si="1"/>
        <v>217726703.73282886</v>
      </c>
      <c r="AC6" s="59">
        <f t="shared" si="1"/>
        <v>230506091.65573138</v>
      </c>
      <c r="AD6" s="59">
        <f t="shared" si="1"/>
        <v>243807518.11635527</v>
      </c>
      <c r="AE6" s="59">
        <f t="shared" si="1"/>
        <v>257651215.51983228</v>
      </c>
      <c r="AF6" s="59">
        <f t="shared" si="1"/>
        <v>272058236.37493092</v>
      </c>
    </row>
    <row r="7" spans="1:32" x14ac:dyDescent="0.35">
      <c r="A7" t="s">
        <v>21</v>
      </c>
      <c r="C7" s="4">
        <f>Depreciation!C8+Depreciation!C9</f>
        <v>28204259.914513245</v>
      </c>
      <c r="D7" s="4">
        <f>Depreciation!D8+Depreciation!D9</f>
        <v>31892927.775894053</v>
      </c>
      <c r="E7" s="4">
        <f>Depreciation!E8+Depreciation!E9</f>
        <v>35788789.218250774</v>
      </c>
      <c r="F7" s="4">
        <f>Depreciation!F8+Depreciation!F9</f>
        <v>39901327.434875801</v>
      </c>
      <c r="G7" s="4">
        <f>Depreciation!G8+Depreciation!G9</f>
        <v>44240420.37720535</v>
      </c>
      <c r="H7" s="4">
        <f>Depreciation!H8+Depreciation!H9</f>
        <v>48816356.308550671</v>
      </c>
      <c r="I7" s="4">
        <f>Depreciation!I8+Depreciation!I9</f>
        <v>53639849.949035823</v>
      </c>
      <c r="J7" s="4">
        <f>Depreciation!J8+Depreciation!J9</f>
        <v>58722059.233652093</v>
      </c>
      <c r="K7" s="4">
        <f>Depreciation!K8+Depreciation!K9</f>
        <v>64074602.706135988</v>
      </c>
      <c r="L7" s="4">
        <f>Depreciation!L8+Depreciation!L9</f>
        <v>69709577.572203577</v>
      </c>
      <c r="M7" s="4">
        <f>Depreciation!M8+Depreciation!M9</f>
        <v>75639578.436528414</v>
      </c>
      <c r="N7" s="4">
        <f>Depreciation!N8+Depreciation!N9</f>
        <v>81877716.748736113</v>
      </c>
      <c r="O7" s="4">
        <f>Depreciation!O8+Depreciation!O9</f>
        <v>88437640.984606087</v>
      </c>
      <c r="P7" s="4">
        <f>Depreciation!P8+Depreciation!P9</f>
        <v>95333557.589621037</v>
      </c>
      <c r="Q7" s="4">
        <f>Depreciation!Q8+Depreciation!Q9</f>
        <v>102580252.71298867</v>
      </c>
      <c r="R7" s="4">
        <f>Depreciation!R8+Depreciation!R9</f>
        <v>110193114.76128015</v>
      </c>
      <c r="S7" s="4">
        <f>Depreciation!S8+Depreciation!S9</f>
        <v>118188157.80188411</v>
      </c>
      <c r="T7" s="4">
        <f>Depreciation!T8+Depreciation!T9</f>
        <v>126582045.84757119</v>
      </c>
      <c r="U7" s="4">
        <f>Depreciation!U8+Depreciation!U9</f>
        <v>135392118.05459312</v>
      </c>
      <c r="V7" s="4">
        <f>Depreciation!V8+Depreciation!V9</f>
        <v>144636414.86791655</v>
      </c>
      <c r="W7" s="4">
        <f>Depreciation!W8+Depreciation!W9</f>
        <v>154333705.14840481</v>
      </c>
      <c r="X7" s="4">
        <f>Depreciation!X8+Depreciation!X9</f>
        <v>164503514.31801951</v>
      </c>
      <c r="Y7" s="4">
        <f>Depreciation!Y8+Depreciation!Y9</f>
        <v>175166153.56041759</v>
      </c>
      <c r="Z7" s="4">
        <f>Depreciation!Z8+Depreciation!Z9</f>
        <v>186342750.11566752</v>
      </c>
      <c r="AA7" s="4">
        <f>Depreciation!AA8+Depreciation!AA9</f>
        <v>198055278.70920765</v>
      </c>
      <c r="AB7" s="4">
        <f>Depreciation!AB8+Depreciation!AB9</f>
        <v>210326594.15661576</v>
      </c>
      <c r="AC7" s="4">
        <f>Depreciation!AC8+Depreciation!AC9</f>
        <v>223180465.18725985</v>
      </c>
      <c r="AD7" s="4">
        <f>Depreciation!AD8+Depreciation!AD9</f>
        <v>236641609.53144878</v>
      </c>
      <c r="AE7" s="4">
        <f>Depreciation!AE8+Depreciation!AE9</f>
        <v>250735730.31731403</v>
      </c>
      <c r="AF7" s="4">
        <f>Depreciation!AF8+Depreciation!AF9</f>
        <v>265489553.8253144</v>
      </c>
    </row>
    <row r="8" spans="1:32" x14ac:dyDescent="0.35">
      <c r="A8" t="s">
        <v>6</v>
      </c>
      <c r="C8" s="4">
        <f ca="1">'Debt worksheet'!C8</f>
        <v>6551098.0525022931</v>
      </c>
      <c r="D8" s="4">
        <f ca="1">'Debt worksheet'!D8</f>
        <v>10159278.030303799</v>
      </c>
      <c r="E8" s="4">
        <f ca="1">'Debt worksheet'!E8</f>
        <v>13034981.362755636</v>
      </c>
      <c r="F8" s="4">
        <f ca="1">'Debt worksheet'!F8</f>
        <v>15339977.464042654</v>
      </c>
      <c r="G8" s="4">
        <f ca="1">'Debt worksheet'!G8</f>
        <v>17215228.480936609</v>
      </c>
      <c r="H8" s="4">
        <f ca="1">'Debt worksheet'!H8</f>
        <v>18481835.617632158</v>
      </c>
      <c r="I8" s="4">
        <f ca="1">'Debt worksheet'!I8</f>
        <v>19703521.089169178</v>
      </c>
      <c r="J8" s="4">
        <f ca="1">'Debt worksheet'!J8</f>
        <v>20893380.476528741</v>
      </c>
      <c r="K8" s="4">
        <f ca="1">'Debt worksheet'!K8</f>
        <v>22162822.12737127</v>
      </c>
      <c r="L8" s="4">
        <f ca="1">'Debt worksheet'!L8</f>
        <v>23506698.351632252</v>
      </c>
      <c r="M8" s="4">
        <f ca="1">'Debt worksheet'!M8</f>
        <v>24918638.372359935</v>
      </c>
      <c r="N8" s="4">
        <f ca="1">'Debt worksheet'!N8</f>
        <v>26390918.150120441</v>
      </c>
      <c r="O8" s="4">
        <f ca="1">'Debt worksheet'!O8</f>
        <v>27914319.384270165</v>
      </c>
      <c r="P8" s="4">
        <f ca="1">'Debt worksheet'!P8</f>
        <v>29477976.893645704</v>
      </c>
      <c r="Q8" s="4">
        <f ca="1">'Debt worksheet'!Q8</f>
        <v>31173321.960949603</v>
      </c>
      <c r="R8" s="4">
        <f ca="1">'Debt worksheet'!R8</f>
        <v>33001344.679761484</v>
      </c>
      <c r="S8" s="4">
        <f ca="1">'Debt worksheet'!S8</f>
        <v>34962438.560389407</v>
      </c>
      <c r="T8" s="4">
        <f ca="1">'Debt worksheet'!T8</f>
        <v>37056327.634601042</v>
      </c>
      <c r="U8" s="4">
        <f ca="1">'Debt worksheet'!U8</f>
        <v>39281987.539236553</v>
      </c>
      <c r="V8" s="4">
        <f ca="1">'Debt worksheet'!V8</f>
        <v>41637560.157697208</v>
      </c>
      <c r="W8" s="4">
        <f ca="1">'Debt worksheet'!W8</f>
        <v>44120261.371465497</v>
      </c>
      <c r="X8" s="4">
        <f ca="1">'Debt worksheet'!X8</f>
        <v>46726281.445359446</v>
      </c>
      <c r="Y8" s="4">
        <f ca="1">'Debt worksheet'!Y8</f>
        <v>49450677.540061653</v>
      </c>
      <c r="Z8" s="4">
        <f ca="1">'Debt worksheet'!Z8</f>
        <v>52287257.813493662</v>
      </c>
      <c r="AA8" s="4">
        <f ca="1">'Debt worksheet'!AA8</f>
        <v>55228456.538724206</v>
      </c>
      <c r="AB8" s="4">
        <f ca="1">'Debt worksheet'!AB8</f>
        <v>58265199.630194999</v>
      </c>
      <c r="AC8" s="4">
        <f ca="1">'Debt worksheet'!AC8</f>
        <v>61386759.932004161</v>
      </c>
      <c r="AD8" s="4">
        <f ca="1">'Debt worksheet'!AD8</f>
        <v>64580601.581681184</v>
      </c>
      <c r="AE8" s="4">
        <f ca="1">'Debt worksheet'!AE8</f>
        <v>67832212.720188782</v>
      </c>
      <c r="AF8" s="4">
        <f ca="1">'Debt worksheet'!AF8</f>
        <v>71124925.773659647</v>
      </c>
    </row>
    <row r="9" spans="1:32" x14ac:dyDescent="0.35">
      <c r="A9" t="s">
        <v>22</v>
      </c>
      <c r="C9" s="4">
        <f ca="1">C5-C6-C7-C8</f>
        <v>-252068.89108456299</v>
      </c>
      <c r="D9" s="4">
        <f t="shared" ref="D9:AF9" ca="1" si="2">D5-D6-D7-D8</f>
        <v>12997957.829568133</v>
      </c>
      <c r="E9" s="4">
        <f t="shared" ca="1" si="2"/>
        <v>37640704.041237682</v>
      </c>
      <c r="F9" s="4">
        <f t="shared" ca="1" si="2"/>
        <v>57780341.936365195</v>
      </c>
      <c r="G9" s="4">
        <f t="shared" ca="1" si="2"/>
        <v>74015168.867878914</v>
      </c>
      <c r="H9" s="4">
        <f t="shared" ca="1" si="2"/>
        <v>95487994.63562274</v>
      </c>
      <c r="I9" s="4">
        <f t="shared" ca="1" si="2"/>
        <v>100985127.42204231</v>
      </c>
      <c r="J9" s="4">
        <f t="shared" ca="1" si="2"/>
        <v>106242937.76430887</v>
      </c>
      <c r="K9" s="4">
        <f t="shared" ca="1" si="2"/>
        <v>108456804.25598203</v>
      </c>
      <c r="L9" s="4">
        <f t="shared" ca="1" si="2"/>
        <v>110961352.26098816</v>
      </c>
      <c r="M9" s="4">
        <f t="shared" ca="1" si="2"/>
        <v>113796122.46790117</v>
      </c>
      <c r="N9" s="4">
        <f t="shared" ca="1" si="2"/>
        <v>117004521.91917303</v>
      </c>
      <c r="O9" s="4">
        <f t="shared" ca="1" si="2"/>
        <v>120634137.94913274</v>
      </c>
      <c r="P9" s="4">
        <f t="shared" ca="1" si="2"/>
        <v>124737075.05684707</v>
      </c>
      <c r="Q9" s="4">
        <f t="shared" ca="1" si="2"/>
        <v>126395789.52642775</v>
      </c>
      <c r="R9" s="4">
        <f t="shared" ca="1" si="2"/>
        <v>128199694.52400918</v>
      </c>
      <c r="S9" s="4">
        <f t="shared" ca="1" si="2"/>
        <v>130171386.6112327</v>
      </c>
      <c r="T9" s="4">
        <f t="shared" ca="1" si="2"/>
        <v>132335722.71411748</v>
      </c>
      <c r="U9" s="4">
        <f t="shared" ca="1" si="2"/>
        <v>134719997.8395662</v>
      </c>
      <c r="V9" s="4">
        <f t="shared" ca="1" si="2"/>
        <v>137354135.00252345</v>
      </c>
      <c r="W9" s="4">
        <f t="shared" ca="1" si="2"/>
        <v>140270888.13640723</v>
      </c>
      <c r="X9" s="4">
        <f t="shared" ca="1" si="2"/>
        <v>143506058.80577025</v>
      </c>
      <c r="Y9" s="4">
        <f t="shared" ca="1" si="2"/>
        <v>147098727.58916485</v>
      </c>
      <c r="Z9" s="4">
        <f t="shared" ca="1" si="2"/>
        <v>151091501.05203706</v>
      </c>
      <c r="AA9" s="4">
        <f t="shared" ca="1" si="2"/>
        <v>155530775.28431067</v>
      </c>
      <c r="AB9" s="4">
        <f t="shared" ca="1" si="2"/>
        <v>160467017.03532672</v>
      </c>
      <c r="AC9" s="4">
        <f t="shared" ca="1" si="2"/>
        <v>165955063.54013377</v>
      </c>
      <c r="AD9" s="4">
        <f t="shared" ca="1" si="2"/>
        <v>172054442.1959908</v>
      </c>
      <c r="AE9" s="4">
        <f t="shared" ca="1" si="2"/>
        <v>178829711.31652194</v>
      </c>
      <c r="AF9" s="4">
        <f t="shared" ca="1" si="2"/>
        <v>186350823.26347864</v>
      </c>
    </row>
    <row r="12" spans="1:32" x14ac:dyDescent="0.35">
      <c r="A12" t="s">
        <v>79</v>
      </c>
      <c r="C12" s="2">
        <f>Assumptions!$C$25*Assumptions!D9*Assumptions!D13</f>
        <v>18728228.537763663</v>
      </c>
      <c r="D12" s="2">
        <f>Assumptions!$C$25*Assumptions!E9*Assumptions!E13</f>
        <v>19719760.044441819</v>
      </c>
      <c r="E12" s="2">
        <f>Assumptions!$C$25*Assumptions!F9*Assumptions!F13</f>
        <v>20763786.357382778</v>
      </c>
      <c r="F12" s="2">
        <f>Assumptions!$C$25*Assumptions!G9*Assumptions!G13</f>
        <v>21863086.717252139</v>
      </c>
      <c r="G12" s="2">
        <f>Assumptions!$C$25*Assumptions!H9*Assumptions!H13</f>
        <v>23020587.506484859</v>
      </c>
      <c r="H12" s="2">
        <f>Assumptions!$C$25*Assumptions!I9*Assumptions!I13</f>
        <v>24239370.039434813</v>
      </c>
      <c r="I12" s="2">
        <f>Assumptions!$C$25*Assumptions!J9*Assumptions!J13</f>
        <v>25522678.764959376</v>
      </c>
      <c r="J12" s="2">
        <f>Assumptions!$C$25*Assumptions!K9*Assumptions!K13</f>
        <v>26873929.903274711</v>
      </c>
      <c r="K12" s="2">
        <f>Assumptions!$C$25*Assumptions!L9*Assumptions!L13</f>
        <v>28296720.540073454</v>
      </c>
      <c r="L12" s="2">
        <f>Assumptions!$C$25*Assumptions!M9*Assumptions!M13</f>
        <v>29794838.202113695</v>
      </c>
      <c r="M12" s="2">
        <f>Assumptions!$C$25*Assumptions!N9*Assumptions!N13</f>
        <v>31372270.939769797</v>
      </c>
      <c r="N12" s="2">
        <f>Assumptions!$C$25*Assumptions!O9*Assumptions!O13</f>
        <v>33033217.943385325</v>
      </c>
      <c r="O12" s="2">
        <f>Assumptions!$C$25*Assumptions!P9*Assumptions!P13</f>
        <v>34782100.721689135</v>
      </c>
      <c r="P12" s="2">
        <f>Assumptions!$C$25*Assumptions!Q9*Assumptions!Q13</f>
        <v>36623574.872032136</v>
      </c>
      <c r="Q12" s="2">
        <f>Assumptions!$C$25*Assumptions!R9*Assumptions!R13</f>
        <v>38562542.473777473</v>
      </c>
      <c r="R12" s="2">
        <f>Assumptions!$C$25*Assumptions!S9*Assumptions!S13</f>
        <v>40604165.137835957</v>
      </c>
      <c r="S12" s="2">
        <f>Assumptions!$C$25*Assumptions!T9*Assumptions!T13</f>
        <v>42753877.747084938</v>
      </c>
      <c r="T12" s="2">
        <f>Assumptions!$C$25*Assumptions!U9*Assumptions!U13</f>
        <v>45017402.924248479</v>
      </c>
      <c r="U12" s="2">
        <f>Assumptions!$C$25*Assumptions!V9*Assumptions!V13</f>
        <v>47400766.265752636</v>
      </c>
      <c r="V12" s="2">
        <f>Assumptions!$C$25*Assumptions!W9*Assumptions!W13</f>
        <v>49910312.382109091</v>
      </c>
      <c r="W12" s="2">
        <f>Assumptions!$C$25*Assumptions!X9*Assumptions!X13</f>
        <v>52552721.787527397</v>
      </c>
      <c r="X12" s="2">
        <f>Assumptions!$C$25*Assumptions!Y9*Assumptions!Y13</f>
        <v>55335028.683716476</v>
      </c>
      <c r="Y12" s="2">
        <f>Assumptions!$C$25*Assumptions!Z9*Assumptions!Z13</f>
        <v>58264639.685216777</v>
      </c>
      <c r="Z12" s="2">
        <f>Assumptions!$C$25*Assumptions!AA9*Assumptions!AA13</f>
        <v>61349353.536110535</v>
      </c>
      <c r="AA12" s="2">
        <f>Assumptions!$C$25*Assumptions!AB9*Assumptions!AB13</f>
        <v>64597381.870596796</v>
      </c>
      <c r="AB12" s="2">
        <f>Assumptions!$C$25*Assumptions!AC9*Assumptions!AC13</f>
        <v>68017371.072697043</v>
      </c>
      <c r="AC12" s="2">
        <f>Assumptions!$C$25*Assumptions!AD9*Assumptions!AD13</f>
        <v>71618425.293282256</v>
      </c>
      <c r="AD12" s="2">
        <f>Assumptions!$C$25*Assumptions!AE9*Assumptions!AE13</f>
        <v>75410130.685694396</v>
      </c>
      <c r="AE12" s="2">
        <f>Assumptions!$C$25*Assumptions!AF9*Assumptions!AF13</f>
        <v>79402580.924477726</v>
      </c>
      <c r="AF12" s="2">
        <f>Assumptions!$C$25*Assumptions!AG9*Assumptions!AG13</f>
        <v>83606404.07515265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3341974.4978598412</v>
      </c>
      <c r="D14" s="5">
        <f>Assumptions!E122*Assumptions!E9</f>
        <v>6830995.873625515</v>
      </c>
      <c r="E14" s="5">
        <f>Assumptions!F122*Assumptions!F9</f>
        <v>10471916.674267916</v>
      </c>
      <c r="F14" s="5">
        <f>Assumptions!G122*Assumptions!G9</f>
        <v>14269731.788135745</v>
      </c>
      <c r="G14" s="5">
        <f>Assumptions!H122*Assumptions!H9</f>
        <v>18229582.359343417</v>
      </c>
      <c r="H14" s="5">
        <f>Assumptions!I122*Assumptions!I9</f>
        <v>22356759.805498764</v>
      </c>
      <c r="I14" s="5">
        <f>Assumptions!J122*Assumptions!J9</f>
        <v>26656709.941423021</v>
      </c>
      <c r="J14" s="5">
        <f>Assumptions!K122*Assumptions!K9</f>
        <v>31135037.211582098</v>
      </c>
      <c r="K14" s="5">
        <f>Assumptions!L122*Assumptions!L9</f>
        <v>35797509.034016512</v>
      </c>
      <c r="L14" s="5">
        <f>Assumptions!M122*Assumptions!M9</f>
        <v>40650060.258627646</v>
      </c>
      <c r="M14" s="5">
        <f>Assumptions!N122*Assumptions!N9</f>
        <v>45698797.742749199</v>
      </c>
      <c r="N14" s="5">
        <f>Assumptions!O122*Assumptions!O9</f>
        <v>50950005.047006927</v>
      </c>
      <c r="O14" s="5">
        <f>Assumptions!P122*Assumptions!P9</f>
        <v>56410147.254544504</v>
      </c>
      <c r="P14" s="5">
        <f>Assumptions!Q122*Assumptions!Q9</f>
        <v>62085875.916770965</v>
      </c>
      <c r="Q14" s="5">
        <f>Assumptions!R122*Assumptions!R9</f>
        <v>67984034.128864214</v>
      </c>
      <c r="R14" s="5">
        <f>Assumptions!S122*Assumptions!S9</f>
        <v>74111661.738345847</v>
      </c>
      <c r="S14" s="5">
        <f>Assumptions!T122*Assumptions!T9</f>
        <v>80476000.6901263</v>
      </c>
      <c r="T14" s="5">
        <f>Assumptions!U122*Assumptions!U9</f>
        <v>87084500.511503726</v>
      </c>
      <c r="U14" s="5">
        <f>Assumptions!V122*Assumptions!V9</f>
        <v>93944823.940687746</v>
      </c>
      <c r="V14" s="5">
        <f>Assumptions!W122*Assumptions!W9</f>
        <v>101064852.7025083</v>
      </c>
      <c r="W14" s="5">
        <f>Assumptions!X122*Assumptions!X9</f>
        <v>108452693.43506168</v>
      </c>
      <c r="X14" s="5">
        <f>Assumptions!Y122*Assumptions!Y9</f>
        <v>116116683.77113937</v>
      </c>
      <c r="Y14" s="5">
        <f>Assumptions!Z122*Assumptions!Z9</f>
        <v>124065398.5783819</v>
      </c>
      <c r="Z14" s="5">
        <f>Assumptions!AA122*Assumptions!AA9</f>
        <v>132307656.36219792</v>
      </c>
      <c r="AA14" s="5">
        <f>Assumptions!AB122*Assumptions!AB9</f>
        <v>140852525.83558986</v>
      </c>
      <c r="AB14" s="5">
        <f>Assumptions!AC122*Assumptions!AC9</f>
        <v>149709332.66013181</v>
      </c>
      <c r="AC14" s="5">
        <f>Assumptions!AD122*Assumptions!AD9</f>
        <v>158887666.36244911</v>
      </c>
      <c r="AD14" s="5">
        <f>Assumptions!AE122*Assumptions!AE9</f>
        <v>168397387.43066087</v>
      </c>
      <c r="AE14" s="5">
        <f>Assumptions!AF122*Assumptions!AF9</f>
        <v>178248634.59535456</v>
      </c>
      <c r="AF14" s="5">
        <f>Assumptions!AG122*Assumptions!AG9</f>
        <v>188451832.29977828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22070203.035623506</v>
      </c>
      <c r="D27" s="2">
        <f t="shared" ref="D27:AF27" si="8">D12+D13+D14+D19+D20+D22+D24+D25</f>
        <v>26550755.918067336</v>
      </c>
      <c r="E27" s="2">
        <f t="shared" si="8"/>
        <v>31235703.031650692</v>
      </c>
      <c r="F27" s="2">
        <f t="shared" si="8"/>
        <v>36132818.505387887</v>
      </c>
      <c r="G27" s="2">
        <f t="shared" si="8"/>
        <v>41250169.865828276</v>
      </c>
      <c r="H27" s="2">
        <f t="shared" si="8"/>
        <v>46596129.844933577</v>
      </c>
      <c r="I27" s="2">
        <f t="shared" si="8"/>
        <v>52179388.706382394</v>
      </c>
      <c r="J27" s="2">
        <f t="shared" si="8"/>
        <v>58008967.114856809</v>
      </c>
      <c r="K27" s="2">
        <f t="shared" si="8"/>
        <v>64094229.574089967</v>
      </c>
      <c r="L27" s="2">
        <f t="shared" si="8"/>
        <v>70444898.460741341</v>
      </c>
      <c r="M27" s="2">
        <f t="shared" si="8"/>
        <v>77071068.682518989</v>
      </c>
      <c r="N27" s="2">
        <f t="shared" si="8"/>
        <v>83983222.990392253</v>
      </c>
      <c r="O27" s="2">
        <f t="shared" si="8"/>
        <v>91192247.976233631</v>
      </c>
      <c r="P27" s="2">
        <f t="shared" si="8"/>
        <v>98709450.788803101</v>
      </c>
      <c r="Q27" s="2">
        <f t="shared" si="8"/>
        <v>106546576.60264169</v>
      </c>
      <c r="R27" s="2">
        <f t="shared" si="8"/>
        <v>114715826.87618181</v>
      </c>
      <c r="S27" s="2">
        <f t="shared" si="8"/>
        <v>123229878.43721125</v>
      </c>
      <c r="T27" s="2">
        <f t="shared" si="8"/>
        <v>132101903.43575221</v>
      </c>
      <c r="U27" s="2">
        <f t="shared" si="8"/>
        <v>141345590.20644039</v>
      </c>
      <c r="V27" s="2">
        <f t="shared" si="8"/>
        <v>150975165.08461738</v>
      </c>
      <c r="W27" s="2">
        <f t="shared" si="8"/>
        <v>161005415.22258908</v>
      </c>
      <c r="X27" s="2">
        <f t="shared" si="8"/>
        <v>171451712.45485586</v>
      </c>
      <c r="Y27" s="2">
        <f t="shared" si="8"/>
        <v>182330038.26359868</v>
      </c>
      <c r="Z27" s="2">
        <f t="shared" si="8"/>
        <v>193657009.89830846</v>
      </c>
      <c r="AA27" s="2">
        <f t="shared" si="8"/>
        <v>205449907.70618665</v>
      </c>
      <c r="AB27" s="2">
        <f t="shared" si="8"/>
        <v>217726703.73282886</v>
      </c>
      <c r="AC27" s="2">
        <f t="shared" si="8"/>
        <v>230506091.65573138</v>
      </c>
      <c r="AD27" s="2">
        <f t="shared" si="8"/>
        <v>243807518.11635527</v>
      </c>
      <c r="AE27" s="2">
        <f t="shared" si="8"/>
        <v>257651215.51983228</v>
      </c>
      <c r="AF27" s="2">
        <f t="shared" si="8"/>
        <v>272058236.37493092</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3W2DU3RAJ5R2-1900874439-828</_dlc_DocId>
    <_dlc_DocIdUrl xmlns="f54e2983-00ce-40fc-8108-18f351fc47bf">
      <Url>https://dia.cohesion.net.nz/Sites/LGV/TWRP/CAE/_layouts/15/DocIdRedir.aspx?ID=3W2DU3RAJ5R2-1900874439-828</Url>
      <Description>3W2DU3RAJ5R2-1900874439-828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0975548-7BC9-4921-9934-98C219278831}"/>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CBCC2D2A-763C-48F8-A3E5-6B0A81386C39}">
  <ds:schemaRefs>
    <ds:schemaRef ds:uri="http://purl.org/dc/terms/"/>
    <ds:schemaRef ds:uri="http://schemas.microsoft.com/office/2006/documentManagement/types"/>
    <ds:schemaRef ds:uri="http://schemas.microsoft.com/office/infopath/2007/PartnerControls"/>
    <ds:schemaRef ds:uri="http://purl.org/dc/elements/1.1/"/>
    <ds:schemaRef ds:uri="65b6d800-2dda-48d6-88d8-9e2b35e6f7ea"/>
    <ds:schemaRef ds:uri="08a23fc5-e034-477c-ac83-93bc1440f322"/>
    <ds:schemaRef ds:uri="http://schemas.microsoft.com/office/2006/metadata/propertie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681520DA-5C04-4B0B-B390-174F9C1A78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2021-07-05T14:21:41Z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05bdbb73-b4e2-42f2-857c-5e7a6ced0cfc</vt:lpwstr>
  </property>
</Properties>
</file>