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6" documentId="8_{32D92C36-CFCF-4ACC-8401-4617E85E775F}" xr6:coauthVersionLast="45" xr6:coauthVersionMax="47" xr10:uidLastSave="{CFD23B36-6160-474D-BB3E-B3AB09444D36}"/>
  <bookViews>
    <workbookView xWindow="-110" yWindow="-110" windowWidth="22780" windowHeight="146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<sst xmlns="http://schemas.openxmlformats.org/spreadsheetml/2006/main" count="278" uniqueCount="205">
  <si>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</si>
  <si>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</si>
  <si>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</si>
  <si>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</si>
  <si>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</si>
  <si>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</si>
  <si>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</si>
  <si>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</si>
  <si>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</si>
  <si>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</si>
  <si>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</si>
  <si>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</si>
  <si>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</si>
  <si>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</si>
  <si>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</si>
  <si>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</si>
  <si>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</si>
  <si>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</si>
  <si>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</si>
  <si>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</si>
  <si>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</si>
  <si>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</si>
  <si>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</si>
  <si>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</si>
  <si>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</si>
  <si>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</si>
  <si>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</si>
  <si>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</si>
  <si>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</si>
  <si>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</si>
  <si>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</si>
  <si>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</si>
  <si>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</si>
  <si>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</si>
  <si>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</si>
  <si>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</si>
  <si>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</si>
  <si>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</si>
  <si>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</si>
  <si>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</si>
  <si>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</si>
  <si>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</si>
  <si>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</si>
  <si>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</si>
  <si>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</si>
  <si>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</si>
  <si>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</si>
  <si>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</si>
  <si>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</si>
  <si>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</si>
  <si>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</si>
  <si>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</si>
  <si>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</si>
  <si>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</si>
  <si>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</si>
  <si>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</si>
  <si>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</si>
  <si>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</si>
  <si>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</si>
  <si>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</si>
  <si>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</si>
  <si>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</si>
  <si>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</si>
  <si>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</si>
  <si>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</si>
  <si>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</si>
  <si>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</si>
  <si>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</si>
  <si>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</si>
  <si>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</si>
  <si>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</si>
  <si>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</si>
  <si>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</si>
  <si>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</si>
  <si>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</si>
  <si>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</si>
  <si>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</si>
  <si>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</si>
  <si>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</si>
  <si>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</si>
  <si>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</si>
  <si>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</si>
  <si>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</si>
  <si>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</si>
  <si>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</si>
  <si>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</si>
  <si>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</si>
  <si>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</si>
  <si>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</si>
  <si>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</si>
  <si>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</si>
  <si>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</si>
  <si>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</si>
  <si>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</si>
  <si>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</si>
  <si>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</si>
  <si>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</si>
  <si>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</si>
  <si>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</si>
  <si>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</si>
  <si>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</si>
  <si>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</si>
  <si>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</si>
  <si>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</si>
  <si>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</si>
  <si>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</si>
  <si>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</si>
  <si>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</si>
  <si>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</si>
  <si>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</si>
  <si>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</si>
  <si>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</si>
  <si>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</si>
  <si>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</si>
  <si>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</si>
  <si>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</si>
  <si>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</si>
  <si>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</si>
  <si>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</si>
  <si>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</si>
  <si>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</si>
  <si>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</si>
  <si>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</si>
  <si>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</si>
  <si>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</si>
  <si>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</si>
  <si>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</si>
  <si>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</si>
  <si>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</si>
  <si>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</si>
  <si>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</si>
  <si>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</si>
  <si>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</si>
  <si>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</si>
  <si>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F10; Lines F10.62 + F10.70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</si>
  <si>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</si>
  <si>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</si>
  <si>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</si>
  <si>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</si>
  <si>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</si>
  <si>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</si>
  <si>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</si>
  <si>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</si>
  <si>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</si>
  <si>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</si>
  <si>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</si>
  <si>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</si>
  <si>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</si>
  <si>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</si>
  <si>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</si>
  <si>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</si>
  <si>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</si>
  <si>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</si>
  <si>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</si>
  <si>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</si>
  <si>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</si>
  <si>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</si>
  <si>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</si>
  <si>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</si>
  <si>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</si>
  <si>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</si>
  <si>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</si>
  <si>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</si>
  <si>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</si>
  <si>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</si>
  <si>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</si>
  <si>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</si>
  <si>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</si>
  <si>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</si>
  <si>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</si>
  <si>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</si>
  <si>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</si>
  <si>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</si>
  <si>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</si>
  <si>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</si>
  <si>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</si>
  <si>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</si>
  <si>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</si>
  <si>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</si>
  <si>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</si>
  <si>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</si>
  <si>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</si>
  <si>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</si>
  <si>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</si>
  <si>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</si>
  <si>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</si>
  <si>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</si>
  <si>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</si>
  <si>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</si>
  <si>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</si>
  <si>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</si>
  <si>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</si>
  <si>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</si>
  <si>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A1.47</t>
  </si>
  <si>
    <t>Porirua Stand-alone Council</t>
  </si>
  <si>
    <t>Poirua: RFI Table F3; Line F3.20
Greater Wellington allocation: RFI Table F3; Line F3.20 x 15%</t>
  </si>
  <si>
    <t>RFI Table E1, E2 and E2b; Lines E1.12 (Water distribution) + E1.17 + Allocation of Greater Wellington E1.22 (Water Resources and Treatment) + E2.21 - E2.18 + E2b.21
Greater Wellington operating expenditure is allocated based on the each council's share of fees to Greater Wellington</t>
  </si>
  <si>
    <t xml:space="preserve"> </t>
  </si>
  <si>
    <t>Upper Hutt: RFI Table J1; Sum of lines J1.1 to J1.30 (Column I)
Greater Wellington allocation: RFI Table J1; Sum of lines J1.1 to J1.30 (Column I) x 15%</t>
  </si>
  <si>
    <t xml:space="preserve">Upper Hutt: RFI Table J1; Sum of lines J1.1 to J1.30 (Column J)
Greater Wellington allocation: RFI Table J1; Sum of lines J1.1 to J1.30 (Column J) x 15%
</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</si>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</sst>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0" fillId="0" borderId="11" xfId="0" applyBorder="1" applyAlignment="1">
      <alignment vertical="top" wrapText="1"/>
    </xf>
    <xf numFmtId="0" fontId="18" fillId="0" borderId="0" xfId="0" applyFont="1" applyAlignment="1">
      <alignment horizontal="left" vertical="center" wrapText="1"/>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194</v>
      </c>
      <c r="C2" s="171"/>
      <c r="D2" s="60"/>
      <c r="E2" s="14"/>
      <c r="F2" s="60"/>
    </row>
    <row r="3" spans="1:6" x14ac:dyDescent="0.35">
      <c r="C3" s="14"/>
      <c r="D3" s="14"/>
    </row>
    <row r="4" spans="1:6" x14ac:dyDescent="0.35">
      <c r="A4" s="14" t="s">
        <v>155</v>
      </c>
      <c r="B4" s="14"/>
      <c r="D4" s="14"/>
    </row>
    <row r="6" spans="1:6" ht="21" x14ac:dyDescent="0.5">
      <c r="A6" s="15" t="s">
        <v>164</v>
      </c>
    </row>
    <row r="7" spans="1:6" ht="241" customHeight="1" x14ac:dyDescent="0.35">
      <c r="A7" s="107">
        <v>1</v>
      </c>
      <c r="B7" s="104" t="s">
        <v>165</v>
      </c>
    </row>
    <row r="8" spans="1:6" ht="408" customHeight="1" x14ac:dyDescent="0.35">
      <c r="A8" s="107">
        <v>2</v>
      </c>
      <c r="B8" s="104" t="s">
        <v>186</v>
      </c>
    </row>
    <row r="9" spans="1:6" ht="195.5" customHeight="1" x14ac:dyDescent="0.35">
      <c r="A9" s="107">
        <f>A8+1</f>
        <v>3</v>
      </c>
      <c r="B9" s="105" t="s">
        <v>169</v>
      </c>
    </row>
    <row r="10" spans="1:6" ht="236" customHeight="1" x14ac:dyDescent="0.35">
      <c r="A10" s="107">
        <v>4</v>
      </c>
      <c r="B10" s="105" t="s">
        <v>170</v>
      </c>
    </row>
    <row r="11" spans="1:6" ht="21" x14ac:dyDescent="0.35">
      <c r="A11" s="107">
        <f>A10+1</f>
        <v>5</v>
      </c>
      <c r="B11" s="63" t="s">
        <v>184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161</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187</v>
      </c>
      <c r="B6" s="1">
        <f>Assumptions!C17</f>
        <v>1907288133.3594952</v>
      </c>
      <c r="C6" s="12">
        <f ca="1">B6+Depreciation!C18+'Cash Flow'!C13</f>
        <v>1928740770.0457275</v>
      </c>
      <c r="D6" s="1">
        <f ca="1">C6+Depreciation!D18</f>
        <v>1988377596.2229581</v>
      </c>
      <c r="E6" s="1">
        <f ca="1">D6+Depreciation!E18</f>
        <v>2050542598.4398913</v>
      </c>
      <c r="F6" s="1">
        <f ca="1">E6+Depreciation!F18</f>
        <v>2115336511.8530624</v>
      </c>
      <c r="G6" s="1">
        <f ca="1">F6+Depreciation!G18</f>
        <v>2182863929.8167605</v>
      </c>
      <c r="H6" s="1">
        <f ca="1">G6+Depreciation!H18</f>
        <v>2253233447.6548843</v>
      </c>
      <c r="I6" s="1">
        <f ca="1">H6+Depreciation!I18</f>
        <v>2326557811.6834021</v>
      </c>
      <c r="J6" s="1">
        <f ca="1">I6+Depreciation!J18</f>
        <v>2402954073.6722331</v>
      </c>
      <c r="K6" s="1">
        <f ca="1">J6+Depreciation!K18</f>
        <v>2482543750.9420719</v>
      </c>
      <c r="L6" s="1">
        <f ca="1">K6+Depreciation!L18</f>
        <v>2565452992.2986264</v>
      </c>
      <c r="M6" s="1">
        <f ca="1">L6+Depreciation!M18</f>
        <v>2651812750.0139222</v>
      </c>
      <c r="N6" s="1">
        <f ca="1">M6+Depreciation!N18</f>
        <v>2741758958.0717697</v>
      </c>
      <c r="O6" s="1">
        <f ca="1">N6+Depreciation!O18</f>
        <v>2835432716.9021916</v>
      </c>
      <c r="P6" s="1">
        <f ca="1">O6+Depreciation!P18</f>
        <v>2932980484.8375816</v>
      </c>
      <c r="Q6" s="1">
        <f ca="1">P6+Depreciation!Q18</f>
        <v>3034554276.5316153</v>
      </c>
      <c r="R6" s="1">
        <f ca="1">Q6+Depreciation!R18</f>
        <v>3140311868.5904799</v>
      </c>
      <c r="S6" s="1">
        <f ca="1">R6+Depreciation!S18</f>
        <v>3250417012.67483</v>
      </c>
      <c r="T6" s="1">
        <f ca="1">S6+Depreciation!T18</f>
        <v>3365039656.3400283</v>
      </c>
      <c r="U6" s="1">
        <f ca="1">T6+Depreciation!U18</f>
        <v>3484356171.8917069</v>
      </c>
      <c r="V6" s="1">
        <f ca="1">U6+Depreciation!V18</f>
        <v>3608549593.5434871</v>
      </c>
      <c r="W6" s="1">
        <f ca="1">V6+Depreciation!W18</f>
        <v>3737809863.1738505</v>
      </c>
      <c r="X6" s="1">
        <f ca="1">W6+Depreciation!X18</f>
        <v>3872334084.9896555</v>
      </c>
      <c r="Y6" s="1">
        <f ca="1">X6+Depreciation!Y18</f>
        <v>4012326789.4146686</v>
      </c>
      <c r="Z6" s="1">
        <f ca="1">Y6+Depreciation!Z18</f>
        <v>4158000206.5327396</v>
      </c>
      <c r="AA6" s="1">
        <f ca="1">Z6+Depreciation!AA18</f>
        <v>4309574549.4268932</v>
      </c>
      <c r="AB6" s="1">
        <f ca="1">AA6+Depreciation!AB18</f>
        <v>4467278307.7676697</v>
      </c>
      <c r="AC6" s="1">
        <f ca="1">AB6+Depreciation!AC18</f>
        <v>4631348552.0165291</v>
      </c>
      <c r="AD6" s="1">
        <f ca="1">AC6+Depreciation!AD18</f>
        <v>4802031248.6230478</v>
      </c>
      <c r="AE6" s="1">
        <f ca="1">AD6+Depreciation!AE18</f>
        <v>4979581586.6080055</v>
      </c>
      <c r="AF6" s="1"/>
      <c r="AG6" s="1"/>
      <c r="AH6" s="1"/>
      <c r="AI6" s="1"/>
      <c r="AJ6" s="1"/>
      <c r="AK6" s="1"/>
      <c r="AL6" s="1"/>
      <c r="AM6" s="1"/>
      <c r="AN6" s="1"/>
      <c r="AO6" s="1"/>
      <c r="AP6" s="1"/>
    </row>
    <row r="7" spans="1:42" x14ac:dyDescent="0.35">
      <c r="A7" t="s">
        <v>12</v>
      </c>
      <c r="B7" s="1">
        <f>Depreciation!C12</f>
        <v>986601546.44381225</v>
      </c>
      <c r="C7" s="1">
        <f>Depreciation!D12</f>
        <v>1021214244.6320624</v>
      </c>
      <c r="D7" s="1">
        <f>Depreciation!E12</f>
        <v>1057554346.7643678</v>
      </c>
      <c r="E7" s="1">
        <f>Depreciation!F12</f>
        <v>1095696963.2902029</v>
      </c>
      <c r="F7" s="1">
        <f>Depreciation!G12</f>
        <v>1135720242.8661702</v>
      </c>
      <c r="G7" s="1">
        <f>Depreciation!H12</f>
        <v>1177705489.8881557</v>
      </c>
      <c r="H7" s="1">
        <f>Depreciation!I12</f>
        <v>1221737286.4344189</v>
      </c>
      <c r="I7" s="1">
        <f>Depreciation!J12</f>
        <v>1267903618.781563</v>
      </c>
      <c r="J7" s="1">
        <f>Depreciation!K12</f>
        <v>1316296008.6611814</v>
      </c>
      <c r="K7" s="1">
        <f>Depreciation!L12</f>
        <v>1367009649.4310284</v>
      </c>
      <c r="L7" s="1">
        <f>Depreciation!M12</f>
        <v>1420143547.3408418</v>
      </c>
      <c r="M7" s="1">
        <f>Depreciation!N12</f>
        <v>1475800668.0794315</v>
      </c>
      <c r="N7" s="1">
        <f>Depreciation!O12</f>
        <v>1534088088.7963796</v>
      </c>
      <c r="O7" s="1">
        <f>Depreciation!P12</f>
        <v>1595117155.7986646</v>
      </c>
      <c r="P7" s="1">
        <f>Depreciation!Q12</f>
        <v>1659003648.1297338</v>
      </c>
      <c r="Q7" s="1">
        <f>Depreciation!R12</f>
        <v>1725867947.2460191</v>
      </c>
      <c r="R7" s="1">
        <f>Depreciation!S12</f>
        <v>1795835213.0136275</v>
      </c>
      <c r="S7" s="1">
        <f>Depreciation!T12</f>
        <v>1869035566.2559483</v>
      </c>
      <c r="T7" s="1">
        <f>Depreciation!U12</f>
        <v>1945604278.091217</v>
      </c>
      <c r="U7" s="1">
        <f>Depreciation!V12</f>
        <v>2025681966.3076625</v>
      </c>
      <c r="V7" s="1">
        <f>Depreciation!W12</f>
        <v>2109414799.0327606</v>
      </c>
      <c r="W7" s="1">
        <f>Depreciation!X12</f>
        <v>2196954705.9623318</v>
      </c>
      <c r="X7" s="1">
        <f>Depreciation!Y12</f>
        <v>2288459597.4247513</v>
      </c>
      <c r="Y7" s="1">
        <f>Depreciation!Z12</f>
        <v>2384093591.5654254</v>
      </c>
      <c r="Z7" s="1">
        <f>Depreciation!AA12</f>
        <v>2484027249.9469056</v>
      </c>
      <c r="AA7" s="1">
        <f>Depreciation!AB12</f>
        <v>2588437821.8706026</v>
      </c>
      <c r="AB7" s="1">
        <f>Depreciation!AC12</f>
        <v>2697509497.7370362</v>
      </c>
      <c r="AC7" s="1">
        <f>Depreciation!AD12</f>
        <v>2811433671.7728915</v>
      </c>
      <c r="AD7" s="1">
        <f>Depreciation!AE12</f>
        <v>2930409214.4649248</v>
      </c>
      <c r="AE7" s="1">
        <f>Depreciation!AF12</f>
        <v>3054642755.0529184</v>
      </c>
      <c r="AF7" s="1"/>
      <c r="AG7" s="1"/>
      <c r="AH7" s="1"/>
      <c r="AI7" s="1"/>
      <c r="AJ7" s="1"/>
      <c r="AK7" s="1"/>
      <c r="AL7" s="1"/>
      <c r="AM7" s="1"/>
      <c r="AN7" s="1"/>
      <c r="AO7" s="1"/>
      <c r="AP7" s="1"/>
    </row>
    <row r="8" spans="1:42" x14ac:dyDescent="0.35">
      <c r="A8" t="s">
        <v>188</v>
      </c>
      <c r="B8" s="1">
        <f t="shared" ref="B8:AE8" si="1">B6-B7</f>
        <v>920686586.91568291</v>
      </c>
      <c r="C8" s="1">
        <f t="shared" ca="1" si="1"/>
        <v>907526525.41366506</v>
      </c>
      <c r="D8" s="1">
        <f ca="1">D6-D7</f>
        <v>930823249.45859027</v>
      </c>
      <c r="E8" s="1">
        <f t="shared" ca="1" si="1"/>
        <v>954845635.14968848</v>
      </c>
      <c r="F8" s="1">
        <f t="shared" ca="1" si="1"/>
        <v>979616268.98689222</v>
      </c>
      <c r="G8" s="1">
        <f t="shared" ca="1" si="1"/>
        <v>1005158439.9286048</v>
      </c>
      <c r="H8" s="1">
        <f t="shared" ca="1" si="1"/>
        <v>1031496161.2204654</v>
      </c>
      <c r="I8" s="1">
        <f t="shared" ca="1" si="1"/>
        <v>1058654192.901839</v>
      </c>
      <c r="J8" s="1">
        <f t="shared" ca="1" si="1"/>
        <v>1086658065.0110517</v>
      </c>
      <c r="K8" s="1">
        <f t="shared" ca="1" si="1"/>
        <v>1115534101.5110435</v>
      </c>
      <c r="L8" s="1">
        <f t="shared" ca="1" si="1"/>
        <v>1145309444.9577847</v>
      </c>
      <c r="M8" s="1">
        <f t="shared" ca="1" si="1"/>
        <v>1176012081.9344907</v>
      </c>
      <c r="N8" s="1">
        <f t="shared" ca="1" si="1"/>
        <v>1207670869.2753901</v>
      </c>
      <c r="O8" s="1">
        <f t="shared" ca="1" si="1"/>
        <v>1240315561.1035271</v>
      </c>
      <c r="P8" s="1">
        <f t="shared" ca="1" si="1"/>
        <v>1273976836.7078478</v>
      </c>
      <c r="Q8" s="1">
        <f t="shared" ca="1" si="1"/>
        <v>1308686329.2855961</v>
      </c>
      <c r="R8" s="1">
        <f t="shared" ca="1" si="1"/>
        <v>1344476655.5768523</v>
      </c>
      <c r="S8" s="1">
        <f t="shared" ca="1" si="1"/>
        <v>1381381446.4188817</v>
      </c>
      <c r="T8" s="1">
        <f t="shared" ca="1" si="1"/>
        <v>1419435378.2488112</v>
      </c>
      <c r="U8" s="1">
        <f t="shared" ca="1" si="1"/>
        <v>1458674205.5840445</v>
      </c>
      <c r="V8" s="1">
        <f t="shared" ca="1" si="1"/>
        <v>1499134794.5107265</v>
      </c>
      <c r="W8" s="1">
        <f t="shared" ca="1" si="1"/>
        <v>1540855157.2115188</v>
      </c>
      <c r="X8" s="1">
        <f t="shared" ca="1" si="1"/>
        <v>1583874487.5649042</v>
      </c>
      <c r="Y8" s="1">
        <f t="shared" ca="1" si="1"/>
        <v>1628233197.8492432</v>
      </c>
      <c r="Z8" s="1">
        <f t="shared" ca="1" si="1"/>
        <v>1673972956.585834</v>
      </c>
      <c r="AA8" s="1">
        <f t="shared" ca="1" si="1"/>
        <v>1721136727.5562906</v>
      </c>
      <c r="AB8" s="1">
        <f t="shared" ca="1" si="1"/>
        <v>1769768810.0306334</v>
      </c>
      <c r="AC8" s="1">
        <f t="shared" ca="1" si="1"/>
        <v>1819914880.2436376</v>
      </c>
      <c r="AD8" s="1">
        <f t="shared" ca="1" si="1"/>
        <v>1871622034.158123</v>
      </c>
      <c r="AE8" s="1">
        <f t="shared" ca="1" si="1"/>
        <v>1924938831.5550871</v>
      </c>
      <c r="AF8" s="1"/>
      <c r="AG8" s="1"/>
      <c r="AH8" s="1"/>
      <c r="AI8" s="1"/>
      <c r="AJ8" s="1"/>
      <c r="AK8" s="1"/>
      <c r="AL8" s="1"/>
      <c r="AM8" s="1"/>
      <c r="AN8" s="1"/>
      <c r="AO8" s="1"/>
      <c r="AP8" s="1"/>
    </row>
    <row r="10" spans="1:42" x14ac:dyDescent="0.35">
      <c r="A10" t="s">
        <v>17</v>
      </c>
      <c r="B10" s="1">
        <f>B8-B11</f>
        <v>862160527.69568288</v>
      </c>
      <c r="C10" s="1">
        <f ca="1">C8-C11</f>
        <v>813247437.07999909</v>
      </c>
      <c r="D10" s="1">
        <f ca="1">D8-D11</f>
        <v>804126511.08317399</v>
      </c>
      <c r="E10" s="1">
        <f t="shared" ref="E10:AE10" ca="1" si="2">E8-E11</f>
        <v>799251139.07222581</v>
      </c>
      <c r="F10" s="1">
        <f t="shared" ca="1" si="2"/>
        <v>800151516.48538756</v>
      </c>
      <c r="G10" s="1">
        <f ca="1">G8-G11</f>
        <v>805117060.28276122</v>
      </c>
      <c r="H10" s="1">
        <f t="shared" ca="1" si="2"/>
        <v>812779974.89419258</v>
      </c>
      <c r="I10" s="1">
        <f t="shared" ca="1" si="2"/>
        <v>823728490.8094523</v>
      </c>
      <c r="J10" s="1">
        <f t="shared" ca="1" si="2"/>
        <v>835755681.73690462</v>
      </c>
      <c r="K10" s="1">
        <f t="shared" ca="1" si="2"/>
        <v>849060616.62676489</v>
      </c>
      <c r="L10" s="1">
        <f t="shared" ca="1" si="2"/>
        <v>863864907.46093535</v>
      </c>
      <c r="M10" s="1">
        <f t="shared" ca="1" si="2"/>
        <v>879264506.00172222</v>
      </c>
      <c r="N10" s="1">
        <f t="shared" ca="1" si="2"/>
        <v>895357499.67835438</v>
      </c>
      <c r="O10" s="1">
        <f t="shared" ca="1" si="2"/>
        <v>912253049.55320406</v>
      </c>
      <c r="P10" s="1">
        <f t="shared" ca="1" si="2"/>
        <v>930072326.10980844</v>
      </c>
      <c r="Q10" s="1">
        <f t="shared" ca="1" si="2"/>
        <v>948949512.27631319</v>
      </c>
      <c r="R10" s="1">
        <f t="shared" ca="1" si="2"/>
        <v>969032878.06552875</v>
      </c>
      <c r="S10" s="1">
        <f t="shared" ca="1" si="2"/>
        <v>989233615.31863797</v>
      </c>
      <c r="T10" s="1">
        <f t="shared" ca="1" si="2"/>
        <v>1009564499.9919124</v>
      </c>
      <c r="U10" s="1">
        <f t="shared" ca="1" si="2"/>
        <v>1030041129.4578063</v>
      </c>
      <c r="V10" s="1">
        <f t="shared" ca="1" si="2"/>
        <v>1050682210.2872883</v>
      </c>
      <c r="W10" s="1">
        <f t="shared" ca="1" si="2"/>
        <v>1071509867.6917317</v>
      </c>
      <c r="X10" s="1">
        <f t="shared" ca="1" si="2"/>
        <v>1092549978.0146148</v>
      </c>
      <c r="Y10" s="1">
        <f t="shared" ca="1" si="2"/>
        <v>1113832525.7442894</v>
      </c>
      <c r="Z10" s="1">
        <f t="shared" ca="1" si="2"/>
        <v>1135391986.6045108</v>
      </c>
      <c r="AA10" s="1">
        <f t="shared" ca="1" si="2"/>
        <v>1157267738.3695185</v>
      </c>
      <c r="AB10" s="1">
        <f t="shared" ca="1" si="2"/>
        <v>1179504501.1454282</v>
      </c>
      <c r="AC10" s="1">
        <f t="shared" ca="1" si="2"/>
        <v>1202152808.9598746</v>
      </c>
      <c r="AD10" s="1">
        <f t="shared" ca="1" si="2"/>
        <v>1225269514.6073823</v>
      </c>
      <c r="AE10" s="1">
        <f t="shared" ca="1" si="2"/>
        <v>1248918329.8092465</v>
      </c>
      <c r="AF10" s="1"/>
      <c r="AG10" s="1"/>
      <c r="AH10" s="1"/>
      <c r="AI10" s="1"/>
      <c r="AJ10" s="1"/>
      <c r="AK10" s="1"/>
      <c r="AL10" s="1"/>
      <c r="AM10" s="1"/>
      <c r="AN10" s="1"/>
      <c r="AO10" s="1"/>
    </row>
    <row r="11" spans="1:42" x14ac:dyDescent="0.35">
      <c r="A11" t="s">
        <v>9</v>
      </c>
      <c r="B11" s="1">
        <f>Assumptions!$C$20</f>
        <v>58526059.219999999</v>
      </c>
      <c r="C11" s="1">
        <f ca="1">'Debt worksheet'!D5</f>
        <v>94279088.333666012</v>
      </c>
      <c r="D11" s="1">
        <f ca="1">'Debt worksheet'!E5</f>
        <v>126696738.37541629</v>
      </c>
      <c r="E11" s="1">
        <f ca="1">'Debt worksheet'!F5</f>
        <v>155594496.07746267</v>
      </c>
      <c r="F11" s="1">
        <f ca="1">'Debt worksheet'!G5</f>
        <v>179464752.50150466</v>
      </c>
      <c r="G11" s="1">
        <f ca="1">'Debt worksheet'!H5</f>
        <v>200041379.6458436</v>
      </c>
      <c r="H11" s="1">
        <f ca="1">'Debt worksheet'!I5</f>
        <v>218716186.32627282</v>
      </c>
      <c r="I11" s="1">
        <f ca="1">'Debt worksheet'!J5</f>
        <v>234925702.09238672</v>
      </c>
      <c r="J11" s="1">
        <f ca="1">'Debt worksheet'!K5</f>
        <v>250902383.27414703</v>
      </c>
      <c r="K11" s="1">
        <f ca="1">'Debt worksheet'!L5</f>
        <v>266473484.88427868</v>
      </c>
      <c r="L11" s="1">
        <f ca="1">'Debt worksheet'!M5</f>
        <v>281444537.4968493</v>
      </c>
      <c r="M11" s="1">
        <f ca="1">'Debt worksheet'!N5</f>
        <v>296747575.93276846</v>
      </c>
      <c r="N11" s="1">
        <f ca="1">'Debt worksheet'!O5</f>
        <v>312313369.59703577</v>
      </c>
      <c r="O11" s="1">
        <f ca="1">'Debt worksheet'!P5</f>
        <v>328062511.55032295</v>
      </c>
      <c r="P11" s="1">
        <f ca="1">'Debt worksheet'!Q5</f>
        <v>343904510.59803939</v>
      </c>
      <c r="Q11" s="1">
        <f ca="1">'Debt worksheet'!R5</f>
        <v>359736817.00928295</v>
      </c>
      <c r="R11" s="1">
        <f ca="1">'Debt worksheet'!S5</f>
        <v>375443777.51132357</v>
      </c>
      <c r="S11" s="1">
        <f ca="1">'Debt worksheet'!T5</f>
        <v>392147831.10024369</v>
      </c>
      <c r="T11" s="1">
        <f ca="1">'Debt worksheet'!U5</f>
        <v>409870878.25689882</v>
      </c>
      <c r="U11" s="1">
        <f ca="1">'Debt worksheet'!V5</f>
        <v>428633076.12623811</v>
      </c>
      <c r="V11" s="1">
        <f ca="1">'Debt worksheet'!W5</f>
        <v>448452584.22343814</v>
      </c>
      <c r="W11" s="1">
        <f ca="1">'Debt worksheet'!X5</f>
        <v>469345289.51978707</v>
      </c>
      <c r="X11" s="1">
        <f ca="1">'Debt worksheet'!Y5</f>
        <v>491324509.55028933</v>
      </c>
      <c r="Y11" s="1">
        <f ca="1">'Debt worksheet'!Z5</f>
        <v>514400672.10495377</v>
      </c>
      <c r="Z11" s="1">
        <f ca="1">'Debt worksheet'!AA5</f>
        <v>538580969.98132312</v>
      </c>
      <c r="AA11" s="1">
        <f ca="1">'Debt worksheet'!AB5</f>
        <v>563868989.18677211</v>
      </c>
      <c r="AB11" s="1">
        <f ca="1">'Debt worksheet'!AC5</f>
        <v>590264308.88520515</v>
      </c>
      <c r="AC11" s="1">
        <f ca="1">'Debt worksheet'!AD5</f>
        <v>617762071.28376293</v>
      </c>
      <c r="AD11" s="1">
        <f ca="1">'Debt worksheet'!AE5</f>
        <v>646352519.5507406</v>
      </c>
      <c r="AE11" s="1">
        <f ca="1">'Debt worksheet'!AF5</f>
        <v>676020501.74584055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162</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-11504843.077832267</v>
      </c>
      <c r="D5" s="4">
        <f ca="1">'Profit and Loss'!D9</f>
        <v>-7393522.0527698593</v>
      </c>
      <c r="E5" s="4">
        <f ca="1">'Profit and Loss'!E9</f>
        <v>-3072857.6174185751</v>
      </c>
      <c r="F5" s="4">
        <f ca="1">'Profit and Loss'!F9</f>
        <v>2781040.4632939203</v>
      </c>
      <c r="G5" s="4">
        <f ca="1">'Profit and Loss'!G9</f>
        <v>6927511.2433917141</v>
      </c>
      <c r="H5" s="4">
        <f ca="1">'Profit and Loss'!H9</f>
        <v>9709464.1357087996</v>
      </c>
      <c r="I5" s="4">
        <f ca="1">'Profit and Loss'!I9</f>
        <v>13083051.716140546</v>
      </c>
      <c r="J5" s="4">
        <f ca="1">'Profit and Loss'!J9</f>
        <v>14253248.459926272</v>
      </c>
      <c r="K5" s="4">
        <f ca="1">'Profit and Loss'!K9</f>
        <v>15626185.780088902</v>
      </c>
      <c r="L5" s="4">
        <f ca="1">'Profit and Loss'!L9</f>
        <v>17224547.974136963</v>
      </c>
      <c r="M5" s="4">
        <f ca="1">'Profit and Loss'!M9</f>
        <v>17922821.369563051</v>
      </c>
      <c r="N5" s="4">
        <f ca="1">'Profit and Loss'!N9</f>
        <v>18723293.654990382</v>
      </c>
      <c r="O5" s="4">
        <f ca="1">'Profit and Loss'!O9</f>
        <v>19637196.160186753</v>
      </c>
      <c r="P5" s="4">
        <f ca="1">'Profit and Loss'!P9</f>
        <v>20676701.885388672</v>
      </c>
      <c r="Q5" s="4">
        <f ca="1">'Profit and Loss'!Q9</f>
        <v>21854992.951720901</v>
      </c>
      <c r="R5" s="4">
        <f ca="1">'Profit and Loss'!R9</f>
        <v>23186332.440538727</v>
      </c>
      <c r="S5" s="4">
        <f ca="1">'Profit and Loss'!S9</f>
        <v>23433824.727821723</v>
      </c>
      <c r="T5" s="4">
        <f ca="1">'Profit and Loss'!T9</f>
        <v>23699243.266222455</v>
      </c>
      <c r="U5" s="4">
        <f ca="1">'Profit and Loss'!U9</f>
        <v>23985605.847070415</v>
      </c>
      <c r="V5" s="4">
        <f ca="1">'Profit and Loss'!V9</f>
        <v>24296225.338134736</v>
      </c>
      <c r="W5" s="4">
        <f ca="1">'Profit and Loss'!W9</f>
        <v>24634731.608916573</v>
      </c>
      <c r="X5" s="4">
        <f ca="1">'Profit and Loss'!X9</f>
        <v>25005094.855731763</v>
      </c>
      <c r="Y5" s="4">
        <f ca="1">'Profit and Loss'!Y9</f>
        <v>25411650.407929048</v>
      </c>
      <c r="Z5" s="4">
        <f ca="1">'Profit and Loss'!Z9</f>
        <v>25859125.101027153</v>
      </c>
      <c r="AA5" s="4">
        <f ca="1">'Profit and Loss'!AA9</f>
        <v>26352665.307224188</v>
      </c>
      <c r="AB5" s="4">
        <f ca="1">'Profit and Loss'!AB9</f>
        <v>26897866.718645692</v>
      </c>
      <c r="AC5" s="4">
        <f ca="1">'Profit and Loss'!AC9</f>
        <v>27500805.983867459</v>
      </c>
      <c r="AD5" s="4">
        <f ca="1">'Profit and Loss'!AD9</f>
        <v>28168074.303685192</v>
      </c>
      <c r="AE5" s="4">
        <f ca="1">'Profit and Loss'!AE9</f>
        <v>28906813.097824093</v>
      </c>
      <c r="AF5" s="4">
        <f ca="1">'Profit and Loss'!AF9</f>
        <v>29724751.860294696</v>
      </c>
      <c r="AG5" s="4"/>
      <c r="AH5" s="4"/>
      <c r="AI5" s="4"/>
      <c r="AJ5" s="4"/>
      <c r="AK5" s="4"/>
      <c r="AL5" s="4"/>
      <c r="AM5" s="4"/>
      <c r="AN5" s="4"/>
      <c r="AO5" s="4"/>
      <c r="AP5" s="4"/>
    </row>
    <row r="6" spans="1:42" x14ac:dyDescent="0.35">
      <c r="A6" t="s">
        <v>21</v>
      </c>
      <c r="C6" s="4">
        <f>Depreciation!C8+Depreciation!C9</f>
        <v>32957479.764064673</v>
      </c>
      <c r="D6" s="4">
        <f>Depreciation!D8+Depreciation!D9</f>
        <v>34612698.188250273</v>
      </c>
      <c r="E6" s="4">
        <f>Depreciation!E8+Depreciation!E9</f>
        <v>36340102.132305346</v>
      </c>
      <c r="F6" s="4">
        <f>Depreciation!F8+Depreciation!F9</f>
        <v>38142616.525835179</v>
      </c>
      <c r="G6" s="4">
        <f>Depreciation!G8+Depreciation!G9</f>
        <v>40023279.575967446</v>
      </c>
      <c r="H6" s="4">
        <f>Depreciation!H8+Depreciation!H9</f>
        <v>41985247.02198571</v>
      </c>
      <c r="I6" s="4">
        <f>Depreciation!I8+Depreciation!I9</f>
        <v>44031796.546263352</v>
      </c>
      <c r="J6" s="4">
        <f>Depreciation!J8+Depreciation!J9</f>
        <v>46166332.347144261</v>
      </c>
      <c r="K6" s="4">
        <f>Depreciation!K8+Depreciation!K9</f>
        <v>48392389.879618183</v>
      </c>
      <c r="L6" s="4">
        <f>Depreciation!L8+Depreciation!L9</f>
        <v>50713640.769846939</v>
      </c>
      <c r="M6" s="4">
        <f>Depreciation!M8+Depreciation!M9</f>
        <v>53133897.909813605</v>
      </c>
      <c r="N6" s="4">
        <f>Depreciation!N8+Depreciation!N9</f>
        <v>55657120.738589838</v>
      </c>
      <c r="O6" s="4">
        <f>Depreciation!O8+Depreciation!O9</f>
        <v>58287420.716948092</v>
      </c>
      <c r="P6" s="4">
        <f>Depreciation!P8+Depreciation!P9</f>
        <v>61029067.002284937</v>
      </c>
      <c r="Q6" s="4">
        <f>Depreciation!Q8+Depreciation!Q9</f>
        <v>63886492.331069194</v>
      </c>
      <c r="R6" s="4">
        <f>Depreciation!R8+Depreciation!R9</f>
        <v>66864299.116285324</v>
      </c>
      <c r="S6" s="4">
        <f>Depreciation!S8+Depreciation!S9</f>
        <v>69967265.76760827</v>
      </c>
      <c r="T6" s="4">
        <f>Depreciation!T8+Depreciation!T9</f>
        <v>73200353.242320791</v>
      </c>
      <c r="U6" s="4">
        <f>Depreciation!U8+Depreciation!U9</f>
        <v>76568711.83526887</v>
      </c>
      <c r="V6" s="4">
        <f>Depreciation!V8+Depreciation!V9</f>
        <v>80077688.216445521</v>
      </c>
      <c r="W6" s="4">
        <f>Depreciation!W8+Depreciation!W9</f>
        <v>83732832.725098163</v>
      </c>
      <c r="X6" s="4">
        <f>Depreciation!X8+Depreciation!X9</f>
        <v>87539906.929570913</v>
      </c>
      <c r="Y6" s="4">
        <f>Depreciation!Y8+Depreciation!Y9</f>
        <v>91504891.462419406</v>
      </c>
      <c r="Z6" s="4">
        <f>Depreciation!Z8+Depreciation!Z9</f>
        <v>95633994.140674353</v>
      </c>
      <c r="AA6" s="4">
        <f>Depreciation!AA8+Depreciation!AA9</f>
        <v>99933658.381480098</v>
      </c>
      <c r="AB6" s="4">
        <f>Depreciation!AB8+Depreciation!AB9</f>
        <v>104410571.92369734</v>
      </c>
      <c r="AC6" s="4">
        <f>Depreciation!AC8+Depreciation!AC9</f>
        <v>109071675.86643383</v>
      </c>
      <c r="AD6" s="4">
        <f>Depreciation!AD8+Depreciation!AD9</f>
        <v>113924174.03585565</v>
      </c>
      <c r="AE6" s="4">
        <f>Depreciation!AE8+Depreciation!AE9</f>
        <v>118975542.6920332</v>
      </c>
      <c r="AF6" s="4">
        <f>Depreciation!AF8+Depreciation!AF9</f>
        <v>124233540.58799338</v>
      </c>
      <c r="AG6" s="4"/>
      <c r="AH6" s="4"/>
      <c r="AI6" s="4"/>
      <c r="AJ6" s="4"/>
      <c r="AK6" s="4"/>
      <c r="AL6" s="4"/>
      <c r="AM6" s="4"/>
      <c r="AN6" s="4"/>
      <c r="AO6" s="4"/>
      <c r="AP6" s="4"/>
    </row>
    <row r="7" spans="1:42" x14ac:dyDescent="0.35">
      <c r="A7" t="s">
        <v>23</v>
      </c>
      <c r="C7" s="4">
        <f ca="1">C6+C5</f>
        <v>21452636.686232407</v>
      </c>
      <c r="D7" s="4">
        <f ca="1">D6+D5</f>
        <v>27219176.135480415</v>
      </c>
      <c r="E7" s="4">
        <f t="shared" ref="E7:AF7" ca="1" si="1">E6+E5</f>
        <v>33267244.51488677</v>
      </c>
      <c r="F7" s="4">
        <f t="shared" ca="1" si="1"/>
        <v>40923656.989129096</v>
      </c>
      <c r="G7" s="4">
        <f ca="1">G6+G5</f>
        <v>46950790.819359161</v>
      </c>
      <c r="H7" s="4">
        <f t="shared" ca="1" si="1"/>
        <v>51694711.157694511</v>
      </c>
      <c r="I7" s="4">
        <f t="shared" ca="1" si="1"/>
        <v>57114848.262403898</v>
      </c>
      <c r="J7" s="4">
        <f t="shared" ca="1" si="1"/>
        <v>60419580.807070531</v>
      </c>
      <c r="K7" s="4">
        <f t="shared" ca="1" si="1"/>
        <v>64018575.659707084</v>
      </c>
      <c r="L7" s="4">
        <f t="shared" ca="1" si="1"/>
        <v>67938188.743983895</v>
      </c>
      <c r="M7" s="4">
        <f t="shared" ca="1" si="1"/>
        <v>71056719.279376656</v>
      </c>
      <c r="N7" s="4">
        <f t="shared" ca="1" si="1"/>
        <v>74380414.393580228</v>
      </c>
      <c r="O7" s="4">
        <f t="shared" ca="1" si="1"/>
        <v>77924616.877134845</v>
      </c>
      <c r="P7" s="4">
        <f t="shared" ca="1" si="1"/>
        <v>81705768.887673616</v>
      </c>
      <c r="Q7" s="4">
        <f t="shared" ca="1" si="1"/>
        <v>85741485.282790095</v>
      </c>
      <c r="R7" s="4">
        <f t="shared" ca="1" si="1"/>
        <v>90050631.556824058</v>
      </c>
      <c r="S7" s="4">
        <f t="shared" ca="1" si="1"/>
        <v>93401090.495429993</v>
      </c>
      <c r="T7" s="4">
        <f t="shared" ca="1" si="1"/>
        <v>96899596.508543253</v>
      </c>
      <c r="U7" s="4">
        <f t="shared" ca="1" si="1"/>
        <v>100554317.68233928</v>
      </c>
      <c r="V7" s="4">
        <f t="shared" ca="1" si="1"/>
        <v>104373913.55458026</v>
      </c>
      <c r="W7" s="4">
        <f t="shared" ca="1" si="1"/>
        <v>108367564.33401474</v>
      </c>
      <c r="X7" s="4">
        <f t="shared" ca="1" si="1"/>
        <v>112545001.78530267</v>
      </c>
      <c r="Y7" s="4">
        <f t="shared" ca="1" si="1"/>
        <v>116916541.87034845</v>
      </c>
      <c r="Z7" s="4">
        <f t="shared" ca="1" si="1"/>
        <v>121493119.24170151</v>
      </c>
      <c r="AA7" s="4">
        <f t="shared" ca="1" si="1"/>
        <v>126286323.68870428</v>
      </c>
      <c r="AB7" s="4">
        <f t="shared" ca="1" si="1"/>
        <v>131308438.64234303</v>
      </c>
      <c r="AC7" s="4">
        <f t="shared" ca="1" si="1"/>
        <v>136572481.8503013</v>
      </c>
      <c r="AD7" s="4">
        <f t="shared" ca="1" si="1"/>
        <v>142092248.33954084</v>
      </c>
      <c r="AE7" s="4">
        <f t="shared" ca="1" si="1"/>
        <v>147882355.7898573</v>
      </c>
      <c r="AF7" s="4">
        <f t="shared" ca="1" si="1"/>
        <v>153958292.44828808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57205665.799898423</v>
      </c>
      <c r="D10" s="9">
        <f>Investment!D25</f>
        <v>59636826.177230701</v>
      </c>
      <c r="E10" s="9">
        <f>Investment!E25</f>
        <v>62165002.216933146</v>
      </c>
      <c r="F10" s="9">
        <f>Investment!F25</f>
        <v>64793913.413171075</v>
      </c>
      <c r="G10" s="9">
        <f>Investment!G25</f>
        <v>67527417.963698089</v>
      </c>
      <c r="H10" s="9">
        <f>Investment!H25</f>
        <v>70369517.838123739</v>
      </c>
      <c r="I10" s="9">
        <f>Investment!I25</f>
        <v>73324364.028517798</v>
      </c>
      <c r="J10" s="9">
        <f>Investment!J25</f>
        <v>76396261.98883085</v>
      </c>
      <c r="K10" s="9">
        <f>Investment!K25</f>
        <v>79589677.269838735</v>
      </c>
      <c r="L10" s="9">
        <f>Investment!L25</f>
        <v>82909241.356554538</v>
      </c>
      <c r="M10" s="9">
        <f>Investment!M25</f>
        <v>86359757.715295851</v>
      </c>
      <c r="N10" s="9">
        <f>Investment!N25</f>
        <v>89946208.057847515</v>
      </c>
      <c r="O10" s="9">
        <f>Investment!O25</f>
        <v>93673758.830422029</v>
      </c>
      <c r="P10" s="9">
        <f>Investment!P25</f>
        <v>97547767.935390025</v>
      </c>
      <c r="Q10" s="9">
        <f>Investment!Q25</f>
        <v>101573791.69403365</v>
      </c>
      <c r="R10" s="9">
        <f>Investment!R25</f>
        <v>105757592.05886465</v>
      </c>
      <c r="S10" s="9">
        <f>Investment!S25</f>
        <v>110105144.08435014</v>
      </c>
      <c r="T10" s="9">
        <f>Investment!T25</f>
        <v>114622643.66519839</v>
      </c>
      <c r="U10" s="9">
        <f>Investment!U25</f>
        <v>119316515.55167854</v>
      </c>
      <c r="V10" s="9">
        <f>Investment!V25</f>
        <v>124193421.65178032</v>
      </c>
      <c r="W10" s="9">
        <f>Investment!W25</f>
        <v>129260269.63036367</v>
      </c>
      <c r="X10" s="9">
        <f>Investment!X25</f>
        <v>134524221.81580493</v>
      </c>
      <c r="Y10" s="9">
        <f>Investment!Y25</f>
        <v>139992704.42501289</v>
      </c>
      <c r="Z10" s="9">
        <f>Investment!Z25</f>
        <v>145673417.11807084</v>
      </c>
      <c r="AA10" s="9">
        <f>Investment!AA25</f>
        <v>151574342.89415327</v>
      </c>
      <c r="AB10" s="9">
        <f>Investment!AB25</f>
        <v>157703758.34077603</v>
      </c>
      <c r="AC10" s="9">
        <f>Investment!AC25</f>
        <v>164070244.24885905</v>
      </c>
      <c r="AD10" s="9">
        <f>Investment!AD25</f>
        <v>170682696.60651848</v>
      </c>
      <c r="AE10" s="9">
        <f>Investment!AE25</f>
        <v>177550337.98495725</v>
      </c>
      <c r="AF10" s="9">
        <f>Investment!AF25</f>
        <v>184682729.33029097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-35753029.113666013</v>
      </c>
      <c r="D12" s="1">
        <f t="shared" ref="D12:AF12" ca="1" si="2">D7-D9-D10</f>
        <v>-32417650.041750286</v>
      </c>
      <c r="E12" s="1">
        <f ca="1">E7-E9-E10</f>
        <v>-28897757.702046376</v>
      </c>
      <c r="F12" s="1">
        <f t="shared" ca="1" si="2"/>
        <v>-23870256.424041979</v>
      </c>
      <c r="G12" s="1">
        <f ca="1">G7-G9-G10</f>
        <v>-20576627.144338928</v>
      </c>
      <c r="H12" s="1">
        <f t="shared" ca="1" si="2"/>
        <v>-18674806.680429228</v>
      </c>
      <c r="I12" s="1">
        <f t="shared" ca="1" si="2"/>
        <v>-16209515.7661139</v>
      </c>
      <c r="J12" s="1">
        <f t="shared" ca="1" si="2"/>
        <v>-15976681.181760319</v>
      </c>
      <c r="K12" s="1">
        <f t="shared" ca="1" si="2"/>
        <v>-15571101.610131651</v>
      </c>
      <c r="L12" s="1">
        <f t="shared" ca="1" si="2"/>
        <v>-14971052.612570643</v>
      </c>
      <c r="M12" s="1">
        <f t="shared" ca="1" si="2"/>
        <v>-15303038.435919195</v>
      </c>
      <c r="N12" s="1">
        <f t="shared" ca="1" si="2"/>
        <v>-15565793.664267287</v>
      </c>
      <c r="O12" s="1">
        <f t="shared" ca="1" si="2"/>
        <v>-15749141.953287184</v>
      </c>
      <c r="P12" s="1">
        <f t="shared" ca="1" si="2"/>
        <v>-15841999.047716409</v>
      </c>
      <c r="Q12" s="1">
        <f t="shared" ca="1" si="2"/>
        <v>-15832306.411243558</v>
      </c>
      <c r="R12" s="1">
        <f t="shared" ca="1" si="2"/>
        <v>-15706960.502040595</v>
      </c>
      <c r="S12" s="1">
        <f t="shared" ca="1" si="2"/>
        <v>-16704053.588920146</v>
      </c>
      <c r="T12" s="1">
        <f t="shared" ca="1" si="2"/>
        <v>-17723047.156655133</v>
      </c>
      <c r="U12" s="1">
        <f t="shared" ca="1" si="2"/>
        <v>-18762197.869339257</v>
      </c>
      <c r="V12" s="1">
        <f t="shared" ca="1" si="2"/>
        <v>-19819508.097200066</v>
      </c>
      <c r="W12" s="1">
        <f t="shared" ca="1" si="2"/>
        <v>-20892705.296348929</v>
      </c>
      <c r="X12" s="1">
        <f t="shared" ca="1" si="2"/>
        <v>-21979220.03050226</v>
      </c>
      <c r="Y12" s="1">
        <f t="shared" ca="1" si="2"/>
        <v>-23076162.554664433</v>
      </c>
      <c r="Z12" s="1">
        <f t="shared" ca="1" si="2"/>
        <v>-24180297.876369327</v>
      </c>
      <c r="AA12" s="1">
        <f t="shared" ca="1" si="2"/>
        <v>-25288019.205448985</v>
      </c>
      <c r="AB12" s="1">
        <f t="shared" ca="1" si="2"/>
        <v>-26395319.698432997</v>
      </c>
      <c r="AC12" s="1">
        <f t="shared" ca="1" si="2"/>
        <v>-27497762.398557752</v>
      </c>
      <c r="AD12" s="1">
        <f t="shared" ca="1" si="2"/>
        <v>-28590448.266977638</v>
      </c>
      <c r="AE12" s="1">
        <f t="shared" ca="1" si="2"/>
        <v>-29667982.19509995</v>
      </c>
      <c r="AF12" s="1">
        <f t="shared" ca="1" si="2"/>
        <v>-30724436.88200289</v>
      </c>
      <c r="AG12" s="1"/>
      <c r="AH12" s="1"/>
      <c r="AI12" s="1"/>
      <c r="AJ12" s="1"/>
      <c r="AK12" s="1"/>
      <c r="AL12" s="1"/>
      <c r="AM12" s="1"/>
      <c r="AN12" s="1"/>
      <c r="AO12" s="1"/>
      <c r="AP12" s="1"/>
    </row>
    <row r="13" spans="1:42" x14ac:dyDescent="0.35">
      <c r="A13" t="s">
        <v>19</v>
      </c>
      <c r="C13" s="1">
        <f ca="1">C12</f>
        <v>-35753029.113666013</v>
      </c>
      <c r="D13" s="1">
        <f ca="1">D12</f>
        <v>-32417650.041750286</v>
      </c>
      <c r="E13" s="1">
        <f ca="1">E12</f>
        <v>-28897757.702046376</v>
      </c>
      <c r="F13" s="1">
        <f t="shared" ref="F13:AF13" ca="1" si="3">F12</f>
        <v>-23870256.424041979</v>
      </c>
      <c r="G13" s="1">
        <f ca="1">G12</f>
        <v>-20576627.144338928</v>
      </c>
      <c r="H13" s="1">
        <f t="shared" ca="1" si="3"/>
        <v>-18674806.680429228</v>
      </c>
      <c r="I13" s="1">
        <f t="shared" ca="1" si="3"/>
        <v>-16209515.7661139</v>
      </c>
      <c r="J13" s="1">
        <f t="shared" ca="1" si="3"/>
        <v>-15976681.181760319</v>
      </c>
      <c r="K13" s="1">
        <f t="shared" ca="1" si="3"/>
        <v>-15571101.610131651</v>
      </c>
      <c r="L13" s="1">
        <f t="shared" ca="1" si="3"/>
        <v>-14971052.612570643</v>
      </c>
      <c r="M13" s="1">
        <f t="shared" ca="1" si="3"/>
        <v>-15303038.435919195</v>
      </c>
      <c r="N13" s="1">
        <f t="shared" ca="1" si="3"/>
        <v>-15565793.664267287</v>
      </c>
      <c r="O13" s="1">
        <f t="shared" ca="1" si="3"/>
        <v>-15749141.953287184</v>
      </c>
      <c r="P13" s="1">
        <f t="shared" ca="1" si="3"/>
        <v>-15841999.047716409</v>
      </c>
      <c r="Q13" s="1">
        <f t="shared" ca="1" si="3"/>
        <v>-15832306.411243558</v>
      </c>
      <c r="R13" s="1">
        <f t="shared" ca="1" si="3"/>
        <v>-15706960.502040595</v>
      </c>
      <c r="S13" s="1">
        <f t="shared" ca="1" si="3"/>
        <v>-16704053.588920146</v>
      </c>
      <c r="T13" s="1">
        <f t="shared" ca="1" si="3"/>
        <v>-17723047.156655133</v>
      </c>
      <c r="U13" s="1">
        <f t="shared" ca="1" si="3"/>
        <v>-18762197.869339257</v>
      </c>
      <c r="V13" s="1">
        <f t="shared" ca="1" si="3"/>
        <v>-19819508.097200066</v>
      </c>
      <c r="W13" s="1">
        <f t="shared" ca="1" si="3"/>
        <v>-20892705.296348929</v>
      </c>
      <c r="X13" s="1">
        <f t="shared" ca="1" si="3"/>
        <v>-21979220.03050226</v>
      </c>
      <c r="Y13" s="1">
        <f t="shared" ca="1" si="3"/>
        <v>-23076162.554664433</v>
      </c>
      <c r="Z13" s="1">
        <f t="shared" ca="1" si="3"/>
        <v>-24180297.876369327</v>
      </c>
      <c r="AA13" s="1">
        <f t="shared" ca="1" si="3"/>
        <v>-25288019.205448985</v>
      </c>
      <c r="AB13" s="1">
        <f t="shared" ca="1" si="3"/>
        <v>-26395319.698432997</v>
      </c>
      <c r="AC13" s="1">
        <f t="shared" ca="1" si="3"/>
        <v>-27497762.398557752</v>
      </c>
      <c r="AD13" s="1">
        <f t="shared" ca="1" si="3"/>
        <v>-28590448.266977638</v>
      </c>
      <c r="AE13" s="1">
        <f t="shared" ca="1" si="3"/>
        <v>-29667982.19509995</v>
      </c>
      <c r="AF13" s="1">
        <f t="shared" ca="1" si="3"/>
        <v>-30724436.88200289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136</v>
      </c>
      <c r="C6" s="9">
        <f>Assumptions!C17</f>
        <v>1907288133.3594952</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953644066.67974758</v>
      </c>
      <c r="D7" s="9">
        <f>C12</f>
        <v>986601546.44381225</v>
      </c>
      <c r="E7" s="9">
        <f>D12</f>
        <v>1021214244.6320624</v>
      </c>
      <c r="F7" s="9">
        <f t="shared" ref="F7:H7" si="1">E12</f>
        <v>1057554346.7643678</v>
      </c>
      <c r="G7" s="9">
        <f t="shared" si="1"/>
        <v>1095696963.2902029</v>
      </c>
      <c r="H7" s="9">
        <f t="shared" si="1"/>
        <v>1135720242.8661702</v>
      </c>
      <c r="I7" s="9">
        <f t="shared" ref="I7" si="2">H12</f>
        <v>1177705489.8881557</v>
      </c>
      <c r="J7" s="9">
        <f t="shared" ref="J7" si="3">I12</f>
        <v>1221737286.4344189</v>
      </c>
      <c r="K7" s="9">
        <f t="shared" ref="K7" si="4">J12</f>
        <v>1267903618.781563</v>
      </c>
      <c r="L7" s="9">
        <f t="shared" ref="L7" si="5">K12</f>
        <v>1316296008.6611814</v>
      </c>
      <c r="M7" s="9">
        <f t="shared" ref="M7" si="6">L12</f>
        <v>1367009649.4310284</v>
      </c>
      <c r="N7" s="9">
        <f t="shared" ref="N7" si="7">M12</f>
        <v>1420143547.3408418</v>
      </c>
      <c r="O7" s="9">
        <f t="shared" ref="O7" si="8">N12</f>
        <v>1475800668.0794315</v>
      </c>
      <c r="P7" s="9">
        <f t="shared" ref="P7" si="9">O12</f>
        <v>1534088088.7963796</v>
      </c>
      <c r="Q7" s="9">
        <f t="shared" ref="Q7" si="10">P12</f>
        <v>1595117155.7986646</v>
      </c>
      <c r="R7" s="9">
        <f t="shared" ref="R7" si="11">Q12</f>
        <v>1659003648.1297338</v>
      </c>
      <c r="S7" s="9">
        <f t="shared" ref="S7" si="12">R12</f>
        <v>1725867947.2460191</v>
      </c>
      <c r="T7" s="9">
        <f t="shared" ref="T7" si="13">S12</f>
        <v>1795835213.0136275</v>
      </c>
      <c r="U7" s="9">
        <f t="shared" ref="U7" si="14">T12</f>
        <v>1869035566.2559483</v>
      </c>
      <c r="V7" s="9">
        <f t="shared" ref="V7" si="15">U12</f>
        <v>1945604278.091217</v>
      </c>
      <c r="W7" s="9">
        <f t="shared" ref="W7" si="16">V12</f>
        <v>2025681966.3076625</v>
      </c>
      <c r="X7" s="9">
        <f t="shared" ref="X7" si="17">W12</f>
        <v>2109414799.0327606</v>
      </c>
      <c r="Y7" s="9">
        <f t="shared" ref="Y7" si="18">X12</f>
        <v>2196954705.9623318</v>
      </c>
      <c r="Z7" s="9">
        <f t="shared" ref="Z7" si="19">Y12</f>
        <v>2288459597.4247513</v>
      </c>
      <c r="AA7" s="9">
        <f t="shared" ref="AA7" si="20">Z12</f>
        <v>2384093591.5654254</v>
      </c>
      <c r="AB7" s="9">
        <f t="shared" ref="AB7" si="21">AA12</f>
        <v>2484027249.9469056</v>
      </c>
      <c r="AC7" s="9">
        <f t="shared" ref="AC7" si="22">AB12</f>
        <v>2588437821.8706026</v>
      </c>
      <c r="AD7" s="9">
        <f t="shared" ref="AD7" si="23">AC12</f>
        <v>2697509497.7370362</v>
      </c>
      <c r="AE7" s="9">
        <f t="shared" ref="AE7" si="24">AD12</f>
        <v>2811433671.7728915</v>
      </c>
      <c r="AF7" s="9">
        <f t="shared" ref="AF7" si="25">AE12</f>
        <v>2930409214.4649248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137</v>
      </c>
      <c r="C8" s="9">
        <f>Assumptions!D111*Assumptions!D11</f>
        <v>32375523.299204662</v>
      </c>
      <c r="D8" s="9">
        <f>Assumptions!E111*Assumptions!E11</f>
        <v>33411540.044779211</v>
      </c>
      <c r="E8" s="9">
        <f>Assumptions!F111*Assumptions!F11</f>
        <v>34480709.326212145</v>
      </c>
      <c r="F8" s="9">
        <f>Assumptions!G111*Assumptions!G11</f>
        <v>35584092.024650931</v>
      </c>
      <c r="G8" s="9">
        <f>Assumptions!H111*Assumptions!H11</f>
        <v>36722782.969439767</v>
      </c>
      <c r="H8" s="9">
        <f>Assumptions!I111*Assumptions!I11</f>
        <v>37897912.024461836</v>
      </c>
      <c r="I8" s="9">
        <f>Assumptions!J111*Assumptions!J11</f>
        <v>39110645.209244609</v>
      </c>
      <c r="J8" s="9">
        <f>Assumptions!K111*Assumptions!K11</f>
        <v>40362185.855940439</v>
      </c>
      <c r="K8" s="9">
        <f>Assumptions!L111*Assumptions!L11</f>
        <v>41653775.803330541</v>
      </c>
      <c r="L8" s="9">
        <f>Assumptions!M111*Assumptions!M11</f>
        <v>42986696.629037112</v>
      </c>
      <c r="M8" s="9">
        <f>Assumptions!N111*Assumptions!N11</f>
        <v>44362270.921166293</v>
      </c>
      <c r="N8" s="9">
        <f>Assumptions!O111*Assumptions!O11</f>
        <v>45781863.590643622</v>
      </c>
      <c r="O8" s="9">
        <f>Assumptions!P111*Assumptions!P11</f>
        <v>47246883.225544222</v>
      </c>
      <c r="P8" s="9">
        <f>Assumptions!Q111*Assumptions!Q11</f>
        <v>48758783.488761626</v>
      </c>
      <c r="Q8" s="9">
        <f>Assumptions!R111*Assumptions!R11</f>
        <v>50319064.560401991</v>
      </c>
      <c r="R8" s="9">
        <f>Assumptions!S111*Assumptions!S11</f>
        <v>51929274.626334868</v>
      </c>
      <c r="S8" s="9">
        <f>Assumptions!T111*Assumptions!T11</f>
        <v>53591011.414377585</v>
      </c>
      <c r="T8" s="9">
        <f>Assumptions!U111*Assumptions!U11</f>
        <v>55305923.779637665</v>
      </c>
      <c r="U8" s="9">
        <f>Assumptions!V111*Assumptions!V11</f>
        <v>57075713.340586059</v>
      </c>
      <c r="V8" s="9">
        <f>Assumptions!W111*Assumptions!W11</f>
        <v>58902136.16748482</v>
      </c>
      <c r="W8" s="9">
        <f>Assumptions!X111*Assumptions!X11</f>
        <v>60787004.524844341</v>
      </c>
      <c r="X8" s="9">
        <f>Assumptions!Y111*Assumptions!Y11</f>
        <v>62732188.669639356</v>
      </c>
      <c r="Y8" s="9">
        <f>Assumptions!Z111*Assumptions!Z11</f>
        <v>64739618.707067803</v>
      </c>
      <c r="Z8" s="9">
        <f>Assumptions!AA111*Assumptions!AA11</f>
        <v>66811286.50569398</v>
      </c>
      <c r="AA8" s="9">
        <f>Assumptions!AB111*Assumptions!AB11</f>
        <v>68949247.673876196</v>
      </c>
      <c r="AB8" s="9">
        <f>Assumptions!AC111*Assumptions!AC11</f>
        <v>71155623.599440232</v>
      </c>
      <c r="AC8" s="9">
        <f>Assumptions!AD111*Assumptions!AD11</f>
        <v>73432603.554622307</v>
      </c>
      <c r="AD8" s="9">
        <f>Assumptions!AE111*Assumptions!AE11</f>
        <v>75782446.868370235</v>
      </c>
      <c r="AE8" s="9">
        <f>Assumptions!AF111*Assumptions!AF11</f>
        <v>78207485.168158084</v>
      </c>
      <c r="AF8" s="9">
        <f>Assumptions!AG111*Assumptions!AG11</f>
        <v>80710124.693539128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581956.46486001008</v>
      </c>
      <c r="D9" s="9">
        <f>Assumptions!E120*Assumptions!E11</f>
        <v>1201158.1434710608</v>
      </c>
      <c r="E9" s="9">
        <f>Assumptions!F120*Assumptions!F11</f>
        <v>1859392.8060932017</v>
      </c>
      <c r="F9" s="9">
        <f>Assumptions!G120*Assumptions!G11</f>
        <v>2558524.5011842456</v>
      </c>
      <c r="G9" s="9">
        <f>Assumptions!H120*Assumptions!H11</f>
        <v>3300496.6065276773</v>
      </c>
      <c r="H9" s="9">
        <f>Assumptions!I120*Assumptions!I11</f>
        <v>4087334.997523875</v>
      </c>
      <c r="I9" s="9">
        <f>Assumptions!J120*Assumptions!J11</f>
        <v>4921151.337018746</v>
      </c>
      <c r="J9" s="9">
        <f>Assumptions!K120*Assumptions!K11</f>
        <v>5804146.4912038231</v>
      </c>
      <c r="K9" s="9">
        <f>Assumptions!L120*Assumptions!L11</f>
        <v>6738614.0762876403</v>
      </c>
      <c r="L9" s="9">
        <f>Assumptions!M120*Assumptions!M11</f>
        <v>7726944.1408098256</v>
      </c>
      <c r="M9" s="9">
        <f>Assumptions!N120*Assumptions!N11</f>
        <v>8771626.9886473138</v>
      </c>
      <c r="N9" s="9">
        <f>Assumptions!O120*Assumptions!O11</f>
        <v>9875257.1479462124</v>
      </c>
      <c r="O9" s="9">
        <f>Assumptions!P120*Assumptions!P11</f>
        <v>11040537.491403868</v>
      </c>
      <c r="P9" s="9">
        <f>Assumptions!Q120*Assumptions!Q11</f>
        <v>12270283.513523312</v>
      </c>
      <c r="Q9" s="9">
        <f>Assumptions!R120*Assumptions!R11</f>
        <v>13567427.770667203</v>
      </c>
      <c r="R9" s="9">
        <f>Assumptions!S120*Assumptions!S11</f>
        <v>14935024.489950459</v>
      </c>
      <c r="S9" s="9">
        <f>Assumptions!T120*Assumptions!T11</f>
        <v>16376254.353230681</v>
      </c>
      <c r="T9" s="9">
        <f>Assumptions!U120*Assumptions!U11</f>
        <v>17894429.462683123</v>
      </c>
      <c r="U9" s="9">
        <f>Assumptions!V120*Assumptions!V11</f>
        <v>19492998.494682811</v>
      </c>
      <c r="V9" s="9">
        <f>Assumptions!W120*Assumptions!W11</f>
        <v>21175552.048960701</v>
      </c>
      <c r="W9" s="9">
        <f>Assumptions!X120*Assumptions!X11</f>
        <v>22945828.200253818</v>
      </c>
      <c r="X9" s="9">
        <f>Assumptions!Y120*Assumptions!Y11</f>
        <v>24807718.259931553</v>
      </c>
      <c r="Y9" s="9">
        <f>Assumptions!Z120*Assumptions!Z11</f>
        <v>26765272.755351599</v>
      </c>
      <c r="Z9" s="9">
        <f>Assumptions!AA120*Assumptions!AA11</f>
        <v>28822707.634980366</v>
      </c>
      <c r="AA9" s="9">
        <f>Assumptions!AB120*Assumptions!AB11</f>
        <v>30984410.707603902</v>
      </c>
      <c r="AB9" s="9">
        <f>Assumptions!AC120*Assumptions!AC11</f>
        <v>33254948.324257102</v>
      </c>
      <c r="AC9" s="9">
        <f>Assumptions!AD120*Assumptions!AD11</f>
        <v>35639072.311811529</v>
      </c>
      <c r="AD9" s="9">
        <f>Assumptions!AE120*Assumptions!AE11</f>
        <v>38141727.167485408</v>
      </c>
      <c r="AE9" s="9">
        <f>Assumptions!AF120*Assumptions!AF11</f>
        <v>40768057.523875117</v>
      </c>
      <c r="AF9" s="9">
        <f>Assumptions!AG120*Assumptions!AG11</f>
        <v>43523415.894454256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32957479.764064673</v>
      </c>
      <c r="D10" s="9">
        <f>SUM($C$8:D9)</f>
        <v>67570177.952314943</v>
      </c>
      <c r="E10" s="9">
        <f>SUM($C$8:E9)</f>
        <v>103910280.0846203</v>
      </c>
      <c r="F10" s="9">
        <f>SUM($C$8:F9)</f>
        <v>142052896.61045551</v>
      </c>
      <c r="G10" s="9">
        <f>SUM($C$8:G9)</f>
        <v>182076176.18642297</v>
      </c>
      <c r="H10" s="9">
        <f>SUM($C$8:H9)</f>
        <v>224061423.20840868</v>
      </c>
      <c r="I10" s="9">
        <f>SUM($C$8:I9)</f>
        <v>268093219.75467205</v>
      </c>
      <c r="J10" s="9">
        <f>SUM($C$8:J9)</f>
        <v>314259552.1018163</v>
      </c>
      <c r="K10" s="9">
        <f>SUM($C$8:K9)</f>
        <v>362651941.98143446</v>
      </c>
      <c r="L10" s="9">
        <f>SUM($C$8:L9)</f>
        <v>413365582.75128138</v>
      </c>
      <c r="M10" s="9">
        <f>SUM($C$8:M9)</f>
        <v>466499480.66109502</v>
      </c>
      <c r="N10" s="9">
        <f>SUM($C$8:N9)</f>
        <v>522156601.39968491</v>
      </c>
      <c r="O10" s="9">
        <f>SUM($C$8:O9)</f>
        <v>580444022.11663294</v>
      </c>
      <c r="P10" s="9">
        <f>SUM($C$8:P9)</f>
        <v>641473089.1189177</v>
      </c>
      <c r="Q10" s="9">
        <f>SUM($C$8:Q9)</f>
        <v>705359581.44998693</v>
      </c>
      <c r="R10" s="9">
        <f>SUM($C$8:R9)</f>
        <v>772223880.56627226</v>
      </c>
      <c r="S10" s="9">
        <f>SUM($C$8:S9)</f>
        <v>842191146.33388054</v>
      </c>
      <c r="T10" s="9">
        <f>SUM($C$8:T9)</f>
        <v>915391499.57620132</v>
      </c>
      <c r="U10" s="9">
        <f>SUM($C$8:U9)</f>
        <v>991960211.41147017</v>
      </c>
      <c r="V10" s="9">
        <f>SUM($C$8:V9)</f>
        <v>1072037899.6279157</v>
      </c>
      <c r="W10" s="9">
        <f>SUM($C$8:W9)</f>
        <v>1155770732.3530138</v>
      </c>
      <c r="X10" s="9">
        <f>SUM($C$8:X9)</f>
        <v>1243310639.2825849</v>
      </c>
      <c r="Y10" s="9">
        <f>SUM($C$8:Y9)</f>
        <v>1334815530.7450039</v>
      </c>
      <c r="Z10" s="9">
        <f>SUM($C$8:Z9)</f>
        <v>1430449524.8856783</v>
      </c>
      <c r="AA10" s="9">
        <f>SUM($C$8:AA9)</f>
        <v>1530383183.2671585</v>
      </c>
      <c r="AB10" s="9">
        <f>SUM($C$8:AB9)</f>
        <v>1634793755.190856</v>
      </c>
      <c r="AC10" s="9">
        <f>SUM($C$8:AC9)</f>
        <v>1743865431.0572898</v>
      </c>
      <c r="AD10" s="9">
        <f>SUM($C$8:AD9)</f>
        <v>1857789605.0931456</v>
      </c>
      <c r="AE10" s="9">
        <f>SUM($C$8:AE9)</f>
        <v>1976765147.7851787</v>
      </c>
      <c r="AF10" s="9">
        <f>SUM($C$8:AF9)</f>
        <v>2100998688.373172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986601546.44381225</v>
      </c>
      <c r="D12" s="9">
        <f>D7+D8+D9</f>
        <v>1021214244.6320624</v>
      </c>
      <c r="E12" s="9">
        <f>E7+E8+E9</f>
        <v>1057554346.7643678</v>
      </c>
      <c r="F12" s="9">
        <f t="shared" ref="F12:H12" si="26">F7+F8+F9</f>
        <v>1095696963.2902029</v>
      </c>
      <c r="G12" s="9">
        <f t="shared" si="26"/>
        <v>1135720242.8661702</v>
      </c>
      <c r="H12" s="9">
        <f t="shared" si="26"/>
        <v>1177705489.8881557</v>
      </c>
      <c r="I12" s="9">
        <f t="shared" ref="I12:AF12" si="27">I7+I8+I9</f>
        <v>1221737286.4344189</v>
      </c>
      <c r="J12" s="9">
        <f t="shared" si="27"/>
        <v>1267903618.781563</v>
      </c>
      <c r="K12" s="9">
        <f t="shared" si="27"/>
        <v>1316296008.6611814</v>
      </c>
      <c r="L12" s="9">
        <f t="shared" si="27"/>
        <v>1367009649.4310284</v>
      </c>
      <c r="M12" s="9">
        <f t="shared" si="27"/>
        <v>1420143547.3408418</v>
      </c>
      <c r="N12" s="9">
        <f t="shared" si="27"/>
        <v>1475800668.0794315</v>
      </c>
      <c r="O12" s="9">
        <f t="shared" si="27"/>
        <v>1534088088.7963796</v>
      </c>
      <c r="P12" s="9">
        <f t="shared" si="27"/>
        <v>1595117155.7986646</v>
      </c>
      <c r="Q12" s="9">
        <f t="shared" si="27"/>
        <v>1659003648.1297338</v>
      </c>
      <c r="R12" s="9">
        <f t="shared" si="27"/>
        <v>1725867947.2460191</v>
      </c>
      <c r="S12" s="9">
        <f t="shared" si="27"/>
        <v>1795835213.0136275</v>
      </c>
      <c r="T12" s="9">
        <f t="shared" si="27"/>
        <v>1869035566.2559483</v>
      </c>
      <c r="U12" s="9">
        <f t="shared" si="27"/>
        <v>1945604278.091217</v>
      </c>
      <c r="V12" s="9">
        <f t="shared" si="27"/>
        <v>2025681966.3076625</v>
      </c>
      <c r="W12" s="9">
        <f t="shared" si="27"/>
        <v>2109414799.0327606</v>
      </c>
      <c r="X12" s="9">
        <f t="shared" si="27"/>
        <v>2196954705.9623318</v>
      </c>
      <c r="Y12" s="9">
        <f t="shared" si="27"/>
        <v>2288459597.4247513</v>
      </c>
      <c r="Z12" s="9">
        <f t="shared" si="27"/>
        <v>2384093591.5654254</v>
      </c>
      <c r="AA12" s="9">
        <f t="shared" si="27"/>
        <v>2484027249.9469056</v>
      </c>
      <c r="AB12" s="9">
        <f t="shared" si="27"/>
        <v>2588437821.8706026</v>
      </c>
      <c r="AC12" s="9">
        <f t="shared" si="27"/>
        <v>2697509497.7370362</v>
      </c>
      <c r="AD12" s="9">
        <f t="shared" si="27"/>
        <v>2811433671.7728915</v>
      </c>
      <c r="AE12" s="9">
        <f t="shared" si="27"/>
        <v>2930409214.4649248</v>
      </c>
      <c r="AF12" s="9">
        <f t="shared" si="27"/>
        <v>3054642755.0529184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57205665.799898423</v>
      </c>
      <c r="D18" s="9">
        <f>Investment!D25</f>
        <v>59636826.177230701</v>
      </c>
      <c r="E18" s="9">
        <f>Investment!E25</f>
        <v>62165002.216933146</v>
      </c>
      <c r="F18" s="9">
        <f>Investment!F25</f>
        <v>64793913.413171075</v>
      </c>
      <c r="G18" s="9">
        <f>Investment!G25</f>
        <v>67527417.963698089</v>
      </c>
      <c r="H18" s="9">
        <f>Investment!H25</f>
        <v>70369517.838123739</v>
      </c>
      <c r="I18" s="9">
        <f>Investment!I25</f>
        <v>73324364.028517798</v>
      </c>
      <c r="J18" s="9">
        <f>Investment!J25</f>
        <v>76396261.98883085</v>
      </c>
      <c r="K18" s="9">
        <f>Investment!K25</f>
        <v>79589677.269838735</v>
      </c>
      <c r="L18" s="9">
        <f>Investment!L25</f>
        <v>82909241.356554538</v>
      </c>
      <c r="M18" s="9">
        <f>Investment!M25</f>
        <v>86359757.715295851</v>
      </c>
      <c r="N18" s="9">
        <f>Investment!N25</f>
        <v>89946208.057847515</v>
      </c>
      <c r="O18" s="9">
        <f>Investment!O25</f>
        <v>93673758.830422029</v>
      </c>
      <c r="P18" s="9">
        <f>Investment!P25</f>
        <v>97547767.935390025</v>
      </c>
      <c r="Q18" s="9">
        <f>Investment!Q25</f>
        <v>101573791.69403365</v>
      </c>
      <c r="R18" s="9">
        <f>Investment!R25</f>
        <v>105757592.05886465</v>
      </c>
      <c r="S18" s="9">
        <f>Investment!S25</f>
        <v>110105144.08435014</v>
      </c>
      <c r="T18" s="9">
        <f>Investment!T25</f>
        <v>114622643.66519839</v>
      </c>
      <c r="U18" s="9">
        <f>Investment!U25</f>
        <v>119316515.55167854</v>
      </c>
      <c r="V18" s="9">
        <f>Investment!V25</f>
        <v>124193421.65178032</v>
      </c>
      <c r="W18" s="9">
        <f>Investment!W25</f>
        <v>129260269.63036367</v>
      </c>
      <c r="X18" s="9">
        <f>Investment!X25</f>
        <v>134524221.81580493</v>
      </c>
      <c r="Y18" s="9">
        <f>Investment!Y25</f>
        <v>139992704.42501289</v>
      </c>
      <c r="Z18" s="9">
        <f>Investment!Z25</f>
        <v>145673417.11807084</v>
      </c>
      <c r="AA18" s="9">
        <f>Investment!AA25</f>
        <v>151574342.89415327</v>
      </c>
      <c r="AB18" s="9">
        <f>Investment!AB25</f>
        <v>157703758.34077603</v>
      </c>
      <c r="AC18" s="9">
        <f>Investment!AC25</f>
        <v>164070244.24885905</v>
      </c>
      <c r="AD18" s="9">
        <f>Investment!AD25</f>
        <v>170682696.60651848</v>
      </c>
      <c r="AE18" s="9">
        <f>Investment!AE25</f>
        <v>177550337.98495725</v>
      </c>
      <c r="AF18" s="9">
        <f>Investment!AF25</f>
        <v>184682729.33029097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1010849732.479646</v>
      </c>
      <c r="D19" s="9">
        <f>D18+C20</f>
        <v>1037529078.892812</v>
      </c>
      <c r="E19" s="9">
        <f>E18+D20</f>
        <v>1065081382.921495</v>
      </c>
      <c r="F19" s="9">
        <f t="shared" ref="F19:AF19" si="28">F18+E20</f>
        <v>1093535194.2023606</v>
      </c>
      <c r="G19" s="9">
        <f t="shared" si="28"/>
        <v>1122919995.6402235</v>
      </c>
      <c r="H19" s="9">
        <f t="shared" si="28"/>
        <v>1153266233.90238</v>
      </c>
      <c r="I19" s="9">
        <f t="shared" si="28"/>
        <v>1184605350.9089122</v>
      </c>
      <c r="J19" s="9">
        <f t="shared" si="28"/>
        <v>1216969816.3514795</v>
      </c>
      <c r="K19" s="9">
        <f t="shared" si="28"/>
        <v>1250393161.2741742</v>
      </c>
      <c r="L19" s="9">
        <f t="shared" si="28"/>
        <v>1284910012.7511106</v>
      </c>
      <c r="M19" s="9">
        <f t="shared" si="28"/>
        <v>1320556129.6965594</v>
      </c>
      <c r="N19" s="9">
        <f t="shared" si="28"/>
        <v>1357368439.8445935</v>
      </c>
      <c r="O19" s="9">
        <f t="shared" si="28"/>
        <v>1395385077.9364257</v>
      </c>
      <c r="P19" s="9">
        <f t="shared" si="28"/>
        <v>1434645425.1548676</v>
      </c>
      <c r="Q19" s="9">
        <f t="shared" si="28"/>
        <v>1475190149.8466163</v>
      </c>
      <c r="R19" s="9">
        <f t="shared" si="28"/>
        <v>1517061249.5744116</v>
      </c>
      <c r="S19" s="9">
        <f t="shared" si="28"/>
        <v>1560302094.5424764</v>
      </c>
      <c r="T19" s="9">
        <f t="shared" si="28"/>
        <v>1604957472.4400663</v>
      </c>
      <c r="U19" s="9">
        <f t="shared" si="28"/>
        <v>1651073634.749424</v>
      </c>
      <c r="V19" s="9">
        <f t="shared" si="28"/>
        <v>1698698344.5659356</v>
      </c>
      <c r="W19" s="9">
        <f t="shared" si="28"/>
        <v>1747880925.9798539</v>
      </c>
      <c r="X19" s="9">
        <f t="shared" si="28"/>
        <v>1798672315.0705607</v>
      </c>
      <c r="Y19" s="9">
        <f t="shared" si="28"/>
        <v>1851125112.5660026</v>
      </c>
      <c r="Z19" s="9">
        <f t="shared" si="28"/>
        <v>1905293638.2216542</v>
      </c>
      <c r="AA19" s="9">
        <f t="shared" si="28"/>
        <v>1961233986.9751332</v>
      </c>
      <c r="AB19" s="9">
        <f t="shared" si="28"/>
        <v>2019004086.9344289</v>
      </c>
      <c r="AC19" s="9">
        <f t="shared" si="28"/>
        <v>2078663759.2595906</v>
      </c>
      <c r="AD19" s="9">
        <f t="shared" si="28"/>
        <v>2140274779.9996753</v>
      </c>
      <c r="AE19" s="9">
        <f t="shared" si="28"/>
        <v>2203900943.9487767</v>
      </c>
      <c r="AF19" s="9">
        <f t="shared" si="28"/>
        <v>2269608130.5870342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977892252.7155813</v>
      </c>
      <c r="D20" s="9">
        <f>D19-D8-D9</f>
        <v>1002916380.7045618</v>
      </c>
      <c r="E20" s="9">
        <f t="shared" ref="E20:AF20" si="29">E19-E8-E9</f>
        <v>1028741280.7891896</v>
      </c>
      <c r="F20" s="9">
        <f t="shared" si="29"/>
        <v>1055392577.6765255</v>
      </c>
      <c r="G20" s="9">
        <f t="shared" si="29"/>
        <v>1082896716.0642562</v>
      </c>
      <c r="H20" s="9">
        <f t="shared" si="29"/>
        <v>1111280986.8803945</v>
      </c>
      <c r="I20" s="9">
        <f t="shared" si="29"/>
        <v>1140573554.3626487</v>
      </c>
      <c r="J20" s="9">
        <f t="shared" si="29"/>
        <v>1170803484.0043354</v>
      </c>
      <c r="K20" s="9">
        <f t="shared" si="29"/>
        <v>1202000771.394556</v>
      </c>
      <c r="L20" s="9">
        <f t="shared" si="29"/>
        <v>1234196371.9812636</v>
      </c>
      <c r="M20" s="9">
        <f t="shared" si="29"/>
        <v>1267422231.786746</v>
      </c>
      <c r="N20" s="9">
        <f t="shared" si="29"/>
        <v>1301711319.1060038</v>
      </c>
      <c r="O20" s="9">
        <f t="shared" si="29"/>
        <v>1337097657.2194777</v>
      </c>
      <c r="P20" s="9">
        <f t="shared" si="29"/>
        <v>1373616358.1525826</v>
      </c>
      <c r="Q20" s="9">
        <f t="shared" si="29"/>
        <v>1411303657.515547</v>
      </c>
      <c r="R20" s="9">
        <f t="shared" si="29"/>
        <v>1450196950.4581263</v>
      </c>
      <c r="S20" s="9">
        <f t="shared" si="29"/>
        <v>1490334828.774868</v>
      </c>
      <c r="T20" s="9">
        <f t="shared" si="29"/>
        <v>1531757119.1977456</v>
      </c>
      <c r="U20" s="9">
        <f t="shared" si="29"/>
        <v>1574504922.9141552</v>
      </c>
      <c r="V20" s="9">
        <f t="shared" si="29"/>
        <v>1618620656.3494902</v>
      </c>
      <c r="W20" s="9">
        <f t="shared" si="29"/>
        <v>1664148093.2547557</v>
      </c>
      <c r="X20" s="9">
        <f t="shared" si="29"/>
        <v>1711132408.1409898</v>
      </c>
      <c r="Y20" s="9">
        <f t="shared" si="29"/>
        <v>1759620221.1035833</v>
      </c>
      <c r="Z20" s="9">
        <f t="shared" si="29"/>
        <v>1809659644.0809798</v>
      </c>
      <c r="AA20" s="9">
        <f t="shared" si="29"/>
        <v>1861300328.593653</v>
      </c>
      <c r="AB20" s="9">
        <f t="shared" si="29"/>
        <v>1914593515.0107315</v>
      </c>
      <c r="AC20" s="9">
        <f t="shared" si="29"/>
        <v>1969592083.3931568</v>
      </c>
      <c r="AD20" s="9">
        <f t="shared" si="29"/>
        <v>2026350605.9638195</v>
      </c>
      <c r="AE20" s="9">
        <f t="shared" si="29"/>
        <v>2084925401.2567434</v>
      </c>
      <c r="AF20" s="9">
        <f t="shared" si="29"/>
        <v>2145374589.9990408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58526059.219999999</v>
      </c>
      <c r="D22" s="9">
        <f ca="1">'Balance Sheet'!C11</f>
        <v>94279088.333666012</v>
      </c>
      <c r="E22" s="9">
        <f ca="1">'Balance Sheet'!D11</f>
        <v>126696738.37541629</v>
      </c>
      <c r="F22" s="9">
        <f ca="1">'Balance Sheet'!E11</f>
        <v>155594496.07746267</v>
      </c>
      <c r="G22" s="9">
        <f ca="1">'Balance Sheet'!F11</f>
        <v>179464752.50150466</v>
      </c>
      <c r="H22" s="9">
        <f ca="1">'Balance Sheet'!G11</f>
        <v>200041379.6458436</v>
      </c>
      <c r="I22" s="9">
        <f ca="1">'Balance Sheet'!H11</f>
        <v>218716186.32627282</v>
      </c>
      <c r="J22" s="9">
        <f ca="1">'Balance Sheet'!I11</f>
        <v>234925702.09238672</v>
      </c>
      <c r="K22" s="9">
        <f ca="1">'Balance Sheet'!J11</f>
        <v>250902383.27414703</v>
      </c>
      <c r="L22" s="9">
        <f ca="1">'Balance Sheet'!K11</f>
        <v>266473484.88427868</v>
      </c>
      <c r="M22" s="9">
        <f ca="1">'Balance Sheet'!L11</f>
        <v>281444537.4968493</v>
      </c>
      <c r="N22" s="9">
        <f ca="1">'Balance Sheet'!M11</f>
        <v>296747575.93276846</v>
      </c>
      <c r="O22" s="9">
        <f ca="1">'Balance Sheet'!N11</f>
        <v>312313369.59703577</v>
      </c>
      <c r="P22" s="9">
        <f ca="1">'Balance Sheet'!O11</f>
        <v>328062511.55032295</v>
      </c>
      <c r="Q22" s="9">
        <f ca="1">'Balance Sheet'!P11</f>
        <v>343904510.59803939</v>
      </c>
      <c r="R22" s="9">
        <f ca="1">'Balance Sheet'!Q11</f>
        <v>359736817.00928295</v>
      </c>
      <c r="S22" s="9">
        <f ca="1">'Balance Sheet'!R11</f>
        <v>375443777.51132357</v>
      </c>
      <c r="T22" s="9">
        <f ca="1">'Balance Sheet'!S11</f>
        <v>392147831.10024369</v>
      </c>
      <c r="U22" s="9">
        <f ca="1">'Balance Sheet'!T11</f>
        <v>409870878.25689882</v>
      </c>
      <c r="V22" s="9">
        <f ca="1">'Balance Sheet'!U11</f>
        <v>428633076.12623811</v>
      </c>
      <c r="W22" s="9">
        <f ca="1">'Balance Sheet'!V11</f>
        <v>448452584.22343814</v>
      </c>
      <c r="X22" s="9">
        <f ca="1">'Balance Sheet'!W11</f>
        <v>469345289.51978707</v>
      </c>
      <c r="Y22" s="9">
        <f ca="1">'Balance Sheet'!X11</f>
        <v>491324509.55028933</v>
      </c>
      <c r="Z22" s="9">
        <f ca="1">'Balance Sheet'!Y11</f>
        <v>514400672.10495377</v>
      </c>
      <c r="AA22" s="9">
        <f ca="1">'Balance Sheet'!Z11</f>
        <v>538580969.98132312</v>
      </c>
      <c r="AB22" s="9">
        <f ca="1">'Balance Sheet'!AA11</f>
        <v>563868989.18677211</v>
      </c>
      <c r="AC22" s="9">
        <f ca="1">'Balance Sheet'!AB11</f>
        <v>590264308.88520515</v>
      </c>
      <c r="AD22" s="9">
        <f ca="1">'Balance Sheet'!AC11</f>
        <v>617762071.28376293</v>
      </c>
      <c r="AE22" s="9">
        <f ca="1">'Balance Sheet'!AD11</f>
        <v>646352519.5507406</v>
      </c>
      <c r="AF22" s="9">
        <f ca="1">'Balance Sheet'!AE11</f>
        <v>676020501.74584055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919366193.49558127</v>
      </c>
      <c r="D23" s="9">
        <f t="shared" ref="D23:AF23" ca="1" si="30">D20-D22</f>
        <v>908637292.37089586</v>
      </c>
      <c r="E23" s="9">
        <f t="shared" ca="1" si="30"/>
        <v>902044542.4137733</v>
      </c>
      <c r="F23" s="9">
        <f t="shared" ca="1" si="30"/>
        <v>899798081.5990628</v>
      </c>
      <c r="G23" s="9">
        <f t="shared" ca="1" si="30"/>
        <v>903431963.56275153</v>
      </c>
      <c r="H23" s="9">
        <f t="shared" ca="1" si="30"/>
        <v>911239607.23455083</v>
      </c>
      <c r="I23" s="9">
        <f t="shared" ca="1" si="30"/>
        <v>921857368.03637588</v>
      </c>
      <c r="J23" s="9">
        <f ca="1">J20-J22</f>
        <v>935877781.91194868</v>
      </c>
      <c r="K23" s="9">
        <f t="shared" ca="1" si="30"/>
        <v>951098388.12040901</v>
      </c>
      <c r="L23" s="9">
        <f t="shared" ca="1" si="30"/>
        <v>967722887.09698498</v>
      </c>
      <c r="M23" s="9">
        <f t="shared" ca="1" si="30"/>
        <v>985977694.28989673</v>
      </c>
      <c r="N23" s="9">
        <f t="shared" ca="1" si="30"/>
        <v>1004963743.1732353</v>
      </c>
      <c r="O23" s="9">
        <f t="shared" ca="1" si="30"/>
        <v>1024784287.6224419</v>
      </c>
      <c r="P23" s="9">
        <f t="shared" ca="1" si="30"/>
        <v>1045553846.6022596</v>
      </c>
      <c r="Q23" s="9">
        <f t="shared" ca="1" si="30"/>
        <v>1067399146.9175076</v>
      </c>
      <c r="R23" s="9">
        <f t="shared" ca="1" si="30"/>
        <v>1090460133.4488435</v>
      </c>
      <c r="S23" s="9">
        <f t="shared" ca="1" si="30"/>
        <v>1114891051.2635446</v>
      </c>
      <c r="T23" s="9">
        <f t="shared" ca="1" si="30"/>
        <v>1139609288.0975018</v>
      </c>
      <c r="U23" s="9">
        <f t="shared" ca="1" si="30"/>
        <v>1164634044.6572564</v>
      </c>
      <c r="V23" s="9">
        <f t="shared" ca="1" si="30"/>
        <v>1189987580.2232521</v>
      </c>
      <c r="W23" s="9">
        <f t="shared" ca="1" si="30"/>
        <v>1215695509.0313177</v>
      </c>
      <c r="X23" s="9">
        <f t="shared" ca="1" si="30"/>
        <v>1241787118.6212027</v>
      </c>
      <c r="Y23" s="9">
        <f t="shared" ca="1" si="30"/>
        <v>1268295711.5532939</v>
      </c>
      <c r="Z23" s="9">
        <f t="shared" ca="1" si="30"/>
        <v>1295258971.9760261</v>
      </c>
      <c r="AA23" s="9">
        <f t="shared" ca="1" si="30"/>
        <v>1322719358.61233</v>
      </c>
      <c r="AB23" s="9">
        <f t="shared" ca="1" si="30"/>
        <v>1350724525.8239594</v>
      </c>
      <c r="AC23" s="9">
        <f t="shared" ca="1" si="30"/>
        <v>1379327774.5079517</v>
      </c>
      <c r="AD23" s="9">
        <f t="shared" ca="1" si="30"/>
        <v>1408588534.6800566</v>
      </c>
      <c r="AE23" s="9">
        <f t="shared" ca="1" si="30"/>
        <v>1438572881.7060027</v>
      </c>
      <c r="AF23" s="9">
        <f t="shared" ca="1" si="30"/>
        <v>1469354088.2532003</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163</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58526059.219999999</v>
      </c>
      <c r="D5" s="1">
        <f ca="1">C5+C6</f>
        <v>94279088.333666012</v>
      </c>
      <c r="E5" s="1">
        <f t="shared" ref="E5:AF5" ca="1" si="1">D5+D6</f>
        <v>126696738.37541629</v>
      </c>
      <c r="F5" s="1">
        <f t="shared" ca="1" si="1"/>
        <v>155594496.07746267</v>
      </c>
      <c r="G5" s="1">
        <f t="shared" ca="1" si="1"/>
        <v>179464752.50150466</v>
      </c>
      <c r="H5" s="1">
        <f t="shared" ca="1" si="1"/>
        <v>200041379.6458436</v>
      </c>
      <c r="I5" s="1">
        <f t="shared" ca="1" si="1"/>
        <v>218716186.32627282</v>
      </c>
      <c r="J5" s="1">
        <f t="shared" ca="1" si="1"/>
        <v>234925702.09238672</v>
      </c>
      <c r="K5" s="1">
        <f t="shared" ca="1" si="1"/>
        <v>250902383.27414703</v>
      </c>
      <c r="L5" s="1">
        <f t="shared" ca="1" si="1"/>
        <v>266473484.88427868</v>
      </c>
      <c r="M5" s="1">
        <f t="shared" ca="1" si="1"/>
        <v>281444537.4968493</v>
      </c>
      <c r="N5" s="1">
        <f t="shared" ca="1" si="1"/>
        <v>296747575.93276846</v>
      </c>
      <c r="O5" s="1">
        <f t="shared" ca="1" si="1"/>
        <v>312313369.59703577</v>
      </c>
      <c r="P5" s="1">
        <f t="shared" ca="1" si="1"/>
        <v>328062511.55032295</v>
      </c>
      <c r="Q5" s="1">
        <f t="shared" ca="1" si="1"/>
        <v>343904510.59803939</v>
      </c>
      <c r="R5" s="1">
        <f t="shared" ca="1" si="1"/>
        <v>359736817.00928295</v>
      </c>
      <c r="S5" s="1">
        <f t="shared" ca="1" si="1"/>
        <v>375443777.51132357</v>
      </c>
      <c r="T5" s="1">
        <f t="shared" ca="1" si="1"/>
        <v>392147831.10024369</v>
      </c>
      <c r="U5" s="1">
        <f t="shared" ca="1" si="1"/>
        <v>409870878.25689882</v>
      </c>
      <c r="V5" s="1">
        <f t="shared" ca="1" si="1"/>
        <v>428633076.12623811</v>
      </c>
      <c r="W5" s="1">
        <f t="shared" ca="1" si="1"/>
        <v>448452584.22343814</v>
      </c>
      <c r="X5" s="1">
        <f t="shared" ca="1" si="1"/>
        <v>469345289.51978707</v>
      </c>
      <c r="Y5" s="1">
        <f t="shared" ca="1" si="1"/>
        <v>491324509.55028933</v>
      </c>
      <c r="Z5" s="1">
        <f t="shared" ca="1" si="1"/>
        <v>514400672.10495377</v>
      </c>
      <c r="AA5" s="1">
        <f t="shared" ca="1" si="1"/>
        <v>538580969.98132312</v>
      </c>
      <c r="AB5" s="1">
        <f t="shared" ca="1" si="1"/>
        <v>563868989.18677211</v>
      </c>
      <c r="AC5" s="1">
        <f t="shared" ca="1" si="1"/>
        <v>590264308.88520515</v>
      </c>
      <c r="AD5" s="1">
        <f t="shared" ca="1" si="1"/>
        <v>617762071.28376293</v>
      </c>
      <c r="AE5" s="1">
        <f t="shared" ca="1" si="1"/>
        <v>646352519.5507406</v>
      </c>
      <c r="AF5" s="1">
        <f t="shared" ca="1" si="1"/>
        <v>676020501.74584055</v>
      </c>
      <c r="AG5" s="1"/>
      <c r="AH5" s="1"/>
      <c r="AI5" s="1"/>
      <c r="AJ5" s="1"/>
      <c r="AK5" s="1"/>
      <c r="AL5" s="1"/>
      <c r="AM5" s="1"/>
      <c r="AN5" s="1"/>
      <c r="AO5" s="1"/>
      <c r="AP5" s="1"/>
    </row>
    <row r="6" spans="1:42" x14ac:dyDescent="0.35">
      <c r="A6" s="63" t="s">
        <v>3</v>
      </c>
      <c r="C6" s="1">
        <f ca="1">-'Cash Flow'!C13</f>
        <v>35753029.113666013</v>
      </c>
      <c r="D6" s="1">
        <f ca="1">-'Cash Flow'!D13</f>
        <v>32417650.041750286</v>
      </c>
      <c r="E6" s="1">
        <f ca="1">-'Cash Flow'!E13</f>
        <v>28897757.702046376</v>
      </c>
      <c r="F6" s="1">
        <f ca="1">-'Cash Flow'!F13</f>
        <v>23870256.424041979</v>
      </c>
      <c r="G6" s="1">
        <f ca="1">-'Cash Flow'!G13</f>
        <v>20576627.144338928</v>
      </c>
      <c r="H6" s="1">
        <f ca="1">-'Cash Flow'!H13</f>
        <v>18674806.680429228</v>
      </c>
      <c r="I6" s="1">
        <f ca="1">-'Cash Flow'!I13</f>
        <v>16209515.7661139</v>
      </c>
      <c r="J6" s="1">
        <f ca="1">-'Cash Flow'!J13</f>
        <v>15976681.181760319</v>
      </c>
      <c r="K6" s="1">
        <f ca="1">-'Cash Flow'!K13</f>
        <v>15571101.610131651</v>
      </c>
      <c r="L6" s="1">
        <f ca="1">-'Cash Flow'!L13</f>
        <v>14971052.612570643</v>
      </c>
      <c r="M6" s="1">
        <f ca="1">-'Cash Flow'!M13</f>
        <v>15303038.435919195</v>
      </c>
      <c r="N6" s="1">
        <f ca="1">-'Cash Flow'!N13</f>
        <v>15565793.664267287</v>
      </c>
      <c r="O6" s="1">
        <f ca="1">-'Cash Flow'!O13</f>
        <v>15749141.953287184</v>
      </c>
      <c r="P6" s="1">
        <f ca="1">-'Cash Flow'!P13</f>
        <v>15841999.047716409</v>
      </c>
      <c r="Q6" s="1">
        <f ca="1">-'Cash Flow'!Q13</f>
        <v>15832306.411243558</v>
      </c>
      <c r="R6" s="1">
        <f ca="1">-'Cash Flow'!R13</f>
        <v>15706960.502040595</v>
      </c>
      <c r="S6" s="1">
        <f ca="1">-'Cash Flow'!S13</f>
        <v>16704053.588920146</v>
      </c>
      <c r="T6" s="1">
        <f ca="1">-'Cash Flow'!T13</f>
        <v>17723047.156655133</v>
      </c>
      <c r="U6" s="1">
        <f ca="1">-'Cash Flow'!U13</f>
        <v>18762197.869339257</v>
      </c>
      <c r="V6" s="1">
        <f ca="1">-'Cash Flow'!V13</f>
        <v>19819508.097200066</v>
      </c>
      <c r="W6" s="1">
        <f ca="1">-'Cash Flow'!W13</f>
        <v>20892705.296348929</v>
      </c>
      <c r="X6" s="1">
        <f ca="1">-'Cash Flow'!X13</f>
        <v>21979220.03050226</v>
      </c>
      <c r="Y6" s="1">
        <f ca="1">-'Cash Flow'!Y13</f>
        <v>23076162.554664433</v>
      </c>
      <c r="Z6" s="1">
        <f ca="1">-'Cash Flow'!Z13</f>
        <v>24180297.876369327</v>
      </c>
      <c r="AA6" s="1">
        <f ca="1">-'Cash Flow'!AA13</f>
        <v>25288019.205448985</v>
      </c>
      <c r="AB6" s="1">
        <f ca="1">-'Cash Flow'!AB13</f>
        <v>26395319.698432997</v>
      </c>
      <c r="AC6" s="1">
        <f ca="1">-'Cash Flow'!AC13</f>
        <v>27497762.398557752</v>
      </c>
      <c r="AD6" s="1">
        <f ca="1">-'Cash Flow'!AD13</f>
        <v>28590448.266977638</v>
      </c>
      <c r="AE6" s="1">
        <f ca="1">-'Cash Flow'!AE13</f>
        <v>29667982.19509995</v>
      </c>
      <c r="AF6" s="1">
        <f ca="1">-'Cash Flow'!AF13</f>
        <v>30724436.88200289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3299768.0916783107</v>
      </c>
      <c r="D8" s="1">
        <f ca="1">IF(SUM(D5:D6)&gt;0,Assumptions!$C$26*SUM(D5:D6),Assumptions!$C$27*(SUM(D5:D6)))</f>
        <v>4434385.8431395711</v>
      </c>
      <c r="E8" s="1">
        <f ca="1">IF(SUM(E5:E6)&gt;0,Assumptions!$C$26*SUM(E5:E6),Assumptions!$C$27*(SUM(E5:E6)))</f>
        <v>5445807.362711194</v>
      </c>
      <c r="F8" s="1">
        <f ca="1">IF(SUM(F5:F6)&gt;0,Assumptions!$C$26*SUM(F5:F6),Assumptions!$C$27*(SUM(F5:F6)))</f>
        <v>6281266.3375526639</v>
      </c>
      <c r="G8" s="1">
        <f ca="1">IF(SUM(G5:G6)&gt;0,Assumptions!$C$26*SUM(G5:G6),Assumptions!$C$27*(SUM(G5:G6)))</f>
        <v>7001448.2876045266</v>
      </c>
      <c r="H8" s="1">
        <f ca="1">IF(SUM(H5:H6)&gt;0,Assumptions!$C$26*SUM(H5:H6),Assumptions!$C$27*(SUM(H5:H6)))</f>
        <v>7655066.5214195494</v>
      </c>
      <c r="I8" s="1">
        <f ca="1">IF(SUM(I5:I6)&gt;0,Assumptions!$C$26*SUM(I5:I6),Assumptions!$C$27*(SUM(I5:I6)))</f>
        <v>8222399.5732335364</v>
      </c>
      <c r="J8" s="1">
        <f ca="1">IF(SUM(J5:J6)&gt;0,Assumptions!$C$26*SUM(J5:J6),Assumptions!$C$27*(SUM(J5:J6)))</f>
        <v>8781583.4145951476</v>
      </c>
      <c r="K8" s="1">
        <f ca="1">IF(SUM(K5:K6)&gt;0,Assumptions!$C$26*SUM(K5:K6),Assumptions!$C$27*(SUM(K5:K6)))</f>
        <v>9326571.9709497541</v>
      </c>
      <c r="L8" s="1">
        <f ca="1">IF(SUM(L5:L6)&gt;0,Assumptions!$C$26*SUM(L5:L6),Assumptions!$C$27*(SUM(L5:L6)))</f>
        <v>9850558.8123897258</v>
      </c>
      <c r="M8" s="1">
        <f ca="1">IF(SUM(M5:M6)&gt;0,Assumptions!$C$26*SUM(M5:M6),Assumptions!$C$27*(SUM(M5:M6)))</f>
        <v>10386165.157646896</v>
      </c>
      <c r="N8" s="1">
        <f ca="1">IF(SUM(N5:N6)&gt;0,Assumptions!$C$26*SUM(N5:N6),Assumptions!$C$27*(SUM(N5:N6)))</f>
        <v>10930967.935896253</v>
      </c>
      <c r="O8" s="1">
        <f ca="1">IF(SUM(O5:O6)&gt;0,Assumptions!$C$26*SUM(O5:O6),Assumptions!$C$27*(SUM(O5:O6)))</f>
        <v>11482187.904261304</v>
      </c>
      <c r="P8" s="1">
        <f ca="1">IF(SUM(P5:P6)&gt;0,Assumptions!$C$26*SUM(P5:P6),Assumptions!$C$27*(SUM(P5:P6)))</f>
        <v>12036657.870931379</v>
      </c>
      <c r="Q8" s="1">
        <f ca="1">IF(SUM(Q5:Q6)&gt;0,Assumptions!$C$26*SUM(Q5:Q6),Assumptions!$C$27*(SUM(Q5:Q6)))</f>
        <v>12590788.595324904</v>
      </c>
      <c r="R8" s="1">
        <f ca="1">IF(SUM(R5:R6)&gt;0,Assumptions!$C$26*SUM(R5:R6),Assumptions!$C$27*(SUM(R5:R6)))</f>
        <v>13140532.212896327</v>
      </c>
      <c r="S8" s="1">
        <f ca="1">IF(SUM(S5:S6)&gt;0,Assumptions!$C$26*SUM(S5:S6),Assumptions!$C$27*(SUM(S5:S6)))</f>
        <v>13725174.08850853</v>
      </c>
      <c r="T8" s="1">
        <f ca="1">IF(SUM(T5:T6)&gt;0,Assumptions!$C$26*SUM(T5:T6),Assumptions!$C$27*(SUM(T5:T6)))</f>
        <v>14345480.73899146</v>
      </c>
      <c r="U8" s="1">
        <f ca="1">IF(SUM(U5:U6)&gt;0,Assumptions!$C$26*SUM(U5:U6),Assumptions!$C$27*(SUM(U5:U6)))</f>
        <v>15002157.664418336</v>
      </c>
      <c r="V8" s="1">
        <f ca="1">IF(SUM(V5:V6)&gt;0,Assumptions!$C$26*SUM(V5:V6),Assumptions!$C$27*(SUM(V5:V6)))</f>
        <v>15695840.447820336</v>
      </c>
      <c r="W8" s="1">
        <f ca="1">IF(SUM(W5:W6)&gt;0,Assumptions!$C$26*SUM(W5:W6),Assumptions!$C$27*(SUM(W5:W6)))</f>
        <v>16427085.133192549</v>
      </c>
      <c r="X8" s="1">
        <f ca="1">IF(SUM(X5:X6)&gt;0,Assumptions!$C$26*SUM(X5:X6),Assumptions!$C$27*(SUM(X5:X6)))</f>
        <v>17196357.834260128</v>
      </c>
      <c r="Y8" s="1">
        <f ca="1">IF(SUM(Y5:Y6)&gt;0,Assumptions!$C$26*SUM(Y5:Y6),Assumptions!$C$27*(SUM(Y5:Y6)))</f>
        <v>18004023.523673385</v>
      </c>
      <c r="Z8" s="1">
        <f ca="1">IF(SUM(Z5:Z6)&gt;0,Assumptions!$C$26*SUM(Z5:Z6),Assumptions!$C$27*(SUM(Z5:Z6)))</f>
        <v>18850333.949346311</v>
      </c>
      <c r="AA8" s="1">
        <f ca="1">IF(SUM(AA5:AA6)&gt;0,Assumptions!$C$26*SUM(AA5:AA6),Assumptions!$C$27*(SUM(AA5:AA6)))</f>
        <v>19735414.621537026</v>
      </c>
      <c r="AB8" s="1">
        <f ca="1">IF(SUM(AB5:AB6)&gt;0,Assumptions!$C$26*SUM(AB5:AB6),Assumptions!$C$27*(SUM(AB5:AB6)))</f>
        <v>20659250.810982183</v>
      </c>
      <c r="AC8" s="1">
        <f ca="1">IF(SUM(AC5:AC6)&gt;0,Assumptions!$C$26*SUM(AC5:AC6),Assumptions!$C$27*(SUM(AC5:AC6)))</f>
        <v>21621672.494931705</v>
      </c>
      <c r="AD8" s="1">
        <f ca="1">IF(SUM(AD5:AD6)&gt;0,Assumptions!$C$26*SUM(AD5:AD6),Assumptions!$C$27*(SUM(AD5:AD6)))</f>
        <v>22622338.184275921</v>
      </c>
      <c r="AE8" s="1">
        <f ca="1">IF(SUM(AE5:AE6)&gt;0,Assumptions!$C$26*SUM(AE5:AE6),Assumptions!$C$27*(SUM(AE5:AE6)))</f>
        <v>23660717.561104421</v>
      </c>
      <c r="AF8" s="1">
        <f ca="1">IF(SUM(AF5:AF6)&gt;0,Assumptions!$C$26*SUM(AF5:AF6),Assumptions!$C$27*(SUM(AF5:AF6)))</f>
        <v>24736072.851974521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3"/>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54" style="63" customWidth="1"/>
    <col min="4" max="16384" width="8.6640625" style="63"/>
  </cols>
  <sheetData>
    <row r="1" spans="1:3" ht="26" x14ac:dyDescent="0.6">
      <c r="A1" s="13" t="s">
        <v>182</v>
      </c>
    </row>
    <row r="2" spans="1:3" ht="26" x14ac:dyDescent="0.6">
      <c r="A2" s="13"/>
    </row>
    <row r="3" spans="1:3" ht="186" x14ac:dyDescent="0.35">
      <c r="A3" s="173" t="s">
        <v>185</v>
      </c>
    </row>
    <row r="4" spans="1:3" ht="26" x14ac:dyDescent="0.6">
      <c r="A4" s="13"/>
    </row>
    <row r="5" spans="1:3" ht="18.5" x14ac:dyDescent="0.45">
      <c r="A5" s="89" t="s">
        <v>174</v>
      </c>
      <c r="B5" s="90"/>
    </row>
    <row r="6" spans="1:3" ht="18.5" x14ac:dyDescent="0.45">
      <c r="A6" s="90"/>
      <c r="B6" s="90"/>
    </row>
    <row r="7" spans="1:3" ht="18.5" x14ac:dyDescent="0.45">
      <c r="A7" s="90" t="s">
        <v>96</v>
      </c>
      <c r="B7" s="182">
        <f>Assumptions!C24</f>
        <v>32375000</v>
      </c>
      <c r="C7" s="181" t="s">
        <v>134</v>
      </c>
    </row>
    <row r="8" spans="1:3" ht="34" x14ac:dyDescent="0.45">
      <c r="A8" s="90" t="s">
        <v>171</v>
      </c>
      <c r="B8" s="183">
        <f>Assumptions!$C$133</f>
        <v>0.7</v>
      </c>
      <c r="C8" s="181" t="s">
        <v>200</v>
      </c>
    </row>
    <row r="9" spans="1:3" ht="18.5" x14ac:dyDescent="0.45">
      <c r="A9" s="90"/>
      <c r="B9" s="184"/>
      <c r="C9" s="181"/>
    </row>
    <row r="10" spans="1:3" ht="68" x14ac:dyDescent="0.45">
      <c r="A10" s="94" t="s">
        <v>102</v>
      </c>
      <c r="B10" s="185">
        <f>Assumptions!C135</f>
        <v>21592.592592592591</v>
      </c>
      <c r="C10" s="181" t="s">
        <v>201</v>
      </c>
    </row>
    <row r="11" spans="1:3" ht="18.5" x14ac:dyDescent="0.45">
      <c r="A11" s="94"/>
      <c r="B11" s="186"/>
      <c r="C11" s="181"/>
    </row>
    <row r="12" spans="1:3" ht="18.5" x14ac:dyDescent="0.45">
      <c r="A12" s="94" t="s">
        <v>181</v>
      </c>
      <c r="B12" s="182">
        <f>(B7*B8)/B10</f>
        <v>1049.5497427101202</v>
      </c>
      <c r="C12" s="181"/>
    </row>
    <row r="13" spans="1:3" ht="18.5" x14ac:dyDescent="0.45">
      <c r="A13" s="96"/>
      <c r="B13" s="187"/>
      <c r="C13" s="181"/>
    </row>
    <row r="14" spans="1:3" ht="18.5" x14ac:dyDescent="0.45">
      <c r="A14" s="94" t="s">
        <v>103</v>
      </c>
      <c r="B14" s="103">
        <v>1</v>
      </c>
      <c r="C14" s="181"/>
    </row>
    <row r="15" spans="1:3" ht="18.5" x14ac:dyDescent="0.45">
      <c r="A15" s="96"/>
      <c r="B15" s="99"/>
      <c r="C15" s="181"/>
    </row>
    <row r="16" spans="1:3" ht="18.5" x14ac:dyDescent="0.45">
      <c r="A16" s="96" t="s">
        <v>176</v>
      </c>
      <c r="B16" s="188">
        <f>B12/B14</f>
        <v>1049.5497427101202</v>
      </c>
      <c r="C16" s="181"/>
    </row>
    <row r="17" spans="1:3" ht="18.5" x14ac:dyDescent="0.45">
      <c r="A17" s="94"/>
      <c r="B17" s="189"/>
      <c r="C17" s="181"/>
    </row>
    <row r="18" spans="1:3" ht="18.5" x14ac:dyDescent="0.45">
      <c r="A18" s="102" t="s">
        <v>175</v>
      </c>
      <c r="B18" s="189"/>
      <c r="C18" s="181"/>
    </row>
    <row r="19" spans="1:3" ht="18.5" x14ac:dyDescent="0.45">
      <c r="A19" s="94"/>
      <c r="B19" s="189"/>
      <c r="C19" s="181"/>
    </row>
    <row r="20" spans="1:3" ht="34" x14ac:dyDescent="0.45">
      <c r="A20" s="94" t="s">
        <v>65</v>
      </c>
      <c r="B20" s="182">
        <f>'Profit and Loss'!L5</f>
        <v>108598903.96205328</v>
      </c>
      <c r="C20" s="181" t="s">
        <v>202</v>
      </c>
    </row>
    <row r="21" spans="1:3" ht="34" x14ac:dyDescent="0.45">
      <c r="A21" s="94" t="str">
        <f>A8</f>
        <v>Assumed revenue from households</v>
      </c>
      <c r="B21" s="183">
        <f>B8</f>
        <v>0.7</v>
      </c>
      <c r="C21" s="181" t="s">
        <v>200</v>
      </c>
    </row>
    <row r="22" spans="1:3" ht="18.5" x14ac:dyDescent="0.45">
      <c r="A22" s="94"/>
      <c r="B22" s="186"/>
      <c r="C22" s="181"/>
    </row>
    <row r="23" spans="1:3" ht="34" x14ac:dyDescent="0.45">
      <c r="A23" s="94" t="s">
        <v>101</v>
      </c>
      <c r="B23" s="185">
        <f>Assumptions!M135</f>
        <v>26854.846760507146</v>
      </c>
      <c r="C23" s="181" t="s">
        <v>203</v>
      </c>
    </row>
    <row r="24" spans="1:3" ht="18.5" x14ac:dyDescent="0.45">
      <c r="A24" s="94"/>
      <c r="B24" s="186"/>
      <c r="C24" s="181"/>
    </row>
    <row r="25" spans="1:3" ht="18.5" x14ac:dyDescent="0.45">
      <c r="A25" s="94" t="s">
        <v>180</v>
      </c>
      <c r="B25" s="182">
        <f>(B20*B21)/B23</f>
        <v>2830.7453567462358</v>
      </c>
      <c r="C25" s="181"/>
    </row>
    <row r="26" spans="1:3" ht="18.5" x14ac:dyDescent="0.45">
      <c r="A26" s="94"/>
      <c r="B26" s="182"/>
      <c r="C26" s="181"/>
    </row>
    <row r="27" spans="1:3" ht="34" x14ac:dyDescent="0.45">
      <c r="A27" s="94" t="s">
        <v>103</v>
      </c>
      <c r="B27" s="103">
        <f>1.022^11</f>
        <v>1.2704566586717592</v>
      </c>
      <c r="C27" s="181" t="s">
        <v>204</v>
      </c>
    </row>
    <row r="28" spans="1:3" ht="18.5" x14ac:dyDescent="0.45">
      <c r="A28" s="96"/>
      <c r="B28" s="187"/>
      <c r="C28" s="181"/>
    </row>
    <row r="29" spans="1:3" ht="18.5" x14ac:dyDescent="0.45">
      <c r="A29" s="96" t="s">
        <v>177</v>
      </c>
      <c r="B29" s="182">
        <f>B25/B27</f>
        <v>2228.1321739111759</v>
      </c>
      <c r="C29" s="181"/>
    </row>
    <row r="30" spans="1:3" ht="18.5" x14ac:dyDescent="0.45">
      <c r="A30" s="96"/>
      <c r="B30" s="187"/>
      <c r="C30" s="181"/>
    </row>
    <row r="31" spans="1:3" ht="18.5" x14ac:dyDescent="0.45">
      <c r="A31" s="102" t="s">
        <v>183</v>
      </c>
      <c r="B31" s="190"/>
      <c r="C31" s="181"/>
    </row>
    <row r="32" spans="1:3" ht="18.5" x14ac:dyDescent="0.45">
      <c r="A32" s="94"/>
      <c r="B32" s="182"/>
      <c r="C32" s="181"/>
    </row>
    <row r="33" spans="1:3" ht="34" x14ac:dyDescent="0.45">
      <c r="A33" s="94" t="s">
        <v>66</v>
      </c>
      <c r="B33" s="182">
        <f>'Profit and Loss'!AF5</f>
        <v>272017664.45503753</v>
      </c>
      <c r="C33" s="181" t="s">
        <v>202</v>
      </c>
    </row>
    <row r="34" spans="1:3" ht="34" x14ac:dyDescent="0.45">
      <c r="A34" s="94" t="str">
        <f>A21</f>
        <v>Assumed revenue from households</v>
      </c>
      <c r="B34" s="183">
        <f>B21</f>
        <v>0.7</v>
      </c>
      <c r="C34" s="181" t="s">
        <v>200</v>
      </c>
    </row>
    <row r="35" spans="1:3" ht="18.5" x14ac:dyDescent="0.45">
      <c r="A35" s="94"/>
      <c r="B35" s="186"/>
      <c r="C35" s="181"/>
    </row>
    <row r="36" spans="1:3" ht="34" x14ac:dyDescent="0.45">
      <c r="A36" s="94" t="s">
        <v>100</v>
      </c>
      <c r="B36" s="185">
        <f>Assumptions!AG135</f>
        <v>41539.231198913811</v>
      </c>
      <c r="C36" s="181" t="s">
        <v>203</v>
      </c>
    </row>
    <row r="37" spans="1:3" ht="18.5" x14ac:dyDescent="0.45">
      <c r="A37" s="94"/>
      <c r="B37" s="186"/>
      <c r="C37" s="181"/>
    </row>
    <row r="38" spans="1:3" ht="18.5" x14ac:dyDescent="0.45">
      <c r="A38" s="94" t="s">
        <v>179</v>
      </c>
      <c r="B38" s="182">
        <f>(B33*B34)/B36</f>
        <v>4583.9164477243685</v>
      </c>
      <c r="C38" s="181"/>
    </row>
    <row r="39" spans="1:3" ht="18.5" x14ac:dyDescent="0.45">
      <c r="A39" s="94"/>
      <c r="B39" s="186"/>
      <c r="C39" s="181"/>
    </row>
    <row r="40" spans="1:3" ht="34" x14ac:dyDescent="0.45">
      <c r="A40" s="94" t="s">
        <v>103</v>
      </c>
      <c r="B40" s="103">
        <f>1.022^31</f>
        <v>1.9632597808456462</v>
      </c>
      <c r="C40" s="181" t="s">
        <v>204</v>
      </c>
    </row>
    <row r="41" spans="1:3" ht="18.5" x14ac:dyDescent="0.45">
      <c r="A41" s="96"/>
      <c r="B41" s="187"/>
    </row>
    <row r="42" spans="1:3" ht="18.5" x14ac:dyDescent="0.45">
      <c r="A42" s="96" t="s">
        <v>178</v>
      </c>
      <c r="B42" s="182">
        <f>B38/B40</f>
        <v>2334.8496681116299</v>
      </c>
    </row>
    <row r="43" spans="1:3" x14ac:dyDescent="0.35">
      <c r="B43"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158</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192</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135</v>
      </c>
      <c r="C13" s="127">
        <v>2.2049167456336782E-2</v>
      </c>
      <c r="D13" s="128">
        <f t="shared" ref="D13:AG13" si="3">(1+$C$13)^D8</f>
        <v>1.0220491674563368</v>
      </c>
      <c r="E13" s="128">
        <f t="shared" si="3"/>
        <v>1.0445845006981911</v>
      </c>
      <c r="F13" s="128">
        <f t="shared" si="3"/>
        <v>1.0676167192763795</v>
      </c>
      <c r="G13" s="128">
        <f t="shared" si="3"/>
        <v>1.0911567790988892</v>
      </c>
      <c r="H13" s="128">
        <f t="shared" si="3"/>
        <v>1.1152158776423577</v>
      </c>
      <c r="I13" s="128">
        <f t="shared" si="3"/>
        <v>1.1398054592784597</v>
      </c>
      <c r="J13" s="128">
        <f t="shared" si="3"/>
        <v>1.1649372207177371</v>
      </c>
      <c r="K13" s="128">
        <f t="shared" si="3"/>
        <v>1.190623116573462</v>
      </c>
      <c r="L13" s="128">
        <f t="shared" si="3"/>
        <v>1.2168753650481758</v>
      </c>
      <c r="M13" s="128">
        <f t="shared" si="3"/>
        <v>1.2437064537456139</v>
      </c>
      <c r="N13" s="128">
        <f t="shared" si="3"/>
        <v>1.2711291456107778</v>
      </c>
      <c r="O13" s="128">
        <f t="shared" si="3"/>
        <v>1.29915648500098</v>
      </c>
      <c r="P13" s="128">
        <f t="shared" si="3"/>
        <v>1.3278018038907526</v>
      </c>
      <c r="Q13" s="128">
        <f t="shared" si="3"/>
        <v>1.3570787282135659</v>
      </c>
      <c r="R13" s="128">
        <f t="shared" si="3"/>
        <v>1.3870011843433792</v>
      </c>
      <c r="S13" s="128">
        <f t="shared" si="3"/>
        <v>1.4175834057191037</v>
      </c>
      <c r="T13" s="128">
        <f t="shared" si="3"/>
        <v>1.4488399396151284</v>
      </c>
      <c r="U13" s="128">
        <f t="shared" si="3"/>
        <v>1.4807856540611311</v>
      </c>
      <c r="V13" s="128">
        <f t="shared" si="3"/>
        <v>1.5134357449144662</v>
      </c>
      <c r="W13" s="128">
        <f t="shared" si="3"/>
        <v>1.5468057430884909</v>
      </c>
      <c r="X13" s="128">
        <f t="shared" si="3"/>
        <v>1.5809115219402727</v>
      </c>
      <c r="Y13" s="128">
        <f t="shared" si="3"/>
        <v>1.6157693048211861</v>
      </c>
      <c r="Z13" s="128">
        <f t="shared" si="3"/>
        <v>1.6513956727939969</v>
      </c>
      <c r="AA13" s="128">
        <f t="shared" si="3"/>
        <v>1.6878075725201016</v>
      </c>
      <c r="AB13" s="128">
        <f t="shared" si="3"/>
        <v>1.7250223243206706</v>
      </c>
      <c r="AC13" s="128">
        <f t="shared" si="3"/>
        <v>1.7630576304155363</v>
      </c>
      <c r="AD13" s="128">
        <f t="shared" si="3"/>
        <v>1.8019315833437408</v>
      </c>
      <c r="AE13" s="128">
        <f t="shared" si="3"/>
        <v>1.8416626745697489</v>
      </c>
      <c r="AF13" s="128">
        <f t="shared" si="3"/>
        <v>1.8822698032794225</v>
      </c>
      <c r="AG13" s="128">
        <f t="shared" si="3"/>
        <v>1.9237722853699366</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189</v>
      </c>
      <c r="B15" s="178" t="s">
        <v>190</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167</v>
      </c>
      <c r="C17" s="136">
        <f>AVERAGE(C49:C50)</f>
        <v>1907288133.3594952</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953644066.67974758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ht="46.5" x14ac:dyDescent="0.35">
      <c r="A20" s="77" t="s">
        <v>64</v>
      </c>
      <c r="B20" s="106" t="s">
        <v>195</v>
      </c>
      <c r="C20" s="137">
        <v>58526059.219999999</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156</v>
      </c>
      <c r="B22" s="178" t="s">
        <v>190</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134</v>
      </c>
      <c r="C24" s="136">
        <v>32375000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77.5" x14ac:dyDescent="0.35">
      <c r="A25" s="77" t="s">
        <v>1</v>
      </c>
      <c r="B25" s="180" t="s">
        <v>196</v>
      </c>
      <c r="C25" s="136">
        <v>14260504.656663088</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157</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ht="46.5" x14ac:dyDescent="0.35">
      <c r="A49" s="69" t="s">
        <v>106</v>
      </c>
      <c r="B49" s="180" t="s">
        <v>198</v>
      </c>
      <c r="C49" s="71">
        <v>906579696.40962005</v>
      </c>
      <c r="D49" s="140" t="s">
        <v>197</v>
      </c>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ht="77.5" x14ac:dyDescent="0.35">
      <c r="A50" s="69" t="s">
        <v>107</v>
      </c>
      <c r="B50" s="180" t="s">
        <v>199</v>
      </c>
      <c r="C50" s="71">
        <v>2907996570.3093705</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168</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168</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2677622.9412728823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12147178.115330569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7412400.5283017261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7298452.7376719564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31150453.239427883</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19224452.988549918</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31371631.103880487</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138</v>
      </c>
      <c r="B77" s="179" t="s">
        <v>173</v>
      </c>
      <c r="C77" s="87">
        <v>369072826.1359551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139</v>
      </c>
      <c r="B79" s="69" t="s">
        <v>152</v>
      </c>
      <c r="C79" s="87">
        <v>111288795.23817074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140</v>
      </c>
      <c r="B80" s="69" t="s">
        <v>152</v>
      </c>
      <c r="C80" s="87">
        <v>560343810.3872304</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141</v>
      </c>
      <c r="B82" s="69" t="s">
        <v>86</v>
      </c>
      <c r="C82" s="87">
        <f>C79+$C$77</f>
        <v>480361621.37412584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142</v>
      </c>
      <c r="B83" s="69" t="s">
        <v>86</v>
      </c>
      <c r="C83" s="87">
        <f>C80+$C$77</f>
        <v>929416636.52318549</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147</v>
      </c>
      <c r="B85" s="69" t="s">
        <v>193</v>
      </c>
      <c r="C85" s="150">
        <v>58300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148</v>
      </c>
      <c r="B86" s="69" t="s">
        <v>133</v>
      </c>
      <c r="C86" s="150">
        <v>58300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58300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143</v>
      </c>
      <c r="B89" s="69" t="s">
        <v>86</v>
      </c>
      <c r="C89" s="150">
        <f>C82/$C$87</f>
        <v>8239.4789257997563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143</v>
      </c>
      <c r="B90" s="69" t="s">
        <v>86</v>
      </c>
      <c r="C90" s="150">
        <f>C83/$C$87</f>
        <v>15941.966321152409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144</v>
      </c>
      <c r="B92" s="69" t="s">
        <v>151</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145</v>
      </c>
      <c r="B94" s="69" t="s">
        <v>86</v>
      </c>
      <c r="C94" s="87">
        <f>IF(C89&lt;$C$92,C89*$C$87,$C$92*$C$87)</f>
        <v>480361621.37412578</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146</v>
      </c>
      <c r="B95" s="69" t="s">
        <v>86</v>
      </c>
      <c r="C95" s="87">
        <f>IF(C90&lt;$C$92,C90*$C$87,$C$92*$C$87)</f>
        <v>929416636.52318549</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150</v>
      </c>
      <c r="B96" s="69" t="s">
        <v>86</v>
      </c>
      <c r="C96" s="87">
        <f>AVERAGE(C94:C95)</f>
        <v>704889128.94865561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704889128.94865561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23496304.29828852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166</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166</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31371631.103880487</v>
      </c>
      <c r="E111" s="149">
        <f t="shared" si="9"/>
        <v>31371631.103880487</v>
      </c>
      <c r="F111" s="149">
        <f t="shared" si="9"/>
        <v>31371631.103880487</v>
      </c>
      <c r="G111" s="149">
        <f t="shared" si="9"/>
        <v>31371631.103880487</v>
      </c>
      <c r="H111" s="149">
        <f t="shared" si="9"/>
        <v>31371631.103880487</v>
      </c>
      <c r="I111" s="149">
        <f t="shared" si="9"/>
        <v>31371631.103880487</v>
      </c>
      <c r="J111" s="149">
        <f t="shared" si="9"/>
        <v>31371631.103880487</v>
      </c>
      <c r="K111" s="149">
        <f t="shared" si="9"/>
        <v>31371631.103880487</v>
      </c>
      <c r="L111" s="149">
        <f t="shared" si="9"/>
        <v>31371631.103880487</v>
      </c>
      <c r="M111" s="149">
        <f t="shared" si="9"/>
        <v>31371631.103880487</v>
      </c>
      <c r="N111" s="149">
        <f t="shared" si="9"/>
        <v>31371631.103880487</v>
      </c>
      <c r="O111" s="149">
        <f t="shared" si="9"/>
        <v>31371631.103880487</v>
      </c>
      <c r="P111" s="149">
        <f t="shared" si="9"/>
        <v>31371631.103880487</v>
      </c>
      <c r="Q111" s="149">
        <f t="shared" si="9"/>
        <v>31371631.103880487</v>
      </c>
      <c r="R111" s="149">
        <f t="shared" si="9"/>
        <v>31371631.103880487</v>
      </c>
      <c r="S111" s="149">
        <f t="shared" si="9"/>
        <v>31371631.103880487</v>
      </c>
      <c r="T111" s="149">
        <f t="shared" si="9"/>
        <v>31371631.103880487</v>
      </c>
      <c r="U111" s="149">
        <f t="shared" si="9"/>
        <v>31371631.103880487</v>
      </c>
      <c r="V111" s="149">
        <f t="shared" si="9"/>
        <v>31371631.103880487</v>
      </c>
      <c r="W111" s="149">
        <f t="shared" si="9"/>
        <v>31371631.103880487</v>
      </c>
      <c r="X111" s="149">
        <f t="shared" si="9"/>
        <v>31371631.103880487</v>
      </c>
      <c r="Y111" s="149">
        <f t="shared" si="9"/>
        <v>31371631.103880487</v>
      </c>
      <c r="Z111" s="149">
        <f t="shared" si="9"/>
        <v>31371631.103880487</v>
      </c>
      <c r="AA111" s="149">
        <f t="shared" si="9"/>
        <v>31371631.103880487</v>
      </c>
      <c r="AB111" s="149">
        <f t="shared" si="9"/>
        <v>31371631.103880487</v>
      </c>
      <c r="AC111" s="149">
        <f t="shared" si="9"/>
        <v>31371631.103880487</v>
      </c>
      <c r="AD111" s="149">
        <f t="shared" si="9"/>
        <v>31371631.103880487</v>
      </c>
      <c r="AE111" s="149">
        <f t="shared" si="9"/>
        <v>31371631.103880487</v>
      </c>
      <c r="AF111" s="149">
        <f t="shared" si="9"/>
        <v>31371631.103880487</v>
      </c>
      <c r="AG111" s="149">
        <f t="shared" si="9"/>
        <v>31371631.103880487</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704889128.94865525</v>
      </c>
      <c r="D113" s="149">
        <f t="shared" ref="D113:AG113" si="10">$C$102</f>
        <v>23496304.29828852</v>
      </c>
      <c r="E113" s="149">
        <f t="shared" si="10"/>
        <v>23496304.29828852</v>
      </c>
      <c r="F113" s="149">
        <f t="shared" si="10"/>
        <v>23496304.29828852</v>
      </c>
      <c r="G113" s="149">
        <f t="shared" si="10"/>
        <v>23496304.29828852</v>
      </c>
      <c r="H113" s="149">
        <f t="shared" si="10"/>
        <v>23496304.29828852</v>
      </c>
      <c r="I113" s="149">
        <f t="shared" si="10"/>
        <v>23496304.29828852</v>
      </c>
      <c r="J113" s="149">
        <f t="shared" si="10"/>
        <v>23496304.29828852</v>
      </c>
      <c r="K113" s="149">
        <f t="shared" si="10"/>
        <v>23496304.29828852</v>
      </c>
      <c r="L113" s="149">
        <f t="shared" si="10"/>
        <v>23496304.29828852</v>
      </c>
      <c r="M113" s="149">
        <f t="shared" si="10"/>
        <v>23496304.29828852</v>
      </c>
      <c r="N113" s="149">
        <f t="shared" si="10"/>
        <v>23496304.29828852</v>
      </c>
      <c r="O113" s="149">
        <f t="shared" si="10"/>
        <v>23496304.29828852</v>
      </c>
      <c r="P113" s="149">
        <f t="shared" si="10"/>
        <v>23496304.29828852</v>
      </c>
      <c r="Q113" s="149">
        <f t="shared" si="10"/>
        <v>23496304.29828852</v>
      </c>
      <c r="R113" s="149">
        <f t="shared" si="10"/>
        <v>23496304.29828852</v>
      </c>
      <c r="S113" s="149">
        <f t="shared" si="10"/>
        <v>23496304.29828852</v>
      </c>
      <c r="T113" s="149">
        <f t="shared" si="10"/>
        <v>23496304.29828852</v>
      </c>
      <c r="U113" s="149">
        <f t="shared" si="10"/>
        <v>23496304.29828852</v>
      </c>
      <c r="V113" s="149">
        <f t="shared" si="10"/>
        <v>23496304.29828852</v>
      </c>
      <c r="W113" s="149">
        <f t="shared" si="10"/>
        <v>23496304.29828852</v>
      </c>
      <c r="X113" s="149">
        <f t="shared" si="10"/>
        <v>23496304.29828852</v>
      </c>
      <c r="Y113" s="149">
        <f t="shared" si="10"/>
        <v>23496304.29828852</v>
      </c>
      <c r="Z113" s="149">
        <f t="shared" si="10"/>
        <v>23496304.29828852</v>
      </c>
      <c r="AA113" s="149">
        <f t="shared" si="10"/>
        <v>23496304.29828852</v>
      </c>
      <c r="AB113" s="149">
        <f t="shared" si="10"/>
        <v>23496304.29828852</v>
      </c>
      <c r="AC113" s="149">
        <f t="shared" si="10"/>
        <v>23496304.29828852</v>
      </c>
      <c r="AD113" s="149">
        <f t="shared" si="10"/>
        <v>23496304.29828852</v>
      </c>
      <c r="AE113" s="149">
        <f t="shared" si="10"/>
        <v>23496304.29828852</v>
      </c>
      <c r="AF113" s="149">
        <f t="shared" si="10"/>
        <v>23496304.29828852</v>
      </c>
      <c r="AG113" s="149">
        <f t="shared" si="10"/>
        <v>23496304.29828852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23496304.29828852</v>
      </c>
      <c r="E118" s="149">
        <f t="shared" ref="E118:AG118" si="13">E113+E115+E116</f>
        <v>23496304.29828852</v>
      </c>
      <c r="F118" s="149">
        <f>F113+F115+F116</f>
        <v>23496304.29828852</v>
      </c>
      <c r="G118" s="149">
        <f t="shared" si="13"/>
        <v>23496304.29828852</v>
      </c>
      <c r="H118" s="149">
        <f t="shared" si="13"/>
        <v>23496304.29828852</v>
      </c>
      <c r="I118" s="149">
        <f t="shared" si="13"/>
        <v>23496304.29828852</v>
      </c>
      <c r="J118" s="149">
        <f t="shared" si="13"/>
        <v>23496304.29828852</v>
      </c>
      <c r="K118" s="149">
        <f t="shared" si="13"/>
        <v>23496304.29828852</v>
      </c>
      <c r="L118" s="149">
        <f t="shared" si="13"/>
        <v>23496304.29828852</v>
      </c>
      <c r="M118" s="149">
        <f t="shared" si="13"/>
        <v>23496304.29828852</v>
      </c>
      <c r="N118" s="149">
        <f t="shared" si="13"/>
        <v>23496304.29828852</v>
      </c>
      <c r="O118" s="149">
        <f t="shared" si="13"/>
        <v>23496304.29828852</v>
      </c>
      <c r="P118" s="149">
        <f t="shared" si="13"/>
        <v>23496304.29828852</v>
      </c>
      <c r="Q118" s="149">
        <f t="shared" si="13"/>
        <v>23496304.29828852</v>
      </c>
      <c r="R118" s="149">
        <f t="shared" si="13"/>
        <v>23496304.29828852</v>
      </c>
      <c r="S118" s="149">
        <f t="shared" si="13"/>
        <v>23496304.29828852</v>
      </c>
      <c r="T118" s="149">
        <f t="shared" si="13"/>
        <v>23496304.29828852</v>
      </c>
      <c r="U118" s="149">
        <f t="shared" si="13"/>
        <v>23496304.29828852</v>
      </c>
      <c r="V118" s="149">
        <f t="shared" si="13"/>
        <v>23496304.29828852</v>
      </c>
      <c r="W118" s="149">
        <f t="shared" si="13"/>
        <v>23496304.29828852</v>
      </c>
      <c r="X118" s="149">
        <f t="shared" si="13"/>
        <v>23496304.29828852</v>
      </c>
      <c r="Y118" s="149">
        <f t="shared" si="13"/>
        <v>23496304.29828852</v>
      </c>
      <c r="Z118" s="149">
        <f t="shared" si="13"/>
        <v>23496304.29828852</v>
      </c>
      <c r="AA118" s="149">
        <f t="shared" si="13"/>
        <v>23496304.29828852</v>
      </c>
      <c r="AB118" s="149">
        <f t="shared" si="13"/>
        <v>23496304.29828852</v>
      </c>
      <c r="AC118" s="149">
        <f t="shared" si="13"/>
        <v>23496304.29828852</v>
      </c>
      <c r="AD118" s="149">
        <f t="shared" si="13"/>
        <v>23496304.29828852</v>
      </c>
      <c r="AE118" s="149">
        <f t="shared" si="13"/>
        <v>23496304.29828852</v>
      </c>
      <c r="AF118" s="149">
        <f t="shared" si="13"/>
        <v>23496304.29828852</v>
      </c>
      <c r="AG118" s="149">
        <f t="shared" si="13"/>
        <v>23496304.29828852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563911.30315892445</v>
      </c>
      <c r="E120" s="149">
        <f>(SUM($D$118:E118)*$C$104/$C$106)+(SUM($D$118:E118)*$C$105/$C$107)</f>
        <v>1127822.6063178489</v>
      </c>
      <c r="F120" s="149">
        <f>(SUM($D$118:F118)*$C$104/$C$106)+(SUM($D$118:F118)*$C$105/$C$107)</f>
        <v>1691733.9094767733</v>
      </c>
      <c r="G120" s="149">
        <f>(SUM($D$118:G118)*$C$104/$C$106)+(SUM($D$118:G118)*$C$105/$C$107)</f>
        <v>2255645.2126356978</v>
      </c>
      <c r="H120" s="149">
        <f>(SUM($D$118:H118)*$C$104/$C$106)+(SUM($D$118:H118)*$C$105/$C$107)</f>
        <v>2819556.5157946222</v>
      </c>
      <c r="I120" s="149">
        <f>(SUM($D$118:I118)*$C$104/$C$106)+(SUM($D$118:I118)*$C$105/$C$107)</f>
        <v>3383467.8189535467</v>
      </c>
      <c r="J120" s="149">
        <f>(SUM($D$118:J118)*$C$104/$C$106)+(SUM($D$118:J118)*$C$105/$C$107)</f>
        <v>3947379.1221124716</v>
      </c>
      <c r="K120" s="149">
        <f>(SUM($D$118:K118)*$C$104/$C$106)+(SUM($D$118:K118)*$C$105/$C$107)</f>
        <v>4511290.4252713956</v>
      </c>
      <c r="L120" s="149">
        <f>(SUM($D$118:L118)*$C$104/$C$106)+(SUM($D$118:L118)*$C$105/$C$107)</f>
        <v>5075201.7284303205</v>
      </c>
      <c r="M120" s="149">
        <f>(SUM($D$118:M118)*$C$104/$C$106)+(SUM($D$118:M118)*$C$105/$C$107)</f>
        <v>5639113.0315892445</v>
      </c>
      <c r="N120" s="149">
        <f>(SUM($D$118:N118)*$C$104/$C$106)+(SUM($D$118:N118)*$C$105/$C$107)</f>
        <v>6203024.3347481694</v>
      </c>
      <c r="O120" s="149">
        <f>(SUM($D$118:O118)*$C$104/$C$106)+(SUM($D$118:O118)*$C$105/$C$107)</f>
        <v>6766935.6379070934</v>
      </c>
      <c r="P120" s="149">
        <f>(SUM($D$118:P118)*$C$104/$C$106)+(SUM($D$118:P118)*$C$105/$C$107)</f>
        <v>7330846.9410660192</v>
      </c>
      <c r="Q120" s="149">
        <f>(SUM($D$118:Q118)*$C$104/$C$106)+(SUM($D$118:Q118)*$C$105/$C$107)</f>
        <v>7894758.2442249432</v>
      </c>
      <c r="R120" s="149">
        <f>(SUM($D$118:R118)*$C$104/$C$106)+(SUM($D$118:R118)*$C$105/$C$107)</f>
        <v>8458669.5473838672</v>
      </c>
      <c r="S120" s="149">
        <f>(SUM($D$118:S118)*$C$104/$C$106)+(SUM($D$118:S118)*$C$105/$C$107)</f>
        <v>9022580.8505427912</v>
      </c>
      <c r="T120" s="149">
        <f>(SUM($D$118:T118)*$C$104/$C$106)+(SUM($D$118:T118)*$C$105/$C$107)</f>
        <v>9586492.153701717</v>
      </c>
      <c r="U120" s="149">
        <f>(SUM($D$118:U118)*$C$104/$C$106)+(SUM($D$118:U118)*$C$105/$C$107)</f>
        <v>10150403.456860641</v>
      </c>
      <c r="V120" s="149">
        <f>(SUM($D$118:V118)*$C$104/$C$106)+(SUM($D$118:V118)*$C$105/$C$107)</f>
        <v>10714314.760019565</v>
      </c>
      <c r="W120" s="149">
        <f>(SUM($D$118:W118)*$C$104/$C$106)+(SUM($D$118:W118)*$C$105/$C$107)</f>
        <v>11278226.063178489</v>
      </c>
      <c r="X120" s="149">
        <f>(SUM($D$118:X118)*$C$104/$C$106)+(SUM($D$118:X118)*$C$105/$C$107)</f>
        <v>11842137.366337415</v>
      </c>
      <c r="Y120" s="149">
        <f>(SUM($D$118:Y118)*$C$104/$C$106)+(SUM($D$118:Y118)*$C$105/$C$107)</f>
        <v>12406048.669496339</v>
      </c>
      <c r="Z120" s="149">
        <f>(SUM($D$118:Z118)*$C$104/$C$106)+(SUM($D$118:Z118)*$C$105/$C$107)</f>
        <v>12969959.972655263</v>
      </c>
      <c r="AA120" s="149">
        <f>(SUM($D$118:AA118)*$C$104/$C$106)+(SUM($D$118:AA118)*$C$105/$C$107)</f>
        <v>13533871.275814187</v>
      </c>
      <c r="AB120" s="149">
        <f>(SUM($D$118:AB118)*$C$104/$C$106)+(SUM($D$118:AB118)*$C$105/$C$107)</f>
        <v>14097782.578973111</v>
      </c>
      <c r="AC120" s="149">
        <f>(SUM($D$118:AC118)*$C$104/$C$106)+(SUM($D$118:AC118)*$C$105/$C$107)</f>
        <v>14661693.882132031</v>
      </c>
      <c r="AD120" s="149">
        <f>(SUM($D$118:AD118)*$C$104/$C$106)+(SUM($D$118:AD118)*$C$105/$C$107)</f>
        <v>15225605.185290957</v>
      </c>
      <c r="AE120" s="149">
        <f>(SUM($D$118:AE118)*$C$104/$C$106)+(SUM($D$118:AE118)*$C$105/$C$107)</f>
        <v>15789516.488449879</v>
      </c>
      <c r="AF120" s="149">
        <f>(SUM($D$118:AF118)*$C$104/$C$106)+(SUM($D$118:AF118)*$C$105/$C$107)</f>
        <v>16353427.791608803</v>
      </c>
      <c r="AG120" s="149">
        <f>(SUM($D$118:AG118)*$C$104/$C$106)+(SUM($D$118:AG118)*$C$105/$C$107)</f>
        <v>16917339.094767727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704889.12894865556</v>
      </c>
      <c r="E122" s="72">
        <f>(SUM($D$118:E118)*$C$109)</f>
        <v>1409778.2578973111</v>
      </c>
      <c r="F122" s="72">
        <f>(SUM($D$118:F118)*$C$109)</f>
        <v>2114667.3868459668</v>
      </c>
      <c r="G122" s="72">
        <f>(SUM($D$118:G118)*$C$109)</f>
        <v>2819556.5157946222</v>
      </c>
      <c r="H122" s="72">
        <f>(SUM($D$118:H118)*$C$109)</f>
        <v>3524445.6447432782</v>
      </c>
      <c r="I122" s="72">
        <f>(SUM($D$118:I118)*$C$109)</f>
        <v>4229334.7736919336</v>
      </c>
      <c r="J122" s="72">
        <f>(SUM($D$118:J118)*$C$109)</f>
        <v>4934223.9026405886</v>
      </c>
      <c r="K122" s="72">
        <f>(SUM($D$118:K118)*$C$109)</f>
        <v>5639113.0315892445</v>
      </c>
      <c r="L122" s="72">
        <f>(SUM($D$118:L118)*$C$109)</f>
        <v>6344002.1605379004</v>
      </c>
      <c r="M122" s="72">
        <f>(SUM($D$118:M118)*$C$109)</f>
        <v>7048891.2894865563</v>
      </c>
      <c r="N122" s="72">
        <f>(SUM($D$118:N118)*$C$109)</f>
        <v>7753780.4184352122</v>
      </c>
      <c r="O122" s="72">
        <f>(SUM($D$118:O118)*$C$109)</f>
        <v>8458669.5473838672</v>
      </c>
      <c r="P122" s="72">
        <f>(SUM($D$118:P118)*$C$109)</f>
        <v>9163558.6763325222</v>
      </c>
      <c r="Q122" s="72">
        <f>(SUM($D$118:Q118)*$C$109)</f>
        <v>9868447.8052811772</v>
      </c>
      <c r="R122" s="72">
        <f>(SUM($D$118:R118)*$C$109)</f>
        <v>10573336.934229834</v>
      </c>
      <c r="S122" s="72">
        <f>(SUM($D$118:S118)*$C$109)</f>
        <v>11278226.063178489</v>
      </c>
      <c r="T122" s="72">
        <f>(SUM($D$118:T118)*$C$109)</f>
        <v>11983115.192127146</v>
      </c>
      <c r="U122" s="72">
        <f>(SUM($D$118:U118)*$C$109)</f>
        <v>12688004.321075801</v>
      </c>
      <c r="V122" s="72">
        <f>(SUM($D$118:V118)*$C$109)</f>
        <v>13392893.450024456</v>
      </c>
      <c r="W122" s="72">
        <f>(SUM($D$118:W118)*$C$109)</f>
        <v>14097782.578973113</v>
      </c>
      <c r="X122" s="72">
        <f>(SUM($D$118:X118)*$C$109)</f>
        <v>14802671.707921768</v>
      </c>
      <c r="Y122" s="72">
        <f>(SUM($D$118:Y118)*$C$109)</f>
        <v>15507560.836870424</v>
      </c>
      <c r="Z122" s="72">
        <f>(SUM($D$118:Z118)*$C$109)</f>
        <v>16212449.965819079</v>
      </c>
      <c r="AA122" s="72">
        <f>(SUM($D$118:AA118)*$C$109)</f>
        <v>16917339.094767734</v>
      </c>
      <c r="AB122" s="72">
        <f>(SUM($D$118:AB118)*$C$109)</f>
        <v>17622228.223716386</v>
      </c>
      <c r="AC122" s="72">
        <f>(SUM($D$118:AC118)*$C$109)</f>
        <v>18327117.352665041</v>
      </c>
      <c r="AD122" s="72">
        <f>(SUM($D$118:AD118)*$C$109)</f>
        <v>19032006.481613696</v>
      </c>
      <c r="AE122" s="72">
        <f>(SUM($D$118:AE118)*$C$109)</f>
        <v>19736895.610562351</v>
      </c>
      <c r="AF122" s="72">
        <f>(SUM($D$118:AF118)*$C$109)</f>
        <v>20441784.739511002</v>
      </c>
      <c r="AG122" s="72">
        <f>(SUM($D$118:AG118)*$C$109)</f>
        <v>21146673.868459657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149</v>
      </c>
      <c r="B126" s="77" t="s">
        <v>193</v>
      </c>
      <c r="C126" s="126">
        <v>58300</v>
      </c>
      <c r="D126" s="140"/>
    </row>
    <row r="127" spans="1:33" x14ac:dyDescent="0.35">
      <c r="A127" s="77" t="s">
        <v>148</v>
      </c>
      <c r="B127" s="77" t="s">
        <v>133</v>
      </c>
      <c r="C127" s="126">
        <v>58300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58300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153</v>
      </c>
      <c r="B133" s="77" t="s">
        <v>154</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21592.592592592591</v>
      </c>
      <c r="D135" s="157">
        <f t="shared" ref="D135:AG135" si="14">$C$135*D13</f>
        <v>22068.691282483123</v>
      </c>
      <c r="E135" s="157">
        <f t="shared" si="14"/>
        <v>22555.28755211279</v>
      </c>
      <c r="F135" s="157">
        <f t="shared" si="14"/>
        <v>23052.612864375154</v>
      </c>
      <c r="G135" s="157">
        <f t="shared" si="14"/>
        <v>23560.903785727864</v>
      </c>
      <c r="H135" s="157">
        <f t="shared" si="14"/>
        <v>24080.402098722021</v>
      </c>
      <c r="I135" s="157">
        <f t="shared" si="14"/>
        <v>24611.354917012664</v>
      </c>
      <c r="J135" s="157">
        <f t="shared" si="14"/>
        <v>25154.014802905211</v>
      </c>
      <c r="K135" s="157">
        <f t="shared" si="14"/>
        <v>25708.639887493642</v>
      </c>
      <c r="L135" s="157">
        <f t="shared" si="14"/>
        <v>26275.493993447646</v>
      </c>
      <c r="M135" s="157">
        <f t="shared" si="14"/>
        <v>26854.846760507146</v>
      </c>
      <c r="N135" s="157">
        <f t="shared" si="14"/>
        <v>27446.97377374383</v>
      </c>
      <c r="O135" s="157">
        <f t="shared" si="14"/>
        <v>28052.156694650788</v>
      </c>
      <c r="P135" s="157">
        <f t="shared" si="14"/>
        <v>28670.683395122545</v>
      </c>
      <c r="Q135" s="157">
        <f t="shared" si="14"/>
        <v>29302.848094389217</v>
      </c>
      <c r="R135" s="157">
        <f t="shared" si="14"/>
        <v>29948.95149897</v>
      </c>
      <c r="S135" s="157">
        <f t="shared" si="14"/>
        <v>30609.300945712497</v>
      </c>
      <c r="T135" s="157">
        <f t="shared" si="14"/>
        <v>31284.210547985916</v>
      </c>
      <c r="U135" s="157">
        <f t="shared" si="14"/>
        <v>31974.001345097753</v>
      </c>
      <c r="V135" s="157">
        <f t="shared" si="14"/>
        <v>32679.001455004953</v>
      </c>
      <c r="W135" s="157">
        <f t="shared" si="14"/>
        <v>33399.546230392225</v>
      </c>
      <c r="X135" s="157">
        <f t="shared" si="14"/>
        <v>34135.978418191815</v>
      </c>
      <c r="Y135" s="157">
        <f t="shared" si="14"/>
        <v>34888.648322620422</v>
      </c>
      <c r="Z135" s="157">
        <f t="shared" si="14"/>
        <v>35657.913971811118</v>
      </c>
      <c r="AA135" s="157">
        <f t="shared" si="14"/>
        <v>36444.14128811923</v>
      </c>
      <c r="AB135" s="157">
        <f t="shared" si="14"/>
        <v>37247.704262183368</v>
      </c>
      <c r="AC135" s="157">
        <f t="shared" si="14"/>
        <v>38068.985130824352</v>
      </c>
      <c r="AD135" s="157">
        <f t="shared" si="14"/>
        <v>38908.374558866701</v>
      </c>
      <c r="AE135" s="157">
        <f t="shared" si="14"/>
        <v>39766.271824969022</v>
      </c>
      <c r="AF135" s="157">
        <f t="shared" si="14"/>
        <v>40643.085011551972</v>
      </c>
      <c r="AG135" s="157">
        <f t="shared" si="14"/>
        <v>41539.231198913811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0.22</v>
      </c>
      <c r="F4" s="65">
        <v>0.18</v>
      </c>
      <c r="G4" s="65">
        <v>0.15</v>
      </c>
      <c r="H4" s="65">
        <v>0.15</v>
      </c>
      <c r="I4" s="65">
        <v>0.1</v>
      </c>
      <c r="J4" s="65">
        <v>7.0000000000000007E-2</v>
      </c>
      <c r="K4" s="65">
        <v>7.0000000000000007E-2</v>
      </c>
      <c r="L4" s="65">
        <v>0.04</v>
      </c>
      <c r="M4" s="65">
        <v>0.04</v>
      </c>
      <c r="N4" s="65">
        <v>0.04</v>
      </c>
      <c r="O4" s="65">
        <v>0.03</v>
      </c>
      <c r="P4" s="65">
        <v>0.03</v>
      </c>
      <c r="Q4" s="65">
        <v>0.03</v>
      </c>
      <c r="R4" s="65">
        <v>0.03</v>
      </c>
      <c r="S4" s="65">
        <v>0.03</v>
      </c>
      <c r="T4" s="65">
        <v>0.03</v>
      </c>
      <c r="U4" s="65">
        <v>2.1999999999999999E-2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2.4852080952175868</v>
      </c>
      <c r="C6" s="25"/>
      <c r="D6" s="25"/>
      <c r="E6" s="27">
        <f>'Debt worksheet'!C5/'Profit and Loss'!C5</f>
        <v>1.4497993004320102</v>
      </c>
      <c r="F6" s="28">
        <f ca="1">'Debt worksheet'!D5/'Profit and Loss'!D5</f>
        <v>1.9365119514736078</v>
      </c>
      <c r="G6" s="28">
        <f ca="1">'Debt worksheet'!E5/'Profit and Loss'!E5</f>
        <v>2.2141172369592979</v>
      </c>
      <c r="H6" s="28">
        <f ca="1">'Debt worksheet'!F5/'Profit and Loss'!F5</f>
        <v>2.313448198498572</v>
      </c>
      <c r="I6" s="28">
        <f ca="1">'Debt worksheet'!G5/'Profit and Loss'!G5</f>
        <v>2.3734508323621806</v>
      </c>
      <c r="J6" s="28">
        <f ca="1">'Debt worksheet'!H5/'Profit and Loss'!H5</f>
        <v>2.4191642154932267</v>
      </c>
      <c r="K6" s="28">
        <f ca="1">'Debt worksheet'!I5/'Profit and Loss'!I5</f>
        <v>2.4186379713792565</v>
      </c>
      <c r="L6" s="28">
        <f ca="1">'Debt worksheet'!J5/'Profit and Loss'!J5</f>
        <v>2.444079607721958</v>
      </c>
      <c r="M6" s="28">
        <f ca="1">'Debt worksheet'!K5/'Profit and Loss'!K5</f>
        <v>2.4557518085897674</v>
      </c>
      <c r="N6" s="28">
        <f ca="1">'Debt worksheet'!L5/'Profit and Loss'!L5</f>
        <v>2.4537400946273826</v>
      </c>
      <c r="O6" s="28">
        <f ca="1">'Debt worksheet'!M5/'Profit and Loss'!M5</f>
        <v>2.4618317491884465</v>
      </c>
      <c r="P6" s="28">
        <f ca="1">'Debt worksheet'!N5/'Profit and Loss'!N5</f>
        <v>2.4657197331576857</v>
      </c>
      <c r="Q6" s="28">
        <f ca="1">'Debt worksheet'!O5/'Profit and Loss'!O5</f>
        <v>2.4651201598460317</v>
      </c>
      <c r="R6" s="28">
        <f ca="1">'Debt worksheet'!P5/'Profit and Loss'!P5</f>
        <v>2.4597734482844125</v>
      </c>
      <c r="S6" s="28">
        <f ca="1">'Debt worksheet'!Q5/'Profit and Loss'!Q5</f>
        <v>2.4494431395321503</v>
      </c>
      <c r="T6" s="28">
        <f ca="1">'Debt worksheet'!R5/'Profit and Loss'!R5</f>
        <v>2.4339147606418372</v>
      </c>
      <c r="U6" s="28">
        <f ca="1">'Debt worksheet'!S5/'Profit and Loss'!S5</f>
        <v>2.4318831473247169</v>
      </c>
      <c r="V6" s="28">
        <f ca="1">'Debt worksheet'!T5/'Profit and Loss'!T5</f>
        <v>2.4317835987562844</v>
      </c>
      <c r="W6" s="28">
        <f ca="1">'Debt worksheet'!U5/'Profit and Loss'!U5</f>
        <v>2.4333214552534708</v>
      </c>
      <c r="X6" s="28">
        <f ca="1">'Debt worksheet'!V5/'Profit and Loss'!V5</f>
        <v>2.4362139152572202</v>
      </c>
      <c r="Y6" s="28">
        <f ca="1">'Debt worksheet'!W5/'Profit and Loss'!W5</f>
        <v>2.4401896733036685</v>
      </c>
      <c r="Z6" s="28">
        <f ca="1">'Debt worksheet'!X5/'Profit and Loss'!X5</f>
        <v>2.4449885679259835</v>
      </c>
      <c r="AA6" s="28">
        <f ca="1">'Debt worksheet'!Y5/'Profit and Loss'!Y5</f>
        <v>2.450361239228112</v>
      </c>
      <c r="AB6" s="28">
        <f ca="1">'Debt worksheet'!Z5/'Profit and Loss'!Z5</f>
        <v>2.4560687958782408</v>
      </c>
      <c r="AC6" s="28">
        <f ca="1">'Debt worksheet'!AA5/'Profit and Loss'!AA5</f>
        <v>2.461882491276151</v>
      </c>
      <c r="AD6" s="28">
        <f ca="1">'Debt worksheet'!AB5/'Profit and Loss'!AB5</f>
        <v>2.4675834086548667</v>
      </c>
      <c r="AE6" s="28">
        <f ca="1">'Debt worksheet'!AC5/'Profit and Loss'!AC5</f>
        <v>2.4729621548830845</v>
      </c>
      <c r="AF6" s="28">
        <f ca="1">'Debt worksheet'!AD5/'Profit and Loss'!AD5</f>
        <v>2.4778185627407718</v>
      </c>
      <c r="AG6" s="28">
        <f ca="1">'Debt worksheet'!AE5/'Profit and Loss'!AE5</f>
        <v>2.481961401446112</v>
      </c>
      <c r="AH6" s="28">
        <f ca="1">'Debt worksheet'!AF5/'Profit and Loss'!AF5</f>
        <v>2.4852080952175868</v>
      </c>
      <c r="AI6" s="31"/>
    </row>
    <row r="7" spans="1:35" ht="21" x14ac:dyDescent="0.5">
      <c r="A7" s="19" t="s">
        <v>38</v>
      </c>
      <c r="B7" s="26">
        <f ca="1">MIN('Price and Financial ratios'!E7:AH7)</f>
        <v>0.22774204635907755</v>
      </c>
      <c r="C7" s="26"/>
      <c r="D7" s="26"/>
      <c r="E7" s="56">
        <f ca="1">'Cash Flow'!C7/'Debt worksheet'!C5</f>
        <v>0.36654845674115433</v>
      </c>
      <c r="F7" s="32">
        <f ca="1">'Cash Flow'!D7/'Debt worksheet'!D5</f>
        <v>0.28870852080313075</v>
      </c>
      <c r="G7" s="32">
        <f ca="1">'Cash Flow'!E7/'Debt worksheet'!E5</f>
        <v>0.2625738037258093</v>
      </c>
      <c r="H7" s="32">
        <f ca="1">'Cash Flow'!F7/'Debt worksheet'!F5</f>
        <v>0.26301481106860791</v>
      </c>
      <c r="I7" s="32">
        <f ca="1">'Cash Flow'!G7/'Debt worksheet'!G5</f>
        <v>0.26161566639090045</v>
      </c>
      <c r="J7" s="32">
        <f ca="1">'Cash Flow'!H7/'Debt worksheet'!H5</f>
        <v>0.25842008912963726</v>
      </c>
      <c r="K7" s="32">
        <f ca="1">'Cash Flow'!I7/'Debt worksheet'!I5</f>
        <v>0.26113681489124929</v>
      </c>
      <c r="L7" s="32">
        <f ca="1">'Cash Flow'!J7/'Debt worksheet'!J5</f>
        <v>0.2571859114134305</v>
      </c>
      <c r="M7" s="17">
        <f ca="1">'Cash Flow'!K7/'Debt worksheet'!K5</f>
        <v>0.25515331829174998</v>
      </c>
      <c r="N7" s="17">
        <f ca="1">'Cash Flow'!L7/'Debt worksheet'!L5</f>
        <v>0.25495290375133339</v>
      </c>
      <c r="O7" s="17">
        <f ca="1">'Cash Flow'!M7/'Debt worksheet'!M5</f>
        <v>0.25247148127780633</v>
      </c>
      <c r="P7" s="17">
        <f ca="1">'Cash Flow'!N7/'Debt worksheet'!N5</f>
        <v>0.25065213813383247</v>
      </c>
      <c r="Q7" s="17">
        <f ca="1">'Cash Flow'!O7/'Debt worksheet'!O5</f>
        <v>0.2495077843695182</v>
      </c>
      <c r="R7" s="17">
        <f ca="1">'Cash Flow'!P7/'Debt worksheet'!P5</f>
        <v>0.2490554879359948</v>
      </c>
      <c r="S7" s="17">
        <f ca="1">'Cash Flow'!Q7/'Debt worksheet'!Q5</f>
        <v>0.2493177107031492</v>
      </c>
      <c r="T7" s="17">
        <f ca="1">'Cash Flow'!R7/'Debt worksheet'!R5</f>
        <v>0.25032364578491367</v>
      </c>
      <c r="U7" s="17">
        <f ca="1">'Cash Flow'!S7/'Debt worksheet'!S5</f>
        <v>0.24877517244939015</v>
      </c>
      <c r="V7" s="17">
        <f ca="1">'Cash Flow'!T7/'Debt worksheet'!T5</f>
        <v>0.24709966197358127</v>
      </c>
      <c r="W7" s="17">
        <f ca="1">'Cash Flow'!U7/'Debt worksheet'!U5</f>
        <v>0.24533169594770249</v>
      </c>
      <c r="X7" s="17">
        <f ca="1">'Cash Flow'!V7/'Debt worksheet'!V5</f>
        <v>0.24350410495115585</v>
      </c>
      <c r="Y7" s="17">
        <f ca="1">'Cash Flow'!W7/'Debt worksheet'!W5</f>
        <v>0.2416477642149597</v>
      </c>
      <c r="Z7" s="17">
        <f ca="1">'Cash Flow'!X7/'Debt worksheet'!X5</f>
        <v>0.23979148038420423</v>
      </c>
      <c r="AA7" s="17">
        <f ca="1">'Cash Flow'!Y7/'Debt worksheet'!Y5</f>
        <v>0.23796195711335974</v>
      </c>
      <c r="AB7" s="17">
        <f ca="1">'Cash Flow'!Z7/'Debt worksheet'!Z5</f>
        <v>0.23618382679117716</v>
      </c>
      <c r="AC7" s="17">
        <f ca="1">'Cash Flow'!AA7/'Debt worksheet'!AA5</f>
        <v>0.23447973606101163</v>
      </c>
      <c r="AD7" s="17">
        <f ca="1">'Cash Flow'!AB7/'Debt worksheet'!AB5</f>
        <v>0.23287047374554112</v>
      </c>
      <c r="AE7" s="17">
        <f ca="1">'Cash Flow'!AC7/'Debt worksheet'!AC5</f>
        <v>0.23137513109718102</v>
      </c>
      <c r="AF7" s="17">
        <f ca="1">'Cash Flow'!AD7/'Debt worksheet'!AD5</f>
        <v>0.23001128580824148</v>
      </c>
      <c r="AG7" s="17">
        <f ca="1">'Cash Flow'!AE7/'Debt worksheet'!AE5</f>
        <v>0.22879520279838267</v>
      </c>
      <c r="AH7" s="17">
        <f ca="1">'Cash Flow'!AF7/'Debt worksheet'!AF5</f>
        <v>0.22774204635907755</v>
      </c>
      <c r="AI7" s="29"/>
    </row>
    <row r="8" spans="1:35" ht="21" x14ac:dyDescent="0.5">
      <c r="A8" s="19" t="s">
        <v>33</v>
      </c>
      <c r="B8" s="26">
        <f ca="1">MAX('Price and Financial ratios'!E8:AH8)</f>
        <v>0.35119064079543166</v>
      </c>
      <c r="C8" s="26"/>
      <c r="D8" s="176"/>
      <c r="E8" s="17">
        <f>'Balance Sheet'!B11/'Balance Sheet'!B8</f>
        <v>6.3567841708287914E-2</v>
      </c>
      <c r="F8" s="17">
        <f ca="1">'Balance Sheet'!C11/'Balance Sheet'!C8</f>
        <v>0.10388576608346747</v>
      </c>
      <c r="G8" s="17">
        <f ca="1">'Balance Sheet'!D11/'Balance Sheet'!D8</f>
        <v>0.13611256320585993</v>
      </c>
      <c r="H8" s="17">
        <f ca="1">'Balance Sheet'!E11/'Balance Sheet'!E8</f>
        <v>0.16295251331705629</v>
      </c>
      <c r="I8" s="17">
        <f ca="1">'Balance Sheet'!F11/'Balance Sheet'!F8</f>
        <v>0.18319903229772308</v>
      </c>
      <c r="J8" s="17">
        <f ca="1">'Balance Sheet'!G11/'Balance Sheet'!G8</f>
        <v>0.19901477388982805</v>
      </c>
      <c r="K8" s="17">
        <f ca="1">'Balance Sheet'!H11/'Balance Sheet'!H8</f>
        <v>0.21203780929973409</v>
      </c>
      <c r="L8" s="17">
        <f ca="1">'Balance Sheet'!I11/'Balance Sheet'!I8</f>
        <v>0.22190976398859794</v>
      </c>
      <c r="M8" s="17">
        <f ca="1">'Balance Sheet'!J11/'Balance Sheet'!J8</f>
        <v>0.23089359141837804</v>
      </c>
      <c r="N8" s="17">
        <f ca="1">'Balance Sheet'!K11/'Balance Sheet'!K8</f>
        <v>0.23887524776098532</v>
      </c>
      <c r="O8" s="17">
        <f ca="1">'Balance Sheet'!L11/'Balance Sheet'!L8</f>
        <v>0.24573667731101542</v>
      </c>
      <c r="P8" s="17">
        <f ca="1">'Balance Sheet'!M11/'Balance Sheet'!M8</f>
        <v>0.25233378167733711</v>
      </c>
      <c r="Q8" s="17">
        <f ca="1">'Balance Sheet'!N11/'Balance Sheet'!N8</f>
        <v>0.25860801774942677</v>
      </c>
      <c r="R8" s="17">
        <f ca="1">'Balance Sheet'!O11/'Balance Sheet'!O8</f>
        <v>0.26449923054939412</v>
      </c>
      <c r="S8" s="17">
        <f ca="1">'Balance Sheet'!P11/'Balance Sheet'!P8</f>
        <v>0.26994565418217614</v>
      </c>
      <c r="T8" s="17">
        <f ca="1">'Balance Sheet'!Q11/'Balance Sheet'!Q8</f>
        <v>0.27488391141493856</v>
      </c>
      <c r="U8" s="17">
        <f ca="1">'Balance Sheet'!R11/'Balance Sheet'!R8</f>
        <v>0.2792490118396575</v>
      </c>
      <c r="V8" s="17">
        <f ca="1">'Balance Sheet'!S11/'Balance Sheet'!S8</f>
        <v>0.28388091653963854</v>
      </c>
      <c r="W8" s="17">
        <f ca="1">'Balance Sheet'!T11/'Balance Sheet'!T8</f>
        <v>0.28875627910765866</v>
      </c>
      <c r="X8" s="17">
        <f ca="1">'Balance Sheet'!U11/'Balance Sheet'!U8</f>
        <v>0.29385113857869033</v>
      </c>
      <c r="Y8" s="17">
        <f ca="1">'Balance Sheet'!V11/'Balance Sheet'!V8</f>
        <v>0.29914093506835049</v>
      </c>
      <c r="Z8" s="17">
        <f ca="1">'Balance Sheet'!W11/'Balance Sheet'!W8</f>
        <v>0.30460052479504945</v>
      </c>
      <c r="AA8" s="17">
        <f ca="1">'Balance Sheet'!X11/'Balance Sheet'!X8</f>
        <v>0.31020419446598085</v>
      </c>
      <c r="AB8" s="17">
        <f ca="1">'Balance Sheet'!Y11/'Balance Sheet'!Y8</f>
        <v>0.31592567501045493</v>
      </c>
      <c r="AC8" s="17">
        <f ca="1">'Balance Sheet'!Z11/'Balance Sheet'!Z8</f>
        <v>0.32173815464724748</v>
      </c>
      <c r="AD8" s="17">
        <f ca="1">'Balance Sheet'!AA11/'Balance Sheet'!AA8</f>
        <v>0.32761429127560726</v>
      </c>
      <c r="AE8" s="17">
        <f ca="1">'Balance Sheet'!AB11/'Balance Sheet'!AB8</f>
        <v>0.33352622418234845</v>
      </c>
      <c r="AF8" s="17">
        <f ca="1">'Balance Sheet'!AC11/'Balance Sheet'!AC8</f>
        <v>0.33944558506003381</v>
      </c>
      <c r="AG8" s="17">
        <f ca="1">'Balance Sheet'!AD11/'Balance Sheet'!AD8</f>
        <v>0.34534350833365635</v>
      </c>
      <c r="AH8" s="17">
        <f ca="1">'Balance Sheet'!AE11/'Balance Sheet'!AE8</f>
        <v>0.35119064079543166</v>
      </c>
      <c r="AI8" s="29"/>
    </row>
    <row r="9" spans="1:35" ht="21.5" thickBot="1" x14ac:dyDescent="0.55000000000000004">
      <c r="A9" s="20" t="s">
        <v>32</v>
      </c>
      <c r="B9" s="21">
        <f ca="1">MIN('Price and Financial ratios'!E9:AH9)</f>
        <v>7.1087809941049187</v>
      </c>
      <c r="C9" s="21"/>
      <c r="D9" s="177"/>
      <c r="E9" s="21">
        <f ca="1">('Cash Flow'!C7+'Profit and Loss'!C8)/('Profit and Loss'!C8)</f>
        <v>7.5012558732032826</v>
      </c>
      <c r="F9" s="21">
        <f ca="1">('Cash Flow'!D7+'Profit and Loss'!D8)/('Profit and Loss'!D8)</f>
        <v>7.1382065292291026</v>
      </c>
      <c r="G9" s="21">
        <f ca="1">('Cash Flow'!E7+'Profit and Loss'!E8)/('Profit and Loss'!E8)</f>
        <v>7.1087809941049187</v>
      </c>
      <c r="H9" s="21">
        <f ca="1">('Cash Flow'!F7+'Profit and Loss'!F8)/('Profit and Loss'!F8)</f>
        <v>7.5151921268592412</v>
      </c>
      <c r="I9" s="21">
        <f ca="1">('Cash Flow'!G7+'Profit and Loss'!G8)/('Profit and Loss'!G8)</f>
        <v>7.7058683990398924</v>
      </c>
      <c r="J9" s="21">
        <f ca="1">('Cash Flow'!H7+'Profit and Loss'!H8)/('Profit and Loss'!H8)</f>
        <v>7.7530061316969832</v>
      </c>
      <c r="K9" s="21">
        <f ca="1">('Cash Flow'!I7+'Profit and Loss'!I8)/('Profit and Loss'!I8)</f>
        <v>7.9462506356818832</v>
      </c>
      <c r="L9" s="21">
        <f ca="1">('Cash Flow'!J7+'Profit and Loss'!J8)/('Profit and Loss'!J8)</f>
        <v>7.8802604216743095</v>
      </c>
      <c r="M9" s="21">
        <f ca="1">('Cash Flow'!K7+'Profit and Loss'!K8)/('Profit and Loss'!K8)</f>
        <v>7.8641056820352686</v>
      </c>
      <c r="N9" s="21">
        <f ca="1">('Cash Flow'!L7+'Profit and Loss'!L8)/('Profit and Loss'!L8)</f>
        <v>7.8968867693610809</v>
      </c>
      <c r="O9" s="21">
        <f ca="1">('Cash Flow'!M7+'Profit and Loss'!M8)/('Profit and Loss'!M8)</f>
        <v>7.8414778891765051</v>
      </c>
      <c r="P9" s="21">
        <f ca="1">('Cash Flow'!N7+'Profit and Loss'!N8)/('Profit and Loss'!N8)</f>
        <v>7.8045588304510582</v>
      </c>
      <c r="Q9" s="21">
        <f ca="1">('Cash Flow'!O7+'Profit and Loss'!O8)/('Profit and Loss'!O8)</f>
        <v>7.7865652022830272</v>
      </c>
      <c r="R9" s="21">
        <f ca="1">('Cash Flow'!P7+'Profit and Loss'!P8)/('Profit and Loss'!P8)</f>
        <v>7.7880777009533251</v>
      </c>
      <c r="S9" s="21">
        <f ca="1">('Cash Flow'!Q7+'Profit and Loss'!Q8)/('Profit and Loss'!Q8)</f>
        <v>7.809858225610018</v>
      </c>
      <c r="T9" s="21">
        <f ca="1">('Cash Flow'!R7+'Profit and Loss'!R8)/('Profit and Loss'!R8)</f>
        <v>7.8528907427696835</v>
      </c>
      <c r="U9" s="21">
        <f ca="1">('Cash Flow'!S7+'Profit and Loss'!S8)/('Profit and Loss'!S8)</f>
        <v>7.8050933192629248</v>
      </c>
      <c r="V9" s="21">
        <f ca="1">('Cash Flow'!T7+'Profit and Loss'!T8)/('Profit and Loss'!T8)</f>
        <v>7.7547123914200489</v>
      </c>
      <c r="W9" s="21">
        <f ca="1">('Cash Flow'!U7+'Profit and Loss'!U8)/('Profit and Loss'!U8)</f>
        <v>7.7026570398490728</v>
      </c>
      <c r="X9" s="21">
        <f ca="1">('Cash Flow'!V7+'Profit and Loss'!V8)/('Profit and Loss'!V8)</f>
        <v>7.6497817623442108</v>
      </c>
      <c r="Y9" s="21">
        <f ca="1">('Cash Flow'!W7+'Profit and Loss'!W8)/('Profit and Loss'!W8)</f>
        <v>7.5968833457280489</v>
      </c>
      <c r="Z9" s="21">
        <f ca="1">('Cash Flow'!X7+'Profit and Loss'!X8)/('Profit and Loss'!X8)</f>
        <v>7.5446999225080331</v>
      </c>
      <c r="AA9" s="21">
        <f ca="1">('Cash Flow'!Y7+'Profit and Loss'!Y8)/('Profit and Loss'!Y8)</f>
        <v>7.4939118590139353</v>
      </c>
      <c r="AB9" s="21">
        <f ca="1">('Cash Flow'!Z7+'Profit and Loss'!Z8)/('Profit and Loss'!Z8)</f>
        <v>7.4451441320971732</v>
      </c>
      <c r="AC9" s="21">
        <f ca="1">('Cash Flow'!AA7+'Profit and Loss'!AA8)/('Profit and Loss'!AA8)</f>
        <v>7.3989698777794874</v>
      </c>
      <c r="AD9" s="21">
        <f ca="1">('Cash Flow'!AB7+'Profit and Loss'!AB8)/('Profit and Loss'!AB8)</f>
        <v>7.3559148317489429</v>
      </c>
      <c r="AE9" s="21">
        <f ca="1">('Cash Flow'!AC7+'Profit and Loss'!AC8)/('Profit and Loss'!AC8)</f>
        <v>7.3164624236314273</v>
      </c>
      <c r="AF9" s="21">
        <f ca="1">('Cash Flow'!AD7+'Profit and Loss'!AD8)/('Profit and Loss'!AD8)</f>
        <v>7.2810593309185307</v>
      </c>
      <c r="AG9" s="21">
        <f ca="1">('Cash Flow'!AE7+'Profit and Loss'!AE8)/('Profit and Loss'!AE8)</f>
        <v>7.2501213417533616</v>
      </c>
      <c r="AH9" s="21">
        <f ca="1">('Cash Flow'!AF7+'Profit and Loss'!AF8)/('Profit and Loss'!AF8)</f>
        <v>7.2240394168308164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159</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31371631.103880487</v>
      </c>
      <c r="D5" s="1">
        <f>Assumptions!E111</f>
        <v>31371631.103880487</v>
      </c>
      <c r="E5" s="1">
        <f>Assumptions!F111</f>
        <v>31371631.103880487</v>
      </c>
      <c r="F5" s="1">
        <f>Assumptions!G111</f>
        <v>31371631.103880487</v>
      </c>
      <c r="G5" s="1">
        <f>Assumptions!H111</f>
        <v>31371631.103880487</v>
      </c>
      <c r="H5" s="1">
        <f>Assumptions!I111</f>
        <v>31371631.103880487</v>
      </c>
      <c r="I5" s="1">
        <f>Assumptions!J111</f>
        <v>31371631.103880487</v>
      </c>
      <c r="J5" s="1">
        <f>Assumptions!K111</f>
        <v>31371631.103880487</v>
      </c>
      <c r="K5" s="1">
        <f>Assumptions!L111</f>
        <v>31371631.103880487</v>
      </c>
      <c r="L5" s="1">
        <f>Assumptions!M111</f>
        <v>31371631.103880487</v>
      </c>
      <c r="M5" s="1">
        <f>Assumptions!N111</f>
        <v>31371631.103880487</v>
      </c>
      <c r="N5" s="1">
        <f>Assumptions!O111</f>
        <v>31371631.103880487</v>
      </c>
      <c r="O5" s="1">
        <f>Assumptions!P111</f>
        <v>31371631.103880487</v>
      </c>
      <c r="P5" s="1">
        <f>Assumptions!Q111</f>
        <v>31371631.103880487</v>
      </c>
      <c r="Q5" s="1">
        <f>Assumptions!R111</f>
        <v>31371631.103880487</v>
      </c>
      <c r="R5" s="1">
        <f>Assumptions!S111</f>
        <v>31371631.103880487</v>
      </c>
      <c r="S5" s="1">
        <f>Assumptions!T111</f>
        <v>31371631.103880487</v>
      </c>
      <c r="T5" s="1">
        <f>Assumptions!U111</f>
        <v>31371631.103880487</v>
      </c>
      <c r="U5" s="1">
        <f>Assumptions!V111</f>
        <v>31371631.103880487</v>
      </c>
      <c r="V5" s="1">
        <f>Assumptions!W111</f>
        <v>31371631.103880487</v>
      </c>
      <c r="W5" s="1">
        <f>Assumptions!X111</f>
        <v>31371631.103880487</v>
      </c>
      <c r="X5" s="1">
        <f>Assumptions!Y111</f>
        <v>31371631.103880487</v>
      </c>
      <c r="Y5" s="1">
        <f>Assumptions!Z111</f>
        <v>31371631.103880487</v>
      </c>
      <c r="Z5" s="1">
        <f>Assumptions!AA111</f>
        <v>31371631.103880487</v>
      </c>
      <c r="AA5" s="1">
        <f>Assumptions!AB111</f>
        <v>31371631.103880487</v>
      </c>
      <c r="AB5" s="1">
        <f>Assumptions!AC111</f>
        <v>31371631.103880487</v>
      </c>
      <c r="AC5" s="1">
        <f>Assumptions!AD111</f>
        <v>31371631.103880487</v>
      </c>
      <c r="AD5" s="1">
        <f>Assumptions!AE111</f>
        <v>31371631.103880487</v>
      </c>
      <c r="AE5" s="1">
        <f>Assumptions!AF111</f>
        <v>31371631.103880487</v>
      </c>
      <c r="AF5" s="1">
        <f>Assumptions!AG111</f>
        <v>31371631.103880487</v>
      </c>
    </row>
    <row r="6" spans="1:32" x14ac:dyDescent="0.35">
      <c r="A6" t="s">
        <v>68</v>
      </c>
      <c r="C6" s="1">
        <f>Assumptions!D113</f>
        <v>23496304.29828852</v>
      </c>
      <c r="D6" s="1">
        <f>Assumptions!E113</f>
        <v>23496304.29828852</v>
      </c>
      <c r="E6" s="1">
        <f>Assumptions!F113</f>
        <v>23496304.29828852</v>
      </c>
      <c r="F6" s="1">
        <f>Assumptions!G113</f>
        <v>23496304.29828852</v>
      </c>
      <c r="G6" s="1">
        <f>Assumptions!H113</f>
        <v>23496304.29828852</v>
      </c>
      <c r="H6" s="1">
        <f>Assumptions!I113</f>
        <v>23496304.29828852</v>
      </c>
      <c r="I6" s="1">
        <f>Assumptions!J113</f>
        <v>23496304.29828852</v>
      </c>
      <c r="J6" s="1">
        <f>Assumptions!K113</f>
        <v>23496304.29828852</v>
      </c>
      <c r="K6" s="1">
        <f>Assumptions!L113</f>
        <v>23496304.29828852</v>
      </c>
      <c r="L6" s="1">
        <f>Assumptions!M113</f>
        <v>23496304.29828852</v>
      </c>
      <c r="M6" s="1">
        <f>Assumptions!N113</f>
        <v>23496304.29828852</v>
      </c>
      <c r="N6" s="1">
        <f>Assumptions!O113</f>
        <v>23496304.29828852</v>
      </c>
      <c r="O6" s="1">
        <f>Assumptions!P113</f>
        <v>23496304.29828852</v>
      </c>
      <c r="P6" s="1">
        <f>Assumptions!Q113</f>
        <v>23496304.29828852</v>
      </c>
      <c r="Q6" s="1">
        <f>Assumptions!R113</f>
        <v>23496304.29828852</v>
      </c>
      <c r="R6" s="1">
        <f>Assumptions!S113</f>
        <v>23496304.29828852</v>
      </c>
      <c r="S6" s="1">
        <f>Assumptions!T113</f>
        <v>23496304.29828852</v>
      </c>
      <c r="T6" s="1">
        <f>Assumptions!U113</f>
        <v>23496304.29828852</v>
      </c>
      <c r="U6" s="1">
        <f>Assumptions!V113</f>
        <v>23496304.29828852</v>
      </c>
      <c r="V6" s="1">
        <f>Assumptions!W113</f>
        <v>23496304.29828852</v>
      </c>
      <c r="W6" s="1">
        <f>Assumptions!X113</f>
        <v>23496304.29828852</v>
      </c>
      <c r="X6" s="1">
        <f>Assumptions!Y113</f>
        <v>23496304.29828852</v>
      </c>
      <c r="Y6" s="1">
        <f>Assumptions!Z113</f>
        <v>23496304.29828852</v>
      </c>
      <c r="Z6" s="1">
        <f>Assumptions!AA113</f>
        <v>23496304.29828852</v>
      </c>
      <c r="AA6" s="1">
        <f>Assumptions!AB113</f>
        <v>23496304.29828852</v>
      </c>
      <c r="AB6" s="1">
        <f>Assumptions!AC113</f>
        <v>23496304.29828852</v>
      </c>
      <c r="AC6" s="1">
        <f>Assumptions!AD113</f>
        <v>23496304.29828852</v>
      </c>
      <c r="AD6" s="1">
        <f>Assumptions!AE113</f>
        <v>23496304.29828852</v>
      </c>
      <c r="AE6" s="1">
        <f>Assumptions!AF113</f>
        <v>23496304.29828852</v>
      </c>
      <c r="AF6" s="1">
        <f>Assumptions!AG113</f>
        <v>23496304.29828852</v>
      </c>
    </row>
    <row r="7" spans="1:32" x14ac:dyDescent="0.35">
      <c r="A7" t="s">
        <v>73</v>
      </c>
      <c r="C7" s="1">
        <f>Assumptions!D120</f>
        <v>563911.30315892445</v>
      </c>
      <c r="D7" s="1">
        <f>Assumptions!E120</f>
        <v>1127822.6063178489</v>
      </c>
      <c r="E7" s="1">
        <f>Assumptions!F120</f>
        <v>1691733.9094767733</v>
      </c>
      <c r="F7" s="1">
        <f>Assumptions!G120</f>
        <v>2255645.2126356978</v>
      </c>
      <c r="G7" s="1">
        <f>Assumptions!H120</f>
        <v>2819556.5157946222</v>
      </c>
      <c r="H7" s="1">
        <f>Assumptions!I120</f>
        <v>3383467.8189535467</v>
      </c>
      <c r="I7" s="1">
        <f>Assumptions!J120</f>
        <v>3947379.1221124716</v>
      </c>
      <c r="J7" s="1">
        <f>Assumptions!K120</f>
        <v>4511290.4252713956</v>
      </c>
      <c r="K7" s="1">
        <f>Assumptions!L120</f>
        <v>5075201.7284303205</v>
      </c>
      <c r="L7" s="1">
        <f>Assumptions!M120</f>
        <v>5639113.0315892445</v>
      </c>
      <c r="M7" s="1">
        <f>Assumptions!N120</f>
        <v>6203024.3347481694</v>
      </c>
      <c r="N7" s="1">
        <f>Assumptions!O120</f>
        <v>6766935.6379070934</v>
      </c>
      <c r="O7" s="1">
        <f>Assumptions!P120</f>
        <v>7330846.9410660192</v>
      </c>
      <c r="P7" s="1">
        <f>Assumptions!Q120</f>
        <v>7894758.2442249432</v>
      </c>
      <c r="Q7" s="1">
        <f>Assumptions!R120</f>
        <v>8458669.5473838672</v>
      </c>
      <c r="R7" s="1">
        <f>Assumptions!S120</f>
        <v>9022580.8505427912</v>
      </c>
      <c r="S7" s="1">
        <f>Assumptions!T120</f>
        <v>9586492.153701717</v>
      </c>
      <c r="T7" s="1">
        <f>Assumptions!U120</f>
        <v>10150403.456860641</v>
      </c>
      <c r="U7" s="1">
        <f>Assumptions!V120</f>
        <v>10714314.760019565</v>
      </c>
      <c r="V7" s="1">
        <f>Assumptions!W120</f>
        <v>11278226.063178489</v>
      </c>
      <c r="W7" s="1">
        <f>Assumptions!X120</f>
        <v>11842137.366337415</v>
      </c>
      <c r="X7" s="1">
        <f>Assumptions!Y120</f>
        <v>12406048.669496339</v>
      </c>
      <c r="Y7" s="1">
        <f>Assumptions!Z120</f>
        <v>12969959.972655263</v>
      </c>
      <c r="Z7" s="1">
        <f>Assumptions!AA120</f>
        <v>13533871.275814187</v>
      </c>
      <c r="AA7" s="1">
        <f>Assumptions!AB120</f>
        <v>14097782.578973111</v>
      </c>
      <c r="AB7" s="1">
        <f>Assumptions!AC120</f>
        <v>14661693.882132031</v>
      </c>
      <c r="AC7" s="1">
        <f>Assumptions!AD120</f>
        <v>15225605.185290957</v>
      </c>
      <c r="AD7" s="1">
        <f>Assumptions!AE120</f>
        <v>15789516.488449879</v>
      </c>
      <c r="AE7" s="1">
        <f>Assumptions!AF120</f>
        <v>16353427.791608803</v>
      </c>
      <c r="AF7" s="1">
        <f>Assumptions!AG120</f>
        <v>16917339.094767727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32375523.299204662</v>
      </c>
      <c r="D11" s="1">
        <f>D5*D$9</f>
        <v>33411540.044779211</v>
      </c>
      <c r="E11" s="1">
        <f t="shared" ref="D11:AF13" si="1">E5*E$9</f>
        <v>34480709.326212145</v>
      </c>
      <c r="F11" s="1">
        <f t="shared" si="1"/>
        <v>35584092.024650931</v>
      </c>
      <c r="G11" s="1">
        <f t="shared" si="1"/>
        <v>36722782.969439767</v>
      </c>
      <c r="H11" s="1">
        <f t="shared" si="1"/>
        <v>37897912.024461836</v>
      </c>
      <c r="I11" s="1">
        <f t="shared" si="1"/>
        <v>39110645.209244609</v>
      </c>
      <c r="J11" s="1">
        <f t="shared" si="1"/>
        <v>40362185.855940439</v>
      </c>
      <c r="K11" s="1">
        <f t="shared" si="1"/>
        <v>41653775.803330541</v>
      </c>
      <c r="L11" s="1">
        <f t="shared" si="1"/>
        <v>42986696.629037112</v>
      </c>
      <c r="M11" s="1">
        <f t="shared" si="1"/>
        <v>44362270.921166293</v>
      </c>
      <c r="N11" s="1">
        <f t="shared" si="1"/>
        <v>45781863.590643622</v>
      </c>
      <c r="O11" s="1">
        <f t="shared" si="1"/>
        <v>47246883.225544222</v>
      </c>
      <c r="P11" s="1">
        <f t="shared" si="1"/>
        <v>48758783.488761626</v>
      </c>
      <c r="Q11" s="1">
        <f t="shared" si="1"/>
        <v>50319064.560401991</v>
      </c>
      <c r="R11" s="1">
        <f t="shared" si="1"/>
        <v>51929274.626334868</v>
      </c>
      <c r="S11" s="1">
        <f t="shared" si="1"/>
        <v>53591011.414377585</v>
      </c>
      <c r="T11" s="1">
        <f t="shared" si="1"/>
        <v>55305923.779637665</v>
      </c>
      <c r="U11" s="1">
        <f t="shared" si="1"/>
        <v>57075713.340586059</v>
      </c>
      <c r="V11" s="1">
        <f t="shared" si="1"/>
        <v>58902136.16748482</v>
      </c>
      <c r="W11" s="1">
        <f t="shared" si="1"/>
        <v>60787004.524844341</v>
      </c>
      <c r="X11" s="1">
        <f t="shared" si="1"/>
        <v>62732188.669639356</v>
      </c>
      <c r="Y11" s="1">
        <f t="shared" si="1"/>
        <v>64739618.707067803</v>
      </c>
      <c r="Z11" s="1">
        <f t="shared" si="1"/>
        <v>66811286.50569398</v>
      </c>
      <c r="AA11" s="1">
        <f t="shared" si="1"/>
        <v>68949247.673876196</v>
      </c>
      <c r="AB11" s="1">
        <f t="shared" si="1"/>
        <v>71155623.599440232</v>
      </c>
      <c r="AC11" s="1">
        <f t="shared" si="1"/>
        <v>73432603.554622307</v>
      </c>
      <c r="AD11" s="1">
        <f t="shared" si="1"/>
        <v>75782446.868370235</v>
      </c>
      <c r="AE11" s="1">
        <f t="shared" si="1"/>
        <v>78207485.168158084</v>
      </c>
      <c r="AF11" s="1">
        <f t="shared" si="1"/>
        <v>80710124.693539128</v>
      </c>
    </row>
    <row r="12" spans="1:32" x14ac:dyDescent="0.35">
      <c r="A12" t="s">
        <v>71</v>
      </c>
      <c r="C12" s="1">
        <f t="shared" ref="C12:R12" si="2">C6*C$9</f>
        <v>24248186.035833754</v>
      </c>
      <c r="D12" s="1">
        <f t="shared" si="2"/>
        <v>25024127.988980431</v>
      </c>
      <c r="E12" s="1">
        <f t="shared" si="2"/>
        <v>25824900.084627803</v>
      </c>
      <c r="F12" s="1">
        <f t="shared" si="2"/>
        <v>26651296.887335896</v>
      </c>
      <c r="G12" s="1">
        <f t="shared" si="2"/>
        <v>27504138.387730647</v>
      </c>
      <c r="H12" s="1">
        <f t="shared" si="2"/>
        <v>28384270.816138022</v>
      </c>
      <c r="I12" s="1">
        <f t="shared" si="2"/>
        <v>29292567.482254438</v>
      </c>
      <c r="J12" s="1">
        <f t="shared" si="2"/>
        <v>30229929.641686581</v>
      </c>
      <c r="K12" s="1">
        <f t="shared" si="2"/>
        <v>31197287.390220556</v>
      </c>
      <c r="L12" s="1">
        <f t="shared" si="2"/>
        <v>32195600.586707611</v>
      </c>
      <c r="M12" s="1">
        <f t="shared" si="2"/>
        <v>33225859.805482253</v>
      </c>
      <c r="N12" s="1">
        <f t="shared" si="2"/>
        <v>34289087.319257684</v>
      </c>
      <c r="O12" s="1">
        <f t="shared" si="2"/>
        <v>35386338.113473937</v>
      </c>
      <c r="P12" s="1">
        <f t="shared" si="2"/>
        <v>36518700.933105096</v>
      </c>
      <c r="Q12" s="1">
        <f t="shared" si="2"/>
        <v>37687299.362964451</v>
      </c>
      <c r="R12" s="1">
        <f t="shared" si="2"/>
        <v>38893292.942579322</v>
      </c>
      <c r="S12" s="1">
        <f t="shared" si="1"/>
        <v>40137878.316741861</v>
      </c>
      <c r="T12" s="1">
        <f t="shared" si="1"/>
        <v>41422290.422877595</v>
      </c>
      <c r="U12" s="1">
        <f t="shared" si="1"/>
        <v>42747803.716409676</v>
      </c>
      <c r="V12" s="1">
        <f t="shared" si="1"/>
        <v>44115733.435334794</v>
      </c>
      <c r="W12" s="1">
        <f t="shared" si="1"/>
        <v>45527436.90526551</v>
      </c>
      <c r="X12" s="1">
        <f t="shared" si="1"/>
        <v>46984314.886234</v>
      </c>
      <c r="Y12" s="1">
        <f t="shared" si="1"/>
        <v>48487812.962593481</v>
      </c>
      <c r="Z12" s="1">
        <f t="shared" si="1"/>
        <v>50039422.977396473</v>
      </c>
      <c r="AA12" s="1">
        <f t="shared" si="1"/>
        <v>51640684.512673177</v>
      </c>
      <c r="AB12" s="1">
        <f t="shared" si="1"/>
        <v>53293186.417078704</v>
      </c>
      <c r="AC12" s="1">
        <f t="shared" si="1"/>
        <v>54998568.382425219</v>
      </c>
      <c r="AD12" s="1">
        <f t="shared" si="1"/>
        <v>56758522.570662834</v>
      </c>
      <c r="AE12" s="1">
        <f t="shared" si="1"/>
        <v>58574795.292924047</v>
      </c>
      <c r="AF12" s="1">
        <f t="shared" si="1"/>
        <v>60449188.742297605</v>
      </c>
    </row>
    <row r="13" spans="1:32" x14ac:dyDescent="0.35">
      <c r="A13" t="s">
        <v>74</v>
      </c>
      <c r="C13" s="1">
        <f>C7*C$9</f>
        <v>581956.46486001008</v>
      </c>
      <c r="D13" s="1">
        <f t="shared" si="1"/>
        <v>1201158.1434710608</v>
      </c>
      <c r="E13" s="1">
        <f t="shared" si="1"/>
        <v>1859392.8060932017</v>
      </c>
      <c r="F13" s="1">
        <f t="shared" si="1"/>
        <v>2558524.5011842456</v>
      </c>
      <c r="G13" s="1">
        <f t="shared" si="1"/>
        <v>3300496.6065276773</v>
      </c>
      <c r="H13" s="1">
        <f t="shared" si="1"/>
        <v>4087334.997523875</v>
      </c>
      <c r="I13" s="1">
        <f t="shared" si="1"/>
        <v>4921151.337018746</v>
      </c>
      <c r="J13" s="1">
        <f t="shared" si="1"/>
        <v>5804146.4912038231</v>
      </c>
      <c r="K13" s="1">
        <f t="shared" si="1"/>
        <v>6738614.0762876403</v>
      </c>
      <c r="L13" s="1">
        <f t="shared" si="1"/>
        <v>7726944.1408098256</v>
      </c>
      <c r="M13" s="1">
        <f t="shared" si="1"/>
        <v>8771626.9886473138</v>
      </c>
      <c r="N13" s="1">
        <f t="shared" si="1"/>
        <v>9875257.1479462124</v>
      </c>
      <c r="O13" s="1">
        <f t="shared" si="1"/>
        <v>11040537.491403868</v>
      </c>
      <c r="P13" s="1">
        <f t="shared" si="1"/>
        <v>12270283.513523312</v>
      </c>
      <c r="Q13" s="1">
        <f t="shared" si="1"/>
        <v>13567427.770667203</v>
      </c>
      <c r="R13" s="1">
        <f t="shared" si="1"/>
        <v>14935024.489950459</v>
      </c>
      <c r="S13" s="1">
        <f t="shared" si="1"/>
        <v>16376254.353230681</v>
      </c>
      <c r="T13" s="1">
        <f t="shared" si="1"/>
        <v>17894429.462683123</v>
      </c>
      <c r="U13" s="1">
        <f t="shared" si="1"/>
        <v>19492998.494682811</v>
      </c>
      <c r="V13" s="1">
        <f t="shared" si="1"/>
        <v>21175552.048960701</v>
      </c>
      <c r="W13" s="1">
        <f t="shared" si="1"/>
        <v>22945828.200253818</v>
      </c>
      <c r="X13" s="1">
        <f t="shared" si="1"/>
        <v>24807718.259931553</v>
      </c>
      <c r="Y13" s="1">
        <f t="shared" si="1"/>
        <v>26765272.755351599</v>
      </c>
      <c r="Z13" s="1">
        <f t="shared" si="1"/>
        <v>28822707.634980366</v>
      </c>
      <c r="AA13" s="1">
        <f t="shared" si="1"/>
        <v>30984410.707603902</v>
      </c>
      <c r="AB13" s="1">
        <f t="shared" si="1"/>
        <v>33254948.324257102</v>
      </c>
      <c r="AC13" s="1">
        <f t="shared" si="1"/>
        <v>35639072.311811529</v>
      </c>
      <c r="AD13" s="1">
        <f t="shared" si="1"/>
        <v>38141727.167485408</v>
      </c>
      <c r="AE13" s="1">
        <f t="shared" si="1"/>
        <v>40768057.523875117</v>
      </c>
      <c r="AF13" s="1">
        <f t="shared" si="1"/>
        <v>43523415.894454256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57205665.799898423</v>
      </c>
      <c r="D25" s="40">
        <f>SUM(D11:D13,D18:D23)</f>
        <v>59636826.177230701</v>
      </c>
      <c r="E25" s="40">
        <f t="shared" ref="E25:AF25" si="7">SUM(E11:E13,E18:E23)</f>
        <v>62165002.216933146</v>
      </c>
      <c r="F25" s="40">
        <f t="shared" si="7"/>
        <v>64793913.413171075</v>
      </c>
      <c r="G25" s="40">
        <f t="shared" si="7"/>
        <v>67527417.963698089</v>
      </c>
      <c r="H25" s="40">
        <f t="shared" si="7"/>
        <v>70369517.838123739</v>
      </c>
      <c r="I25" s="40">
        <f t="shared" si="7"/>
        <v>73324364.028517798</v>
      </c>
      <c r="J25" s="40">
        <f t="shared" si="7"/>
        <v>76396261.98883085</v>
      </c>
      <c r="K25" s="40">
        <f t="shared" si="7"/>
        <v>79589677.269838735</v>
      </c>
      <c r="L25" s="40">
        <f t="shared" si="7"/>
        <v>82909241.356554538</v>
      </c>
      <c r="M25" s="40">
        <f t="shared" si="7"/>
        <v>86359757.715295851</v>
      </c>
      <c r="N25" s="40">
        <f t="shared" si="7"/>
        <v>89946208.057847515</v>
      </c>
      <c r="O25" s="40">
        <f t="shared" si="7"/>
        <v>93673758.830422029</v>
      </c>
      <c r="P25" s="40">
        <f t="shared" si="7"/>
        <v>97547767.935390025</v>
      </c>
      <c r="Q25" s="40">
        <f t="shared" si="7"/>
        <v>101573791.69403365</v>
      </c>
      <c r="R25" s="40">
        <f t="shared" si="7"/>
        <v>105757592.05886465</v>
      </c>
      <c r="S25" s="40">
        <f t="shared" si="7"/>
        <v>110105144.08435014</v>
      </c>
      <c r="T25" s="40">
        <f t="shared" si="7"/>
        <v>114622643.66519839</v>
      </c>
      <c r="U25" s="40">
        <f t="shared" si="7"/>
        <v>119316515.55167854</v>
      </c>
      <c r="V25" s="40">
        <f t="shared" si="7"/>
        <v>124193421.65178032</v>
      </c>
      <c r="W25" s="40">
        <f t="shared" si="7"/>
        <v>129260269.63036367</v>
      </c>
      <c r="X25" s="40">
        <f t="shared" si="7"/>
        <v>134524221.81580493</v>
      </c>
      <c r="Y25" s="40">
        <f t="shared" si="7"/>
        <v>139992704.42501289</v>
      </c>
      <c r="Z25" s="40">
        <f t="shared" si="7"/>
        <v>145673417.11807084</v>
      </c>
      <c r="AA25" s="40">
        <f t="shared" si="7"/>
        <v>151574342.89415327</v>
      </c>
      <c r="AB25" s="40">
        <f t="shared" si="7"/>
        <v>157703758.34077603</v>
      </c>
      <c r="AC25" s="40">
        <f t="shared" si="7"/>
        <v>164070244.24885905</v>
      </c>
      <c r="AD25" s="40">
        <f t="shared" si="7"/>
        <v>170682696.60651848</v>
      </c>
      <c r="AE25" s="40">
        <f t="shared" si="7"/>
        <v>177550337.98495725</v>
      </c>
      <c r="AF25" s="40">
        <f t="shared" si="7"/>
        <v>184682729.33029097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40368386.99160666</v>
      </c>
      <c r="D5" s="59">
        <f>C5*('Price and Financial ratios'!F4+1)*(1+Assumptions!$C$13)</f>
        <v>48685002.053265624</v>
      </c>
      <c r="E5" s="59">
        <f>D5*('Price and Financial ratios'!G4+1)*(1+Assumptions!$C$13)</f>
        <v>57222235.688572697</v>
      </c>
      <c r="F5" s="59">
        <f>E5*('Price and Financial ratios'!H4+1)*(1+Assumptions!$C$13)</f>
        <v>67256529.097320408</v>
      </c>
      <c r="G5" s="59">
        <f>F5*('Price and Financial ratios'!I4+1)*(1+Assumptions!$C$13)</f>
        <v>75613427.526911139</v>
      </c>
      <c r="H5" s="59">
        <f>G5*('Price and Financial ratios'!J4+1)*(1+Assumptions!$C$13)</f>
        <v>82690285.498067573</v>
      </c>
      <c r="I5" s="59">
        <f>H5*('Price and Financial ratios'!K4+1)*(1+Assumptions!$C$13)</f>
        <v>90429485.071528643</v>
      </c>
      <c r="J5" s="59">
        <f>I5*('Price and Financial ratios'!L4+1)*(1+Assumptions!$C$13)</f>
        <v>96120315.128095537</v>
      </c>
      <c r="K5" s="59">
        <f>J5*('Price and Financial ratios'!M4+1)*(1+Assumptions!$C$13)</f>
        <v>102169275.57440321</v>
      </c>
      <c r="L5" s="59">
        <f>K5*('Price and Financial ratios'!N4+1)*(1+Assumptions!$C$13)</f>
        <v>108598903.96205328</v>
      </c>
      <c r="M5" s="59">
        <f>L5*('Price and Financial ratios'!O4+1)*(1+Assumptions!$C$13)</f>
        <v>114323221.96251985</v>
      </c>
      <c r="N5" s="59">
        <f>M5*('Price and Financial ratios'!P4+1)*(1+Assumptions!$C$13)</f>
        <v>120349272.442551</v>
      </c>
      <c r="O5" s="59">
        <f>N5*('Price and Financial ratios'!Q4+1)*(1+Assumptions!$C$13)</f>
        <v>126692959.91500166</v>
      </c>
      <c r="P5" s="59">
        <f>O5*('Price and Financial ratios'!R4+1)*(1+Assumptions!$C$13)</f>
        <v>133371027.22981769</v>
      </c>
      <c r="Q5" s="59">
        <f>P5*('Price and Financial ratios'!S4+1)*(1+Assumptions!$C$13)</f>
        <v>140401099.76332253</v>
      </c>
      <c r="R5" s="59">
        <f>Q5*('Price and Financial ratios'!T4+1)*(1+Assumptions!$C$13)</f>
        <v>147801731.93674964</v>
      </c>
      <c r="S5" s="59">
        <f>R5*('Price and Financial ratios'!U4+1)*(1+Assumptions!$C$13)</f>
        <v>154383971.09019995</v>
      </c>
      <c r="T5" s="59">
        <f>S5*('Price and Financial ratios'!V4+1)*(1+Assumptions!$C$13)</f>
        <v>161259345.32201156</v>
      </c>
      <c r="U5" s="59">
        <f>T5*('Price and Financial ratios'!W4+1)*(1+Assumptions!$C$13)</f>
        <v>168440909.18279597</v>
      </c>
      <c r="V5" s="59">
        <f>U5*('Price and Financial ratios'!X4+1)*(1+Assumptions!$C$13)</f>
        <v>175942298.59777409</v>
      </c>
      <c r="W5" s="59">
        <f>V5*('Price and Financial ratios'!Y4+1)*(1+Assumptions!$C$13)</f>
        <v>183777756.75785783</v>
      </c>
      <c r="X5" s="59">
        <f>W5*('Price and Financial ratios'!Z4+1)*(1+Assumptions!$C$13)</f>
        <v>191962161.16377172</v>
      </c>
      <c r="Y5" s="59">
        <f>X5*('Price and Financial ratios'!AA4+1)*(1+Assumptions!$C$13)</f>
        <v>200511051.87456417</v>
      </c>
      <c r="Z5" s="59">
        <f>Y5*('Price and Financial ratios'!AB4+1)*(1+Assumptions!$C$13)</f>
        <v>209440661.01414493</v>
      </c>
      <c r="AA5" s="59">
        <f>Z5*('Price and Financial ratios'!AC4+1)*(1+Assumptions!$C$13)</f>
        <v>218767943.59187394</v>
      </c>
      <c r="AB5" s="59">
        <f>AA5*('Price and Financial ratios'!AD4+1)*(1+Assumptions!$C$13)</f>
        <v>228510609.69572222</v>
      </c>
      <c r="AC5" s="59">
        <f>AB5*('Price and Financial ratios'!AE4+1)*(1+Assumptions!$C$13)</f>
        <v>238687158.11913076</v>
      </c>
      <c r="AD5" s="59">
        <f>AC5*('Price and Financial ratios'!AF4+1)*(1+Assumptions!$C$13)</f>
        <v>249316911.4854165</v>
      </c>
      <c r="AE5" s="59">
        <f>AD5*('Price and Financial ratios'!AG4+1)*(1+Assumptions!$C$13)</f>
        <v>260420052.93641716</v>
      </c>
      <c r="AF5" s="59">
        <f>AE5*('Price and Financial ratios'!AH4+1)*(1+Assumptions!$C$13)</f>
        <v>272017664.45503753</v>
      </c>
    </row>
    <row r="6" spans="1:32" s="11" customFormat="1" x14ac:dyDescent="0.35">
      <c r="A6" s="11" t="s">
        <v>20</v>
      </c>
      <c r="C6" s="59">
        <f>C27</f>
        <v>15615982.213695941</v>
      </c>
      <c r="D6" s="59">
        <f t="shared" ref="D6:AF6" si="1">D27</f>
        <v>17031440.074645638</v>
      </c>
      <c r="E6" s="59">
        <f>E27</f>
        <v>18509183.810974732</v>
      </c>
      <c r="F6" s="59">
        <f t="shared" si="1"/>
        <v>20051605.770638645</v>
      </c>
      <c r="G6" s="59">
        <f t="shared" si="1"/>
        <v>21661188.419947453</v>
      </c>
      <c r="H6" s="59">
        <f t="shared" si="1"/>
        <v>23340507.818953518</v>
      </c>
      <c r="I6" s="59">
        <f t="shared" si="1"/>
        <v>25092237.235891208</v>
      </c>
      <c r="J6" s="59">
        <f t="shared" si="1"/>
        <v>26919150.906429864</v>
      </c>
      <c r="K6" s="59">
        <f t="shared" si="1"/>
        <v>28824127.943746366</v>
      </c>
      <c r="L6" s="59">
        <f t="shared" si="1"/>
        <v>30810156.405679662</v>
      </c>
      <c r="M6" s="59">
        <f t="shared" si="1"/>
        <v>32880337.5254963</v>
      </c>
      <c r="N6" s="59">
        <f t="shared" si="1"/>
        <v>35037890.113074534</v>
      </c>
      <c r="O6" s="59">
        <f t="shared" si="1"/>
        <v>37286155.133605517</v>
      </c>
      <c r="P6" s="59">
        <f t="shared" si="1"/>
        <v>39628600.4712127</v>
      </c>
      <c r="Q6" s="59">
        <f t="shared" si="1"/>
        <v>42068825.885207534</v>
      </c>
      <c r="R6" s="59">
        <f t="shared" si="1"/>
        <v>44610568.167029262</v>
      </c>
      <c r="S6" s="59">
        <f t="shared" si="1"/>
        <v>47257706.506261423</v>
      </c>
      <c r="T6" s="59">
        <f t="shared" si="1"/>
        <v>50014268.074476853</v>
      </c>
      <c r="U6" s="59">
        <f t="shared" si="1"/>
        <v>52884433.836038359</v>
      </c>
      <c r="V6" s="59">
        <f t="shared" si="1"/>
        <v>55872544.595373496</v>
      </c>
      <c r="W6" s="59">
        <f t="shared" si="1"/>
        <v>58983107.290650539</v>
      </c>
      <c r="X6" s="59">
        <f t="shared" si="1"/>
        <v>62220801.544208914</v>
      </c>
      <c r="Y6" s="59">
        <f t="shared" si="1"/>
        <v>65590486.480542332</v>
      </c>
      <c r="Z6" s="59">
        <f t="shared" si="1"/>
        <v>69097207.82309711</v>
      </c>
      <c r="AA6" s="59">
        <f t="shared" si="1"/>
        <v>72746205.281632632</v>
      </c>
      <c r="AB6" s="59">
        <f t="shared" si="1"/>
        <v>76542920.24239701</v>
      </c>
      <c r="AC6" s="59">
        <f t="shared" si="1"/>
        <v>80493003.773897767</v>
      </c>
      <c r="AD6" s="59">
        <f t="shared" si="1"/>
        <v>84602324.961599723</v>
      </c>
      <c r="AE6" s="59">
        <f t="shared" si="1"/>
        <v>88876979.585455447</v>
      </c>
      <c r="AF6" s="59">
        <f t="shared" si="1"/>
        <v>93323299.154774934</v>
      </c>
    </row>
    <row r="7" spans="1:32" x14ac:dyDescent="0.35">
      <c r="A7" t="s">
        <v>21</v>
      </c>
      <c r="C7" s="4">
        <f>Depreciation!C8+Depreciation!C9</f>
        <v>32957479.764064673</v>
      </c>
      <c r="D7" s="4">
        <f>Depreciation!D8+Depreciation!D9</f>
        <v>34612698.188250273</v>
      </c>
      <c r="E7" s="4">
        <f>Depreciation!E8+Depreciation!E9</f>
        <v>36340102.132305346</v>
      </c>
      <c r="F7" s="4">
        <f>Depreciation!F8+Depreciation!F9</f>
        <v>38142616.525835179</v>
      </c>
      <c r="G7" s="4">
        <f>Depreciation!G8+Depreciation!G9</f>
        <v>40023279.575967446</v>
      </c>
      <c r="H7" s="4">
        <f>Depreciation!H8+Depreciation!H9</f>
        <v>41985247.02198571</v>
      </c>
      <c r="I7" s="4">
        <f>Depreciation!I8+Depreciation!I9</f>
        <v>44031796.546263352</v>
      </c>
      <c r="J7" s="4">
        <f>Depreciation!J8+Depreciation!J9</f>
        <v>46166332.347144261</v>
      </c>
      <c r="K7" s="4">
        <f>Depreciation!K8+Depreciation!K9</f>
        <v>48392389.879618183</v>
      </c>
      <c r="L7" s="4">
        <f>Depreciation!L8+Depreciation!L9</f>
        <v>50713640.769846939</v>
      </c>
      <c r="M7" s="4">
        <f>Depreciation!M8+Depreciation!M9</f>
        <v>53133897.909813605</v>
      </c>
      <c r="N7" s="4">
        <f>Depreciation!N8+Depreciation!N9</f>
        <v>55657120.738589838</v>
      </c>
      <c r="O7" s="4">
        <f>Depreciation!O8+Depreciation!O9</f>
        <v>58287420.716948092</v>
      </c>
      <c r="P7" s="4">
        <f>Depreciation!P8+Depreciation!P9</f>
        <v>61029067.002284937</v>
      </c>
      <c r="Q7" s="4">
        <f>Depreciation!Q8+Depreciation!Q9</f>
        <v>63886492.331069194</v>
      </c>
      <c r="R7" s="4">
        <f>Depreciation!R8+Depreciation!R9</f>
        <v>66864299.116285324</v>
      </c>
      <c r="S7" s="4">
        <f>Depreciation!S8+Depreciation!S9</f>
        <v>69967265.76760827</v>
      </c>
      <c r="T7" s="4">
        <f>Depreciation!T8+Depreciation!T9</f>
        <v>73200353.242320791</v>
      </c>
      <c r="U7" s="4">
        <f>Depreciation!U8+Depreciation!U9</f>
        <v>76568711.83526887</v>
      </c>
      <c r="V7" s="4">
        <f>Depreciation!V8+Depreciation!V9</f>
        <v>80077688.216445521</v>
      </c>
      <c r="W7" s="4">
        <f>Depreciation!W8+Depreciation!W9</f>
        <v>83732832.725098163</v>
      </c>
      <c r="X7" s="4">
        <f>Depreciation!X8+Depreciation!X9</f>
        <v>87539906.929570913</v>
      </c>
      <c r="Y7" s="4">
        <f>Depreciation!Y8+Depreciation!Y9</f>
        <v>91504891.462419406</v>
      </c>
      <c r="Z7" s="4">
        <f>Depreciation!Z8+Depreciation!Z9</f>
        <v>95633994.140674353</v>
      </c>
      <c r="AA7" s="4">
        <f>Depreciation!AA8+Depreciation!AA9</f>
        <v>99933658.381480098</v>
      </c>
      <c r="AB7" s="4">
        <f>Depreciation!AB8+Depreciation!AB9</f>
        <v>104410571.92369734</v>
      </c>
      <c r="AC7" s="4">
        <f>Depreciation!AC8+Depreciation!AC9</f>
        <v>109071675.86643383</v>
      </c>
      <c r="AD7" s="4">
        <f>Depreciation!AD8+Depreciation!AD9</f>
        <v>113924174.03585565</v>
      </c>
      <c r="AE7" s="4">
        <f>Depreciation!AE8+Depreciation!AE9</f>
        <v>118975542.6920332</v>
      </c>
      <c r="AF7" s="4">
        <f>Depreciation!AF8+Depreciation!AF9</f>
        <v>124233540.58799338</v>
      </c>
    </row>
    <row r="8" spans="1:32" x14ac:dyDescent="0.35">
      <c r="A8" t="s">
        <v>6</v>
      </c>
      <c r="C8" s="4">
        <f ca="1">'Debt worksheet'!C8</f>
        <v>3299768.0916783107</v>
      </c>
      <c r="D8" s="4">
        <f ca="1">'Debt worksheet'!D8</f>
        <v>4434385.8431395711</v>
      </c>
      <c r="E8" s="4">
        <f ca="1">'Debt worksheet'!E8</f>
        <v>5445807.362711194</v>
      </c>
      <c r="F8" s="4">
        <f ca="1">'Debt worksheet'!F8</f>
        <v>6281266.3375526639</v>
      </c>
      <c r="G8" s="4">
        <f ca="1">'Debt worksheet'!G8</f>
        <v>7001448.2876045266</v>
      </c>
      <c r="H8" s="4">
        <f ca="1">'Debt worksheet'!H8</f>
        <v>7655066.5214195494</v>
      </c>
      <c r="I8" s="4">
        <f ca="1">'Debt worksheet'!I8</f>
        <v>8222399.5732335364</v>
      </c>
      <c r="J8" s="4">
        <f ca="1">'Debt worksheet'!J8</f>
        <v>8781583.4145951476</v>
      </c>
      <c r="K8" s="4">
        <f ca="1">'Debt worksheet'!K8</f>
        <v>9326571.9709497541</v>
      </c>
      <c r="L8" s="4">
        <f ca="1">'Debt worksheet'!L8</f>
        <v>9850558.8123897258</v>
      </c>
      <c r="M8" s="4">
        <f ca="1">'Debt worksheet'!M8</f>
        <v>10386165.157646896</v>
      </c>
      <c r="N8" s="4">
        <f ca="1">'Debt worksheet'!N8</f>
        <v>10930967.935896253</v>
      </c>
      <c r="O8" s="4">
        <f ca="1">'Debt worksheet'!O8</f>
        <v>11482187.904261304</v>
      </c>
      <c r="P8" s="4">
        <f ca="1">'Debt worksheet'!P8</f>
        <v>12036657.870931379</v>
      </c>
      <c r="Q8" s="4">
        <f ca="1">'Debt worksheet'!Q8</f>
        <v>12590788.595324904</v>
      </c>
      <c r="R8" s="4">
        <f ca="1">'Debt worksheet'!R8</f>
        <v>13140532.212896327</v>
      </c>
      <c r="S8" s="4">
        <f ca="1">'Debt worksheet'!S8</f>
        <v>13725174.08850853</v>
      </c>
      <c r="T8" s="4">
        <f ca="1">'Debt worksheet'!T8</f>
        <v>14345480.73899146</v>
      </c>
      <c r="U8" s="4">
        <f ca="1">'Debt worksheet'!U8</f>
        <v>15002157.664418336</v>
      </c>
      <c r="V8" s="4">
        <f ca="1">'Debt worksheet'!V8</f>
        <v>15695840.447820336</v>
      </c>
      <c r="W8" s="4">
        <f ca="1">'Debt worksheet'!W8</f>
        <v>16427085.133192549</v>
      </c>
      <c r="X8" s="4">
        <f ca="1">'Debt worksheet'!X8</f>
        <v>17196357.834260128</v>
      </c>
      <c r="Y8" s="4">
        <f ca="1">'Debt worksheet'!Y8</f>
        <v>18004023.523673385</v>
      </c>
      <c r="Z8" s="4">
        <f ca="1">'Debt worksheet'!Z8</f>
        <v>18850333.949346311</v>
      </c>
      <c r="AA8" s="4">
        <f ca="1">'Debt worksheet'!AA8</f>
        <v>19735414.621537026</v>
      </c>
      <c r="AB8" s="4">
        <f ca="1">'Debt worksheet'!AB8</f>
        <v>20659250.810982183</v>
      </c>
      <c r="AC8" s="4">
        <f ca="1">'Debt worksheet'!AC8</f>
        <v>21621672.494931705</v>
      </c>
      <c r="AD8" s="4">
        <f ca="1">'Debt worksheet'!AD8</f>
        <v>22622338.184275921</v>
      </c>
      <c r="AE8" s="4">
        <f ca="1">'Debt worksheet'!AE8</f>
        <v>23660717.561104421</v>
      </c>
      <c r="AF8" s="4">
        <f ca="1">'Debt worksheet'!AF8</f>
        <v>24736072.851974521</v>
      </c>
    </row>
    <row r="9" spans="1:32" x14ac:dyDescent="0.35">
      <c r="A9" t="s">
        <v>22</v>
      </c>
      <c r="C9" s="4">
        <f ca="1">C5-C6-C7-C8</f>
        <v>-11504843.077832267</v>
      </c>
      <c r="D9" s="4">
        <f t="shared" ref="D9:AF9" ca="1" si="2">D5-D6-D7-D8</f>
        <v>-7393522.0527698593</v>
      </c>
      <c r="E9" s="4">
        <f t="shared" ca="1" si="2"/>
        <v>-3072857.6174185751</v>
      </c>
      <c r="F9" s="4">
        <f t="shared" ca="1" si="2"/>
        <v>2781040.4632939203</v>
      </c>
      <c r="G9" s="4">
        <f t="shared" ca="1" si="2"/>
        <v>6927511.2433917141</v>
      </c>
      <c r="H9" s="4">
        <f t="shared" ca="1" si="2"/>
        <v>9709464.1357087996</v>
      </c>
      <c r="I9" s="4">
        <f t="shared" ca="1" si="2"/>
        <v>13083051.716140546</v>
      </c>
      <c r="J9" s="4">
        <f t="shared" ca="1" si="2"/>
        <v>14253248.459926272</v>
      </c>
      <c r="K9" s="4">
        <f t="shared" ca="1" si="2"/>
        <v>15626185.780088902</v>
      </c>
      <c r="L9" s="4">
        <f t="shared" ca="1" si="2"/>
        <v>17224547.974136963</v>
      </c>
      <c r="M9" s="4">
        <f t="shared" ca="1" si="2"/>
        <v>17922821.369563051</v>
      </c>
      <c r="N9" s="4">
        <f t="shared" ca="1" si="2"/>
        <v>18723293.654990382</v>
      </c>
      <c r="O9" s="4">
        <f t="shared" ca="1" si="2"/>
        <v>19637196.160186753</v>
      </c>
      <c r="P9" s="4">
        <f t="shared" ca="1" si="2"/>
        <v>20676701.885388672</v>
      </c>
      <c r="Q9" s="4">
        <f t="shared" ca="1" si="2"/>
        <v>21854992.951720901</v>
      </c>
      <c r="R9" s="4">
        <f t="shared" ca="1" si="2"/>
        <v>23186332.440538727</v>
      </c>
      <c r="S9" s="4">
        <f t="shared" ca="1" si="2"/>
        <v>23433824.727821723</v>
      </c>
      <c r="T9" s="4">
        <f t="shared" ca="1" si="2"/>
        <v>23699243.266222455</v>
      </c>
      <c r="U9" s="4">
        <f t="shared" ca="1" si="2"/>
        <v>23985605.847070415</v>
      </c>
      <c r="V9" s="4">
        <f t="shared" ca="1" si="2"/>
        <v>24296225.338134736</v>
      </c>
      <c r="W9" s="4">
        <f t="shared" ca="1" si="2"/>
        <v>24634731.608916573</v>
      </c>
      <c r="X9" s="4">
        <f t="shared" ca="1" si="2"/>
        <v>25005094.855731763</v>
      </c>
      <c r="Y9" s="4">
        <f t="shared" ca="1" si="2"/>
        <v>25411650.407929048</v>
      </c>
      <c r="Z9" s="4">
        <f t="shared" ca="1" si="2"/>
        <v>25859125.101027153</v>
      </c>
      <c r="AA9" s="4">
        <f t="shared" ca="1" si="2"/>
        <v>26352665.307224188</v>
      </c>
      <c r="AB9" s="4">
        <f t="shared" ca="1" si="2"/>
        <v>26897866.718645692</v>
      </c>
      <c r="AC9" s="4">
        <f t="shared" ca="1" si="2"/>
        <v>27500805.983867459</v>
      </c>
      <c r="AD9" s="4">
        <f t="shared" ca="1" si="2"/>
        <v>28168074.303685192</v>
      </c>
      <c r="AE9" s="4">
        <f t="shared" ca="1" si="2"/>
        <v>28906813.097824093</v>
      </c>
      <c r="AF9" s="4">
        <f t="shared" ca="1" si="2"/>
        <v>29724751.860294696</v>
      </c>
    </row>
    <row r="12" spans="1:32" x14ac:dyDescent="0.35">
      <c r="A12" t="s">
        <v>79</v>
      </c>
      <c r="C12" s="2">
        <f>Assumptions!$C$25*Assumptions!D9*Assumptions!D13</f>
        <v>14895585.523910416</v>
      </c>
      <c r="D12" s="2">
        <f>Assumptions!$C$25*Assumptions!E9*Assumptions!E13</f>
        <v>15558949.240724023</v>
      </c>
      <c r="E12" s="2">
        <f>Assumptions!$C$25*Assumptions!F9*Assumptions!F13</f>
        <v>16251855.362572895</v>
      </c>
      <c r="F12" s="2">
        <f>Assumptions!$C$25*Assumptions!G9*Assumptions!G13</f>
        <v>16975619.538283076</v>
      </c>
      <c r="G12" s="2">
        <f>Assumptions!$C$25*Assumptions!H9*Assumptions!H13</f>
        <v>17731616.008113213</v>
      </c>
      <c r="H12" s="2">
        <f>Assumptions!$C$25*Assumptions!I9*Assumptions!I13</f>
        <v>18521280.213080008</v>
      </c>
      <c r="I12" s="2">
        <f>Assumptions!$C$25*Assumptions!J9*Assumptions!J13</f>
        <v>19346111.520488027</v>
      </c>
      <c r="J12" s="2">
        <f>Assumptions!$C$25*Assumptions!K9*Assumptions!K13</f>
        <v>20207676.070838947</v>
      </c>
      <c r="K12" s="2">
        <f>Assumptions!$C$25*Assumptions!L9*Assumptions!L13</f>
        <v>21107609.751525708</v>
      </c>
      <c r="L12" s="2">
        <f>Assumptions!$C$25*Assumptions!M9*Assumptions!M13</f>
        <v>22047621.302957982</v>
      </c>
      <c r="M12" s="2">
        <f>Assumptions!$C$25*Assumptions!N9*Assumptions!N13</f>
        <v>23029495.563016586</v>
      </c>
      <c r="N12" s="2">
        <f>Assumptions!$C$25*Assumptions!O9*Assumptions!O13</f>
        <v>24055096.855997149</v>
      </c>
      <c r="O12" s="2">
        <f>Assumptions!$C$25*Assumptions!P9*Assumptions!P13</f>
        <v>25126372.532478012</v>
      </c>
      <c r="P12" s="2">
        <f>Assumptions!$C$25*Assumptions!Q9*Assumptions!Q13</f>
        <v>26245356.666833285</v>
      </c>
      <c r="Q12" s="2">
        <f>Assumptions!$C$25*Assumptions!R9*Assumptions!R13</f>
        <v>27414173.919412073</v>
      </c>
      <c r="R12" s="2">
        <f>Assumptions!$C$25*Assumptions!S9*Assumptions!S13</f>
        <v>28635043.570716772</v>
      </c>
      <c r="S12" s="2">
        <f>Assumptions!$C$25*Assumptions!T9*Assumptions!T13</f>
        <v>29910283.735240601</v>
      </c>
      <c r="T12" s="2">
        <f>Assumptions!$C$25*Assumptions!U9*Assumptions!U13</f>
        <v>31242315.762965139</v>
      </c>
      <c r="U12" s="2">
        <f>Assumptions!$C$25*Assumptions!V9*Assumptions!V13</f>
        <v>32633668.836875334</v>
      </c>
      <c r="V12" s="2">
        <f>Assumptions!$C$25*Assumptions!W9*Assumptions!W13</f>
        <v>34086984.775221273</v>
      </c>
      <c r="W12" s="2">
        <f>Assumptions!$C$25*Assumptions!X9*Assumptions!X13</f>
        <v>35605023.047645189</v>
      </c>
      <c r="X12" s="2">
        <f>Assumptions!$C$25*Assumptions!Y9*Assumptions!Y13</f>
        <v>37190666.014697857</v>
      </c>
      <c r="Y12" s="2">
        <f>Assumptions!$C$25*Assumptions!Z9*Assumptions!Z13</f>
        <v>38846924.400692925</v>
      </c>
      <c r="Z12" s="2">
        <f>Assumptions!$C$25*Assumptions!AA9*Assumptions!AA13</f>
        <v>40576943.010290742</v>
      </c>
      <c r="AA12" s="2">
        <f>Assumptions!$C$25*Assumptions!AB9*Assumptions!AB13</f>
        <v>42384006.699665874</v>
      </c>
      <c r="AB12" s="2">
        <f>Assumptions!$C$25*Assumptions!AC9*Assumptions!AC13</f>
        <v>44271546.613596171</v>
      </c>
      <c r="AC12" s="2">
        <f>Assumptions!$C$25*Assumptions!AD9*Assumptions!AD13</f>
        <v>46243146.700315841</v>
      </c>
      <c r="AD12" s="2">
        <f>Assumptions!$C$25*Assumptions!AE9*Assumptions!AE13</f>
        <v>48302550.516502663</v>
      </c>
      <c r="AE12" s="2">
        <f>Assumptions!$C$25*Assumptions!AF9*Assumptions!AF13</f>
        <v>50453668.335320212</v>
      </c>
      <c r="AF12" s="2">
        <f>Assumptions!$C$25*Assumptions!AG9*Assumptions!AG13</f>
        <v>52700584.571011268</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720396.68978552602</v>
      </c>
      <c r="D14" s="5">
        <f>Assumptions!E122*Assumptions!E9</f>
        <v>1472490.833921615</v>
      </c>
      <c r="E14" s="5">
        <f>Assumptions!F122*Assumptions!F9</f>
        <v>2257328.4484018362</v>
      </c>
      <c r="F14" s="5">
        <f>Assumptions!G122*Assumptions!G9</f>
        <v>3075986.2323555686</v>
      </c>
      <c r="G14" s="5">
        <f>Assumptions!H122*Assumptions!H9</f>
        <v>3929572.411834239</v>
      </c>
      <c r="H14" s="5">
        <f>Assumptions!I122*Assumptions!I9</f>
        <v>4819227.6058735102</v>
      </c>
      <c r="I14" s="5">
        <f>Assumptions!J122*Assumptions!J9</f>
        <v>5746125.7154031815</v>
      </c>
      <c r="J14" s="5">
        <f>Assumptions!K122*Assumptions!K9</f>
        <v>6711474.8355909176</v>
      </c>
      <c r="K14" s="5">
        <f>Assumptions!L122*Assumptions!L9</f>
        <v>7716518.1922206571</v>
      </c>
      <c r="L14" s="5">
        <f>Assumptions!M122*Assumptions!M9</f>
        <v>8762535.10272168</v>
      </c>
      <c r="M14" s="5">
        <f>Assumptions!N122*Assumptions!N9</f>
        <v>9850841.9624797143</v>
      </c>
      <c r="N14" s="5">
        <f>Assumptions!O122*Assumptions!O9</f>
        <v>10982793.257077383</v>
      </c>
      <c r="O14" s="5">
        <f>Assumptions!P122*Assumptions!P9</f>
        <v>12159782.601127507</v>
      </c>
      <c r="P14" s="5">
        <f>Assumptions!Q122*Assumptions!Q9</f>
        <v>13383243.804379411</v>
      </c>
      <c r="Q14" s="5">
        <f>Assumptions!R122*Assumptions!R9</f>
        <v>14654651.965795459</v>
      </c>
      <c r="R14" s="5">
        <f>Assumptions!S122*Assumptions!S9</f>
        <v>15975524.596312489</v>
      </c>
      <c r="S14" s="5">
        <f>Assumptions!T122*Assumptions!T9</f>
        <v>17347422.771020826</v>
      </c>
      <c r="T14" s="5">
        <f>Assumptions!U122*Assumptions!U9</f>
        <v>18771952.31151171</v>
      </c>
      <c r="U14" s="5">
        <f>Assumptions!V122*Assumptions!V9</f>
        <v>20250764.999163024</v>
      </c>
      <c r="V14" s="5">
        <f>Assumptions!W122*Assumptions!W9</f>
        <v>21785559.820152223</v>
      </c>
      <c r="W14" s="5">
        <f>Assumptions!X122*Assumptions!X9</f>
        <v>23378084.24300535</v>
      </c>
      <c r="X14" s="5">
        <f>Assumptions!Y122*Assumptions!Y9</f>
        <v>25030135.529511061</v>
      </c>
      <c r="Y14" s="5">
        <f>Assumptions!Z122*Assumptions!Z9</f>
        <v>26743562.079849407</v>
      </c>
      <c r="Z14" s="5">
        <f>Assumptions!AA122*Assumptions!AA9</f>
        <v>28520264.81280636</v>
      </c>
      <c r="AA14" s="5">
        <f>Assumptions!AB122*Assumptions!AB9</f>
        <v>30362198.581966765</v>
      </c>
      <c r="AB14" s="5">
        <f>Assumptions!AC122*Assumptions!AC9</f>
        <v>32271373.628800835</v>
      </c>
      <c r="AC14" s="5">
        <f>Assumptions!AD122*Assumptions!AD9</f>
        <v>34249857.073581934</v>
      </c>
      <c r="AD14" s="5">
        <f>Assumptions!AE122*Assumptions!AE9</f>
        <v>36299774.445097059</v>
      </c>
      <c r="AE14" s="5">
        <f>Assumptions!AF122*Assumptions!AF9</f>
        <v>38423311.250135228</v>
      </c>
      <c r="AF14" s="5">
        <f>Assumptions!AG122*Assumptions!AG9</f>
        <v>40622714.583763659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191</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15615982.213695941</v>
      </c>
      <c r="D27" s="2">
        <f t="shared" ref="D27:AF27" si="8">D12+D13+D14+D19+D20+D22+D24+D25</f>
        <v>17031440.074645638</v>
      </c>
      <c r="E27" s="2">
        <f t="shared" si="8"/>
        <v>18509183.810974732</v>
      </c>
      <c r="F27" s="2">
        <f t="shared" si="8"/>
        <v>20051605.770638645</v>
      </c>
      <c r="G27" s="2">
        <f t="shared" si="8"/>
        <v>21661188.419947453</v>
      </c>
      <c r="H27" s="2">
        <f t="shared" si="8"/>
        <v>23340507.818953518</v>
      </c>
      <c r="I27" s="2">
        <f t="shared" si="8"/>
        <v>25092237.235891208</v>
      </c>
      <c r="J27" s="2">
        <f t="shared" si="8"/>
        <v>26919150.906429864</v>
      </c>
      <c r="K27" s="2">
        <f t="shared" si="8"/>
        <v>28824127.943746366</v>
      </c>
      <c r="L27" s="2">
        <f t="shared" si="8"/>
        <v>30810156.405679662</v>
      </c>
      <c r="M27" s="2">
        <f t="shared" si="8"/>
        <v>32880337.5254963</v>
      </c>
      <c r="N27" s="2">
        <f t="shared" si="8"/>
        <v>35037890.113074534</v>
      </c>
      <c r="O27" s="2">
        <f t="shared" si="8"/>
        <v>37286155.133605517</v>
      </c>
      <c r="P27" s="2">
        <f t="shared" si="8"/>
        <v>39628600.4712127</v>
      </c>
      <c r="Q27" s="2">
        <f t="shared" si="8"/>
        <v>42068825.885207534</v>
      </c>
      <c r="R27" s="2">
        <f t="shared" si="8"/>
        <v>44610568.167029262</v>
      </c>
      <c r="S27" s="2">
        <f t="shared" si="8"/>
        <v>47257706.506261423</v>
      </c>
      <c r="T27" s="2">
        <f t="shared" si="8"/>
        <v>50014268.074476853</v>
      </c>
      <c r="U27" s="2">
        <f t="shared" si="8"/>
        <v>52884433.836038359</v>
      </c>
      <c r="V27" s="2">
        <f t="shared" si="8"/>
        <v>55872544.595373496</v>
      </c>
      <c r="W27" s="2">
        <f t="shared" si="8"/>
        <v>58983107.290650539</v>
      </c>
      <c r="X27" s="2">
        <f t="shared" si="8"/>
        <v>62220801.544208914</v>
      </c>
      <c r="Y27" s="2">
        <f t="shared" si="8"/>
        <v>65590486.480542332</v>
      </c>
      <c r="Z27" s="2">
        <f t="shared" si="8"/>
        <v>69097207.82309711</v>
      </c>
      <c r="AA27" s="2">
        <f t="shared" si="8"/>
        <v>72746205.281632632</v>
      </c>
      <c r="AB27" s="2">
        <f t="shared" si="8"/>
        <v>76542920.24239701</v>
      </c>
      <c r="AC27" s="2">
        <f t="shared" si="8"/>
        <v>80493003.773897767</v>
      </c>
      <c r="AD27" s="2">
        <f t="shared" si="8"/>
        <v>84602324.961599723</v>
      </c>
      <c r="AE27" s="2">
        <f t="shared" si="8"/>
        <v>88876979.585455447</v>
      </c>
      <c r="AF27" s="2">
        <f t="shared" si="8"/>
        <v>93323299.154774934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3W2DU3RAJ5R2-1900874439-826</_dlc_DocId>
    <_dlc_DocIdUrl xmlns="f54e2983-00ce-40fc-8108-18f351fc47bf">
      <Url>https://dia.cohesion.net.nz/Sites/LGV/TWRP/CAE/_layouts/15/DocIdRedir.aspx?ID=3W2DU3RAJ5R2-1900874439-826</Url>
      <Description>3W2DU3RAJ5R2-1900874439-826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708DF8-E907-4701-B006-172F83F659EC}"/>
</file>

<file path=customXml/itemProps2.xml><?xml version="1.0" encoding="utf-8"?>
<ds:datastoreItem xmlns:ds="http://schemas.openxmlformats.org/officeDocument/2006/customXml" ds:itemID="{CBCC2D2A-763C-48F8-A3E5-6B0A81386C39}">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65b6d800-2dda-48d6-88d8-9e2b35e6f7ea"/>
    <ds:schemaRef ds:uri="http://schemas.openxmlformats.org/package/2006/metadata/core-properties"/>
    <ds:schemaRef ds:uri="08a23fc5-e034-477c-ac83-93bc1440f322"/>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93204CE4-0390-4302-BB5B-CFCE8845C8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2021-07-01T15:18:23Z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685bd456-8d22-42a1-90ab-2d006a21f6a2</vt:lpwstr>
  </property>
</Properties>
</file>