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5" documentId="8_{0FE28C42-48D5-486B-B9B5-C3E885C61485}" xr6:coauthVersionLast="45" xr6:coauthVersionMax="47" xr10:uidLastSave="{6226EE51-AF06-4752-A5D7-802861A8512D}"/>
  <bookViews>
    <workbookView xWindow="-110" yWindow="-110" windowWidth="22780" windowHeight="1466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H115" i="2" s="1"/>
  <c r="C24" i="8"/>
  <c r="C25" i="8"/>
  <c r="D24" i="8"/>
  <c r="D25" i="8"/>
  <c r="E24" i="8"/>
  <c r="E25" i="8"/>
  <c r="F24" i="8"/>
  <c r="F25" i="8"/>
  <c r="H43" i="2"/>
  <c r="H118" i="2" l="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<sst xmlns="http://schemas.openxmlformats.org/spreadsheetml/2006/main" count="277" uniqueCount="204">
  <si>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</si>
  <si>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</si>
  <si>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</si>
  <si>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</si>
  <si>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</si>
  <si>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</si>
  <si>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</si>
  <si>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</si>
  <si>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</si>
  <si>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</si>
  <si>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</si>
  <si>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</si>
  <si>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</si>
  <si>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</si>
  <si>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</si>
  <si>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</si>
  <si>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</si>
  <si>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</si>
  <si>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</si>
  <si>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</si>
  <si>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</si>
  <si>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</si>
  <si>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</si>
  <si>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</si>
  <si>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</si>
  <si>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</si>
  <si>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</si>
  <si>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</si>
  <si>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</si>
  <si>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</si>
  <si>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</si>
  <si>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</si>
  <si>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</si>
  <si>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</si>
  <si>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</si>
  <si>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</si>
  <si>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</si>
  <si>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</si>
  <si>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</si>
  <si>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</si>
  <si>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</si>
  <si>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</si>
  <si>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</si>
  <si>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</si>
  <si>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</si>
  <si>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</si>
  <si>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</si>
  <si>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</si>
  <si>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</si>
  <si>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</si>
  <si>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</si>
  <si>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</si>
  <si>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</si>
  <si>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</si>
  <si>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</si>
  <si>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</si>
  <si>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</si>
  <si>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</si>
  <si>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</si>
  <si>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</si>
  <si>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</si>
  <si>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</si>
  <si>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</si>
  <si>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</si>
  <si>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</si>
  <si>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</si>
  <si>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</si>
  <si>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</si>
  <si>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</si>
  <si>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</si>
  <si>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</si>
  <si>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</si>
  <si>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</si>
  <si>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</si>
  <si>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</si>
  <si>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</si>
  <si>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</si>
  <si>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</si>
  <si>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</si>
  <si>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</si>
  <si>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</si>
  <si>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</si>
  <si>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</si>
  <si>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</si>
  <si>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</si>
  <si>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</si>
  <si>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</si>
  <si>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</si>
  <si>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</si>
  <si>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</si>
  <si>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</si>
  <si>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</si>
  <si>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</si>
  <si>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</si>
  <si>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</si>
  <si>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</si>
  <si>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</si>
  <si>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</si>
  <si>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</si>
  <si>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</si>
  <si>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</si>
  <si>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</si>
  <si>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</si>
  <si>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</si>
  <si>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</si>
  <si>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</si>
  <si>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</si>
  <si>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</si>
  <si>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</si>
  <si>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</si>
  <si>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</si>
  <si>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</si>
  <si>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</si>
  <si>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</si>
  <si>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</si>
  <si>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</si>
  <si>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</si>
  <si>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</si>
  <si>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</si>
  <si>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</si>
  <si>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</si>
  <si>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</si>
  <si>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</si>
  <si>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</si>
  <si>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</si>
  <si>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</si>
  <si>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</si>
  <si>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</si>
  <si>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</si>
  <si>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</si>
  <si>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</si>
  <si>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</si>
  <si>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</si>
  <si>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</si>
  <si>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</si>
  <si>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</si>
  <si>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</si>
  <si>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</si>
  <si>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</si>
  <si>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</si>
  <si>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</si>
  <si>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</si>
  <si>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</si>
  <si>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</si>
  <si>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</si>
  <si>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</si>
  <si>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</si>
  <si>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</si>
  <si>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</si>
  <si>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</si>
  <si>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</si>
  <si>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</si>
  <si>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</si>
  <si>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</si>
  <si>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</si>
  <si>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</si>
  <si>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</si>
  <si>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</si>
  <si>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</si>
  <si>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</si>
  <si>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</si>
  <si>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</si>
  <si>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</si>
  <si>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</si>
  <si>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</si>
  <si>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</si>
  <si>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</si>
  <si>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</si>
  <si>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</si>
  <si>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</si>
  <si>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</si>
  <si>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</si>
  <si>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</si>
  <si>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</si>
  <si>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</si>
  <si>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</si>
  <si>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</si>
  <si>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</si>
  <si>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</si>
  <si>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</si>
  <si>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</si>
  <si>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</si>
  <si>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</si>
  <si>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</si>
  <si>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</si>
  <si>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</si>
  <si>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</si>
  <si>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</si>
  <si>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</si>
  <si>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</si>
  <si>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</si>
  <si>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</si>
  <si>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</si>
  <si>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</si>
  <si>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</si>
  <si>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</si>
  <si>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A1.47</t>
  </si>
  <si>
    <t>New Plymouth Stand-alone Council</t>
  </si>
  <si>
    <t>Funding Impact Statements for water, wastewater and stormwater from the Council Annual Report 2019/20. The Annual Report was used given that the operating expenditure reported in Section E did not reconcile with that reported in the Annual Report and Accounts</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</si>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</sst>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 numFmtId="178" formatCode="_(* #,##0.0_);_(* \(#,##0.0\);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3" fillId="0" borderId="0" xfId="0" applyFont="1" applyFill="1" applyBorder="1" applyAlignment="1">
      <alignment vertical="top" wrapText="1"/>
    </xf>
    <xf numFmtId="166" fontId="10" fillId="0" borderId="0" xfId="0" applyNumberFormat="1" applyFont="1" applyFill="1" applyAlignment="1">
      <alignment vertical="top" wrapText="1"/>
    </xf>
    <xf numFmtId="165" fontId="0" fillId="0" borderId="9" xfId="1" applyNumberFormat="1" applyFont="1" applyFill="1" applyBorder="1" applyAlignment="1">
      <alignment vertical="top"/>
    </xf>
    <xf numFmtId="178" fontId="0" fillId="0" borderId="9" xfId="1" applyNumberFormat="1" applyFont="1" applyFill="1" applyBorder="1" applyAlignment="1">
      <alignment vertical="top"/>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1279105000</v>
      </c>
      <c r="C6" s="12">
        <f ca="1">B6+Depreciation!C18+'Cash Flow'!C13</f>
        <v>1296918970.740977</v>
      </c>
      <c r="D6" s="1">
        <f ca="1">C6+Depreciation!D18</f>
        <v>1364354218.2864151</v>
      </c>
      <c r="E6" s="1">
        <f ca="1">D6+Depreciation!E18</f>
        <v>1435062904.0426245</v>
      </c>
      <c r="F6" s="1">
        <f ca="1">E6+Depreciation!F18</f>
        <v>1509185474.3616083</v>
      </c>
      <c r="G6" s="1">
        <f ca="1">F6+Depreciation!G18</f>
        <v>1586855840.7343228</v>
      </c>
      <c r="H6" s="1">
        <f ca="1">G6+Depreciation!H18</f>
        <v>1668224869.2158802</v>
      </c>
      <c r="I6" s="1">
        <f ca="1">H6+Depreciation!I18</f>
        <v>1753449439.0937946</v>
      </c>
      <c r="J6" s="1">
        <f ca="1">I6+Depreciation!J18</f>
        <v>1842692672.9542446</v>
      </c>
      <c r="K6" s="1">
        <f ca="1">J6+Depreciation!K18</f>
        <v>1936124175.3056996</v>
      </c>
      <c r="L6" s="1">
        <f ca="1">K6+Depreciation!L18</f>
        <v>2033928813.1413782</v>
      </c>
      <c r="M6" s="1">
        <f ca="1">L6+Depreciation!M18</f>
        <v>2136290656.0338089</v>
      </c>
      <c r="N6" s="1">
        <f ca="1">M6+Depreciation!N18</f>
        <v>2243401071.5393605</v>
      </c>
      <c r="O6" s="1">
        <f ca="1">N6+Depreciation!O18</f>
        <v>2355459003.6423006</v>
      </c>
      <c r="P6" s="1">
        <f ca="1">O6+Depreciation!P18</f>
        <v>2472671261.5416861</v>
      </c>
      <c r="Q6" s="1">
        <f ca="1">P6+Depreciation!Q18</f>
        <v>2595255039.3022962</v>
      </c>
      <c r="R6" s="1">
        <f ca="1">Q6+Depreciation!R18</f>
        <v>2723433981.6034532</v>
      </c>
      <c r="S6" s="1">
        <f ca="1">R6+Depreciation!S18</f>
        <v>2857440542.5230427</v>
      </c>
      <c r="T6" s="1">
        <f ca="1">S6+Depreciation!T18</f>
        <v>2997516320.2175112</v>
      </c>
      <c r="U6" s="1">
        <f ca="1">T6+Depreciation!U18</f>
        <v>3143912403.9970655</v>
      </c>
      <c r="V6" s="1">
        <f ca="1">U6+Depreciation!V18</f>
        <v>3296894936.7644491</v>
      </c>
      <c r="W6" s="1">
        <f ca="1">V6+Depreciation!W18</f>
        <v>3456735541.665092</v>
      </c>
      <c r="X6" s="1">
        <f ca="1">W6+Depreciation!X18</f>
        <v>3623716481.2019691</v>
      </c>
      <c r="Y6" s="1">
        <f ca="1">X6+Depreciation!Y18</f>
        <v>3798131060.0123816</v>
      </c>
      <c r="Z6" s="1">
        <f ca="1">Y6+Depreciation!Z18</f>
        <v>3980284042.5277495</v>
      </c>
      <c r="AA6" s="1">
        <f ca="1">Z6+Depreciation!AA18</f>
        <v>4170492086.0564885</v>
      </c>
      <c r="AB6" s="1">
        <f ca="1">AA6+Depreciation!AB18</f>
        <v>4369084189.8493586</v>
      </c>
      <c r="AC6" s="1">
        <f ca="1">AB6+Depreciation!AC18</f>
        <v>4576402160.7266903</v>
      </c>
      <c r="AD6" s="1">
        <f ca="1">AC6+Depreciation!AD18</f>
        <v>4792801095.8676052</v>
      </c>
      <c r="AE6" s="1">
        <f ca="1">AD6+Depreciation!AE18</f>
        <v>5018649883.3827944</v>
      </c>
      <c r="AF6" s="1"/>
      <c r="AG6" s="1"/>
      <c r="AH6" s="1"/>
      <c r="AI6" s="1"/>
      <c r="AJ6" s="1"/>
      <c r="AK6" s="1"/>
      <c r="AL6" s="1"/>
      <c r="AM6" s="1"/>
      <c r="AN6" s="1"/>
      <c r="AO6" s="1"/>
      <c r="AP6" s="1"/>
    </row>
    <row r="7" spans="1:42" x14ac:dyDescent="0.35">
      <c r="A7" t="s">
        <v>12</v>
      </c>
      <c r="B7" s="1">
        <f>Depreciation!C12</f>
        <v>660207499.1261673</v>
      </c>
      <c r="C7" s="1">
        <f>Depreciation!D12</f>
        <v>682604379.04735398</v>
      </c>
      <c r="D7" s="1">
        <f>Depreciation!E12</f>
        <v>706833469.41533613</v>
      </c>
      <c r="E7" s="1">
        <f>Depreciation!F12</f>
        <v>732989097.29366922</v>
      </c>
      <c r="F7" s="1">
        <f>Depreciation!G12</f>
        <v>761169465.2266624</v>
      </c>
      <c r="G7" s="1">
        <f>Depreciation!H12</f>
        <v>791477078.8891685</v>
      </c>
      <c r="H7" s="1">
        <f>Depreciation!I12</f>
        <v>824018921.63992667</v>
      </c>
      <c r="I7" s="1">
        <f>Depreciation!J12</f>
        <v>858906635.83077943</v>
      </c>
      <c r="J7" s="1">
        <f>Depreciation!K12</f>
        <v>896256711.12511039</v>
      </c>
      <c r="K7" s="1">
        <f>Depreciation!L12</f>
        <v>936190880.08195198</v>
      </c>
      <c r="L7" s="1">
        <f>Depreciation!M12</f>
        <v>978836140.42656028</v>
      </c>
      <c r="M7" s="1">
        <f>Depreciation!N12</f>
        <v>1024324967.2310222</v>
      </c>
      <c r="N7" s="1">
        <f>Depreciation!O12</f>
        <v>1072795533.2785567</v>
      </c>
      <c r="O7" s="1">
        <f>Depreciation!P12</f>
        <v>1124391937.9178545</v>
      </c>
      <c r="P7" s="1">
        <f>Depreciation!Q12</f>
        <v>1179264496.7596612</v>
      </c>
      <c r="Q7" s="1">
        <f>Depreciation!R12</f>
        <v>1237569941.4276028</v>
      </c>
      <c r="R7" s="1">
        <f>Depreciation!S12</f>
        <v>1299471676.1535654</v>
      </c>
      <c r="S7" s="1">
        <f>Depreciation!T12</f>
        <v>1365140044.2217889</v>
      </c>
      <c r="T7" s="1">
        <f>Depreciation!U12</f>
        <v>1434752604.6291287</v>
      </c>
      <c r="U7" s="1">
        <f>Depreciation!V12</f>
        <v>1508494541.2763863</v>
      </c>
      <c r="V7" s="1">
        <f>Depreciation!W12</f>
        <v>1586558850.9810593</v>
      </c>
      <c r="W7" s="1">
        <f>Depreciation!X12</f>
        <v>1669146653.8756957</v>
      </c>
      <c r="X7" s="1">
        <f>Depreciation!Y12</f>
        <v>1756467515.6713154</v>
      </c>
      <c r="Y7" s="1">
        <f>Depreciation!Z12</f>
        <v>1848739782.2274172</v>
      </c>
      <c r="Z7" s="1">
        <f>Depreciation!AA12</f>
        <v>1946190926.8861935</v>
      </c>
      <c r="AA7" s="1">
        <f>Depreciation!AB12</f>
        <v>2049057911.0452619</v>
      </c>
      <c r="AB7" s="1">
        <f>Depreciation!AC12</f>
        <v>2157587558.4605103</v>
      </c>
      <c r="AC7" s="1">
        <f>Depreciation!AD12</f>
        <v>2272036943.7885556</v>
      </c>
      <c r="AD7" s="1">
        <f>Depreciation!AE12</f>
        <v>2392673795.8968639</v>
      </c>
      <c r="AE7" s="1">
        <f>Depreciation!AF12</f>
        <v>2519776916.4887953</v>
      </c>
      <c r="AF7" s="1"/>
      <c r="AG7" s="1"/>
      <c r="AH7" s="1"/>
      <c r="AI7" s="1"/>
      <c r="AJ7" s="1"/>
      <c r="AK7" s="1"/>
      <c r="AL7" s="1"/>
      <c r="AM7" s="1"/>
      <c r="AN7" s="1"/>
      <c r="AO7" s="1"/>
      <c r="AP7" s="1"/>
    </row>
    <row r="8" spans="1:42" x14ac:dyDescent="0.35">
      <c r="A8" t="s">
        <v>191</v>
      </c>
      <c r="B8" s="1">
        <f t="shared" ref="B8:AE8" si="1">B6-B7</f>
        <v>618897500.8738327</v>
      </c>
      <c r="C8" s="1">
        <f t="shared" ca="1" si="1"/>
        <v>614314591.69362307</v>
      </c>
      <c r="D8" s="1">
        <f ca="1">D6-D7</f>
        <v>657520748.87107897</v>
      </c>
      <c r="E8" s="1">
        <f t="shared" ca="1" si="1"/>
        <v>702073806.74895525</v>
      </c>
      <c r="F8" s="1">
        <f t="shared" ca="1" si="1"/>
        <v>748016009.13494587</v>
      </c>
      <c r="G8" s="1">
        <f t="shared" ca="1" si="1"/>
        <v>795378761.84515429</v>
      </c>
      <c r="H8" s="1">
        <f t="shared" ca="1" si="1"/>
        <v>844205947.57595348</v>
      </c>
      <c r="I8" s="1">
        <f t="shared" ca="1" si="1"/>
        <v>894542803.26301515</v>
      </c>
      <c r="J8" s="1">
        <f t="shared" ca="1" si="1"/>
        <v>946435961.82913423</v>
      </c>
      <c r="K8" s="1">
        <f t="shared" ca="1" si="1"/>
        <v>999933295.22374761</v>
      </c>
      <c r="L8" s="1">
        <f t="shared" ca="1" si="1"/>
        <v>1055092672.7148179</v>
      </c>
      <c r="M8" s="1">
        <f t="shared" ca="1" si="1"/>
        <v>1111965688.8027868</v>
      </c>
      <c r="N8" s="1">
        <f t="shared" ca="1" si="1"/>
        <v>1170605538.2608037</v>
      </c>
      <c r="O8" s="1">
        <f t="shared" ca="1" si="1"/>
        <v>1231067065.7244461</v>
      </c>
      <c r="P8" s="1">
        <f t="shared" ca="1" si="1"/>
        <v>1293406764.7820249</v>
      </c>
      <c r="Q8" s="1">
        <f t="shared" ca="1" si="1"/>
        <v>1357685097.8746934</v>
      </c>
      <c r="R8" s="1">
        <f t="shared" ca="1" si="1"/>
        <v>1423962305.4498878</v>
      </c>
      <c r="S8" s="1">
        <f t="shared" ca="1" si="1"/>
        <v>1492300498.3012538</v>
      </c>
      <c r="T8" s="1">
        <f t="shared" ca="1" si="1"/>
        <v>1562763715.5883825</v>
      </c>
      <c r="U8" s="1">
        <f t="shared" ca="1" si="1"/>
        <v>1635417862.7206793</v>
      </c>
      <c r="V8" s="1">
        <f t="shared" ca="1" si="1"/>
        <v>1710336085.7833898</v>
      </c>
      <c r="W8" s="1">
        <f t="shared" ca="1" si="1"/>
        <v>1787588887.7893963</v>
      </c>
      <c r="X8" s="1">
        <f t="shared" ca="1" si="1"/>
        <v>1867248965.5306537</v>
      </c>
      <c r="Y8" s="1">
        <f t="shared" ca="1" si="1"/>
        <v>1949391277.7849643</v>
      </c>
      <c r="Z8" s="1">
        <f t="shared" ca="1" si="1"/>
        <v>2034093115.641556</v>
      </c>
      <c r="AA8" s="1">
        <f t="shared" ca="1" si="1"/>
        <v>2121434175.0112267</v>
      </c>
      <c r="AB8" s="1">
        <f t="shared" ca="1" si="1"/>
        <v>2211496631.3888483</v>
      </c>
      <c r="AC8" s="1">
        <f t="shared" ca="1" si="1"/>
        <v>2304365216.9381347</v>
      </c>
      <c r="AD8" s="1">
        <f t="shared" ca="1" si="1"/>
        <v>2400127299.9707413</v>
      </c>
      <c r="AE8" s="1">
        <f t="shared" ca="1" si="1"/>
        <v>2498872966.8939991</v>
      </c>
      <c r="AF8" s="1"/>
      <c r="AG8" s="1"/>
      <c r="AH8" s="1"/>
      <c r="AI8" s="1"/>
      <c r="AJ8" s="1"/>
      <c r="AK8" s="1"/>
      <c r="AL8" s="1"/>
      <c r="AM8" s="1"/>
      <c r="AN8" s="1"/>
      <c r="AO8" s="1"/>
      <c r="AP8" s="1"/>
    </row>
    <row r="10" spans="1:42" x14ac:dyDescent="0.35">
      <c r="A10" t="s">
        <v>17</v>
      </c>
      <c r="B10" s="1">
        <f>B8-B11</f>
        <v>523661500.8738327</v>
      </c>
      <c r="C10" s="1">
        <f ca="1">C8-C11</f>
        <v>472595734.21516597</v>
      </c>
      <c r="D10" s="1">
        <f ca="1">D8-D11</f>
        <v>478931989.98883885</v>
      </c>
      <c r="E10" s="1">
        <f t="shared" ref="E10:AE10" ca="1" si="2">E8-E11</f>
        <v>493002245.90737319</v>
      </c>
      <c r="F10" s="1">
        <f t="shared" ca="1" si="2"/>
        <v>513873311.92997772</v>
      </c>
      <c r="G10" s="1">
        <f ca="1">G8-G11</f>
        <v>539124448.73906124</v>
      </c>
      <c r="H10" s="1">
        <f t="shared" ca="1" si="2"/>
        <v>569774414.37349987</v>
      </c>
      <c r="I10" s="1">
        <f t="shared" ca="1" si="2"/>
        <v>604795513.35573733</v>
      </c>
      <c r="J10" s="1">
        <f t="shared" ca="1" si="2"/>
        <v>642598217.89463067</v>
      </c>
      <c r="K10" s="1">
        <f t="shared" ca="1" si="2"/>
        <v>682329966.49353564</v>
      </c>
      <c r="L10" s="1">
        <f t="shared" ca="1" si="2"/>
        <v>724248074.94780731</v>
      </c>
      <c r="M10" s="1">
        <f t="shared" ca="1" si="2"/>
        <v>768645900.97314274</v>
      </c>
      <c r="N10" s="1">
        <f t="shared" ca="1" si="2"/>
        <v>814304936.48985696</v>
      </c>
      <c r="O10" s="1">
        <f t="shared" ca="1" si="2"/>
        <v>861352615.49394596</v>
      </c>
      <c r="P10" s="1">
        <f t="shared" ca="1" si="2"/>
        <v>909930241.42539978</v>
      </c>
      <c r="Q10" s="1">
        <f t="shared" ca="1" si="2"/>
        <v>960191610.29330993</v>
      </c>
      <c r="R10" s="1">
        <f t="shared" ca="1" si="2"/>
        <v>1012308975.0090275</v>
      </c>
      <c r="S10" s="1">
        <f t="shared" ca="1" si="2"/>
        <v>1066472289.2469625</v>
      </c>
      <c r="T10" s="1">
        <f t="shared" ca="1" si="2"/>
        <v>1122890668.9581149</v>
      </c>
      <c r="U10" s="1">
        <f t="shared" ca="1" si="2"/>
        <v>1179592753.2072043</v>
      </c>
      <c r="V10" s="1">
        <f t="shared" ca="1" si="2"/>
        <v>1236537325.8567607</v>
      </c>
      <c r="W10" s="1">
        <f t="shared" ca="1" si="2"/>
        <v>1293687919.7290478</v>
      </c>
      <c r="X10" s="1">
        <f t="shared" ca="1" si="2"/>
        <v>1351007234.0106444</v>
      </c>
      <c r="Y10" s="1">
        <f t="shared" ca="1" si="2"/>
        <v>1407160402.1405628</v>
      </c>
      <c r="Z10" s="1">
        <f t="shared" ca="1" si="2"/>
        <v>1461152897.6261559</v>
      </c>
      <c r="AA10" s="1">
        <f t="shared" ca="1" si="2"/>
        <v>1512698762.7240982</v>
      </c>
      <c r="AB10" s="1">
        <f t="shared" ca="1" si="2"/>
        <v>1561493345.3490124</v>
      </c>
      <c r="AC10" s="1">
        <f t="shared" ca="1" si="2"/>
        <v>1607212311.0145202</v>
      </c>
      <c r="AD10" s="1">
        <f t="shared" ca="1" si="2"/>
        <v>1649510607.7430687</v>
      </c>
      <c r="AE10" s="1">
        <f t="shared" ca="1" si="2"/>
        <v>1688021381.8404338</v>
      </c>
      <c r="AF10" s="1"/>
      <c r="AG10" s="1"/>
      <c r="AH10" s="1"/>
      <c r="AI10" s="1"/>
      <c r="AJ10" s="1"/>
      <c r="AK10" s="1"/>
      <c r="AL10" s="1"/>
      <c r="AM10" s="1"/>
      <c r="AN10" s="1"/>
      <c r="AO10" s="1"/>
    </row>
    <row r="11" spans="1:42" x14ac:dyDescent="0.35">
      <c r="A11" t="s">
        <v>9</v>
      </c>
      <c r="B11" s="1">
        <f>Assumptions!$C$20</f>
        <v>95236000</v>
      </c>
      <c r="C11" s="1">
        <f ca="1">'Debt worksheet'!D5</f>
        <v>141718857.47845709</v>
      </c>
      <c r="D11" s="1">
        <f ca="1">'Debt worksheet'!E5</f>
        <v>178588758.88224012</v>
      </c>
      <c r="E11" s="1">
        <f ca="1">'Debt worksheet'!F5</f>
        <v>209071560.84158203</v>
      </c>
      <c r="F11" s="1">
        <f ca="1">'Debt worksheet'!G5</f>
        <v>234142697.20496815</v>
      </c>
      <c r="G11" s="1">
        <f ca="1">'Debt worksheet'!H5</f>
        <v>256254313.10609305</v>
      </c>
      <c r="H11" s="1">
        <f ca="1">'Debt worksheet'!I5</f>
        <v>274431533.20245367</v>
      </c>
      <c r="I11" s="1">
        <f ca="1">'Debt worksheet'!J5</f>
        <v>289747289.90727782</v>
      </c>
      <c r="J11" s="1">
        <f ca="1">'Debt worksheet'!K5</f>
        <v>303837743.93450356</v>
      </c>
      <c r="K11" s="1">
        <f ca="1">'Debt worksheet'!L5</f>
        <v>317603328.73021197</v>
      </c>
      <c r="L11" s="1">
        <f ca="1">'Debt worksheet'!M5</f>
        <v>330844597.76701057</v>
      </c>
      <c r="M11" s="1">
        <f ca="1">'Debt worksheet'!N5</f>
        <v>343319787.82964408</v>
      </c>
      <c r="N11" s="1">
        <f ca="1">'Debt worksheet'!O5</f>
        <v>356300601.77094674</v>
      </c>
      <c r="O11" s="1">
        <f ca="1">'Debt worksheet'!P5</f>
        <v>369714450.2305001</v>
      </c>
      <c r="P11" s="1">
        <f ca="1">'Debt worksheet'!Q5</f>
        <v>383476523.35662508</v>
      </c>
      <c r="Q11" s="1">
        <f ca="1">'Debt worksheet'!R5</f>
        <v>397493487.58138347</v>
      </c>
      <c r="R11" s="1">
        <f ca="1">'Debt worksheet'!S5</f>
        <v>411653330.44086021</v>
      </c>
      <c r="S11" s="1">
        <f ca="1">'Debt worksheet'!T5</f>
        <v>425828209.05429119</v>
      </c>
      <c r="T11" s="1">
        <f ca="1">'Debt worksheet'!U5</f>
        <v>439873046.63026768</v>
      </c>
      <c r="U11" s="1">
        <f ca="1">'Debt worksheet'!V5</f>
        <v>455825109.51347494</v>
      </c>
      <c r="V11" s="1">
        <f ca="1">'Debt worksheet'!W5</f>
        <v>473798759.92662907</v>
      </c>
      <c r="W11" s="1">
        <f ca="1">'Debt worksheet'!X5</f>
        <v>493900968.06034839</v>
      </c>
      <c r="X11" s="1">
        <f ca="1">'Debt worksheet'!Y5</f>
        <v>516241731.52000922</v>
      </c>
      <c r="Y11" s="1">
        <f ca="1">'Debt worksheet'!Z5</f>
        <v>542230875.64440155</v>
      </c>
      <c r="Z11" s="1">
        <f ca="1">'Debt worksheet'!AA5</f>
        <v>572940218.01540017</v>
      </c>
      <c r="AA11" s="1">
        <f ca="1">'Debt worksheet'!AB5</f>
        <v>608735412.28712833</v>
      </c>
      <c r="AB11" s="1">
        <f ca="1">'Debt worksheet'!AC5</f>
        <v>650003286.03983581</v>
      </c>
      <c r="AC11" s="1">
        <f ca="1">'Debt worksheet'!AD5</f>
        <v>697152905.9236145</v>
      </c>
      <c r="AD11" s="1">
        <f ca="1">'Debt worksheet'!AE5</f>
        <v>750616692.22767246</v>
      </c>
      <c r="AE11" s="1">
        <f ca="1">'Debt worksheet'!AF5</f>
        <v>810851585.05356526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-2841028.3851903137</v>
      </c>
      <c r="D5" s="4">
        <f ca="1">'Profit and Loss'!D9</f>
        <v>8168466.2204682669</v>
      </c>
      <c r="E5" s="4">
        <f ca="1">'Profit and Loss'!E9</f>
        <v>15996793.428885419</v>
      </c>
      <c r="F5" s="4">
        <f ca="1">'Profit and Loss'!F9</f>
        <v>22895806.07726448</v>
      </c>
      <c r="G5" s="4">
        <f ca="1">'Profit and Loss'!G9</f>
        <v>27378382.538596384</v>
      </c>
      <c r="H5" s="4">
        <f ca="1">'Profit and Loss'!H9</f>
        <v>32884194.722690608</v>
      </c>
      <c r="I5" s="4">
        <f ca="1">'Profit and Loss'!I9</f>
        <v>37366970.42233213</v>
      </c>
      <c r="J5" s="4">
        <f ca="1">'Profit and Loss'!J9</f>
        <v>40265065.642371573</v>
      </c>
      <c r="K5" s="4">
        <f ca="1">'Profit and Loss'!K9</f>
        <v>42315842.261415564</v>
      </c>
      <c r="L5" s="4">
        <f ca="1">'Profit and Loss'!L9</f>
        <v>44629199.842038192</v>
      </c>
      <c r="M5" s="4">
        <f ca="1">'Profit and Loss'!M9</f>
        <v>47241392.485188827</v>
      </c>
      <c r="N5" s="4">
        <f ca="1">'Profit and Loss'!N9</f>
        <v>48640774.759786859</v>
      </c>
      <c r="O5" s="4">
        <f ca="1">'Profit and Loss'!O9</f>
        <v>50173517.595852442</v>
      </c>
      <c r="P5" s="4">
        <f ca="1">'Profit and Loss'!P9</f>
        <v>51853780.133962825</v>
      </c>
      <c r="Q5" s="4">
        <f ca="1">'Profit and Loss'!Q9</f>
        <v>53694254.694045253</v>
      </c>
      <c r="R5" s="4">
        <f ca="1">'Profit and Loss'!R9</f>
        <v>55713654.773738578</v>
      </c>
      <c r="S5" s="4">
        <f ca="1">'Profit and Loss'!S9</f>
        <v>57929947.580195814</v>
      </c>
      <c r="T5" s="4">
        <f ca="1">'Profit and Loss'!T9</f>
        <v>60362572.050268643</v>
      </c>
      <c r="U5" s="4">
        <f ca="1">'Profit and Loss'!U9</f>
        <v>60831460.489007674</v>
      </c>
      <c r="V5" s="4">
        <f ca="1">'Profit and Loss'!V9</f>
        <v>61266945.706971735</v>
      </c>
      <c r="W5" s="4">
        <f ca="1">'Profit and Loss'!W9</f>
        <v>61674087.06225054</v>
      </c>
      <c r="X5" s="4">
        <f ca="1">'Profit and Loss'!X9</f>
        <v>62052373.182580017</v>
      </c>
      <c r="Y5" s="4">
        <f ca="1">'Profit and Loss'!Y9</f>
        <v>61104572.890400216</v>
      </c>
      <c r="Z5" s="4">
        <f ca="1">'Profit and Loss'!Z9</f>
        <v>59171373.588267393</v>
      </c>
      <c r="AA5" s="4">
        <f ca="1">'Profit and Loss'!AA9</f>
        <v>56961704.598234355</v>
      </c>
      <c r="AB5" s="4">
        <f ca="1">'Profit and Loss'!AB9</f>
        <v>54457245.881093748</v>
      </c>
      <c r="AC5" s="4">
        <f ca="1">'Profit and Loss'!AC9</f>
        <v>51638703.578304283</v>
      </c>
      <c r="AD5" s="4">
        <f ca="1">'Profit and Loss'!AD9</f>
        <v>48485763.508811608</v>
      </c>
      <c r="AE5" s="4">
        <f ca="1">'Profit and Loss'!AE9</f>
        <v>44977042.580988511</v>
      </c>
      <c r="AF5" s="4">
        <f ca="1">'Profit and Loss'!AF9</f>
        <v>41090038.030017287</v>
      </c>
      <c r="AG5" s="4"/>
      <c r="AH5" s="4"/>
      <c r="AI5" s="4"/>
      <c r="AJ5" s="4"/>
      <c r="AK5" s="4"/>
      <c r="AL5" s="4"/>
      <c r="AM5" s="4"/>
      <c r="AN5" s="4"/>
      <c r="AO5" s="4"/>
      <c r="AP5" s="4"/>
    </row>
    <row r="6" spans="1:42" x14ac:dyDescent="0.35">
      <c r="A6" t="s">
        <v>21</v>
      </c>
      <c r="C6" s="4">
        <f>Depreciation!C8+Depreciation!C9</f>
        <v>20654999.126167335</v>
      </c>
      <c r="D6" s="4">
        <f>Depreciation!D8+Depreciation!D9</f>
        <v>22396879.921186723</v>
      </c>
      <c r="E6" s="4">
        <f>Depreciation!E8+Depreciation!E9</f>
        <v>24229090.367982153</v>
      </c>
      <c r="F6" s="4">
        <f>Depreciation!F8+Depreciation!F9</f>
        <v>26155627.878333196</v>
      </c>
      <c r="G6" s="4">
        <f>Depreciation!G8+Depreciation!G9</f>
        <v>28180367.93299317</v>
      </c>
      <c r="H6" s="4">
        <f>Depreciation!H8+Depreciation!H9</f>
        <v>30307613.662506178</v>
      </c>
      <c r="I6" s="4">
        <f>Depreciation!I8+Depreciation!I9</f>
        <v>32541842.750758119</v>
      </c>
      <c r="J6" s="4">
        <f>Depreciation!J8+Depreciation!J9</f>
        <v>34887714.190852724</v>
      </c>
      <c r="K6" s="4">
        <f>Depreciation!K8+Depreciation!K9</f>
        <v>37350075.294330992</v>
      </c>
      <c r="L6" s="4">
        <f>Depreciation!L8+Depreciation!L9</f>
        <v>39934168.956841663</v>
      </c>
      <c r="M6" s="4">
        <f>Depreciation!M8+Depreciation!M9</f>
        <v>42645260.344608329</v>
      </c>
      <c r="N6" s="4">
        <f>Depreciation!N8+Depreciation!N9</f>
        <v>45488826.804461941</v>
      </c>
      <c r="O6" s="4">
        <f>Depreciation!O8+Depreciation!O9</f>
        <v>48470566.047534473</v>
      </c>
      <c r="P6" s="4">
        <f>Depreciation!P8+Depreciation!P9</f>
        <v>51596404.639297679</v>
      </c>
      <c r="Q6" s="4">
        <f>Depreciation!Q8+Depreciation!Q9</f>
        <v>54872558.841806486</v>
      </c>
      <c r="R6" s="4">
        <f>Depreciation!R8+Depreciation!R9</f>
        <v>58305444.667941466</v>
      </c>
      <c r="S6" s="4">
        <f>Depreciation!S8+Depreciation!S9</f>
        <v>61901734.725962639</v>
      </c>
      <c r="T6" s="4">
        <f>Depreciation!T8+Depreciation!T9</f>
        <v>65668368.068223327</v>
      </c>
      <c r="U6" s="4">
        <f>Depreciation!U8+Depreciation!U9</f>
        <v>69612560.407339618</v>
      </c>
      <c r="V6" s="4">
        <f>Depreciation!V8+Depreciation!V9</f>
        <v>73741936.647257507</v>
      </c>
      <c r="W6" s="4">
        <f>Depreciation!W8+Depreciation!W9</f>
        <v>78064309.704673052</v>
      </c>
      <c r="X6" s="4">
        <f>Depreciation!X8+Depreciation!X9</f>
        <v>82587802.894636363</v>
      </c>
      <c r="Y6" s="4">
        <f>Depreciation!Y8+Depreciation!Y9</f>
        <v>87320861.795619726</v>
      </c>
      <c r="Z6" s="4">
        <f>Depreciation!Z8+Depreciation!Z9</f>
        <v>92272266.556101933</v>
      </c>
      <c r="AA6" s="4">
        <f>Depreciation!AA8+Depreciation!AA9</f>
        <v>97451144.658776328</v>
      </c>
      <c r="AB6" s="4">
        <f>Depreciation!AB8+Depreciation!AB9</f>
        <v>102866984.15906838</v>
      </c>
      <c r="AC6" s="4">
        <f>Depreciation!AC8+Depreciation!AC9</f>
        <v>108529647.41524854</v>
      </c>
      <c r="AD6" s="4">
        <f>Depreciation!AD8+Depreciation!AD9</f>
        <v>114449385.32804538</v>
      </c>
      <c r="AE6" s="4">
        <f>Depreciation!AE8+Depreciation!AE9</f>
        <v>120636852.10830799</v>
      </c>
      <c r="AF6" s="4">
        <f>Depreciation!AF8+Depreciation!AF9</f>
        <v>127103120.59193146</v>
      </c>
      <c r="AG6" s="4"/>
      <c r="AH6" s="4"/>
      <c r="AI6" s="4"/>
      <c r="AJ6" s="4"/>
      <c r="AK6" s="4"/>
      <c r="AL6" s="4"/>
      <c r="AM6" s="4"/>
      <c r="AN6" s="4"/>
      <c r="AO6" s="4"/>
      <c r="AP6" s="4"/>
    </row>
    <row r="7" spans="1:42" x14ac:dyDescent="0.35">
      <c r="A7" t="s">
        <v>23</v>
      </c>
      <c r="C7" s="4">
        <f ca="1">C6+C5</f>
        <v>17813970.740977019</v>
      </c>
      <c r="D7" s="4">
        <f ca="1">D6+D5</f>
        <v>30565346.141654991</v>
      </c>
      <c r="E7" s="4">
        <f t="shared" ref="E7:AF7" ca="1" si="1">E6+E5</f>
        <v>40225883.796867572</v>
      </c>
      <c r="F7" s="4">
        <f t="shared" ca="1" si="1"/>
        <v>49051433.955597676</v>
      </c>
      <c r="G7" s="4">
        <f ca="1">G6+G5</f>
        <v>55558750.47158955</v>
      </c>
      <c r="H7" s="4">
        <f t="shared" ca="1" si="1"/>
        <v>63191808.38519679</v>
      </c>
      <c r="I7" s="4">
        <f t="shared" ca="1" si="1"/>
        <v>69908813.173090249</v>
      </c>
      <c r="J7" s="4">
        <f t="shared" ca="1" si="1"/>
        <v>75152779.833224297</v>
      </c>
      <c r="K7" s="4">
        <f t="shared" ca="1" si="1"/>
        <v>79665917.555746555</v>
      </c>
      <c r="L7" s="4">
        <f t="shared" ca="1" si="1"/>
        <v>84563368.798879862</v>
      </c>
      <c r="M7" s="4">
        <f t="shared" ca="1" si="1"/>
        <v>89886652.829797149</v>
      </c>
      <c r="N7" s="4">
        <f t="shared" ca="1" si="1"/>
        <v>94129601.5642488</v>
      </c>
      <c r="O7" s="4">
        <f t="shared" ca="1" si="1"/>
        <v>98644083.643386915</v>
      </c>
      <c r="P7" s="4">
        <f t="shared" ca="1" si="1"/>
        <v>103450184.7732605</v>
      </c>
      <c r="Q7" s="4">
        <f t="shared" ca="1" si="1"/>
        <v>108566813.53585175</v>
      </c>
      <c r="R7" s="4">
        <f t="shared" ca="1" si="1"/>
        <v>114019099.44168004</v>
      </c>
      <c r="S7" s="4">
        <f t="shared" ca="1" si="1"/>
        <v>119831682.30615845</v>
      </c>
      <c r="T7" s="4">
        <f t="shared" ca="1" si="1"/>
        <v>126030940.11849198</v>
      </c>
      <c r="U7" s="4">
        <f t="shared" ca="1" si="1"/>
        <v>130444020.89634728</v>
      </c>
      <c r="V7" s="4">
        <f t="shared" ca="1" si="1"/>
        <v>135008882.35422924</v>
      </c>
      <c r="W7" s="4">
        <f t="shared" ca="1" si="1"/>
        <v>139738396.76692361</v>
      </c>
      <c r="X7" s="4">
        <f t="shared" ca="1" si="1"/>
        <v>144640176.07721639</v>
      </c>
      <c r="Y7" s="4">
        <f t="shared" ca="1" si="1"/>
        <v>148425434.68601996</v>
      </c>
      <c r="Z7" s="4">
        <f t="shared" ca="1" si="1"/>
        <v>151443640.14436933</v>
      </c>
      <c r="AA7" s="4">
        <f t="shared" ca="1" si="1"/>
        <v>154412849.2570107</v>
      </c>
      <c r="AB7" s="4">
        <f t="shared" ca="1" si="1"/>
        <v>157324230.04016212</v>
      </c>
      <c r="AC7" s="4">
        <f t="shared" ca="1" si="1"/>
        <v>160168350.99355283</v>
      </c>
      <c r="AD7" s="4">
        <f t="shared" ca="1" si="1"/>
        <v>162935148.83685699</v>
      </c>
      <c r="AE7" s="4">
        <f t="shared" ca="1" si="1"/>
        <v>165613894.68929648</v>
      </c>
      <c r="AF7" s="4">
        <f t="shared" ca="1" si="1"/>
        <v>168193158.62194875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64296828.219434097</v>
      </c>
      <c r="D10" s="9">
        <f>Investment!D25</f>
        <v>67435247.545438021</v>
      </c>
      <c r="E10" s="9">
        <f>Investment!E25</f>
        <v>70708685.756209478</v>
      </c>
      <c r="F10" s="9">
        <f>Investment!F25</f>
        <v>74122570.318983808</v>
      </c>
      <c r="G10" s="9">
        <f>Investment!G25</f>
        <v>77670366.37271446</v>
      </c>
      <c r="H10" s="9">
        <f>Investment!H25</f>
        <v>81369028.481557429</v>
      </c>
      <c r="I10" s="9">
        <f>Investment!I25</f>
        <v>85224569.877914399</v>
      </c>
      <c r="J10" s="9">
        <f>Investment!J25</f>
        <v>89243233.860450059</v>
      </c>
      <c r="K10" s="9">
        <f>Investment!K25</f>
        <v>93431502.351454988</v>
      </c>
      <c r="L10" s="9">
        <f>Investment!L25</f>
        <v>97804637.835678488</v>
      </c>
      <c r="M10" s="9">
        <f>Investment!M25</f>
        <v>102361842.89243069</v>
      </c>
      <c r="N10" s="9">
        <f>Investment!N25</f>
        <v>107110415.50555143</v>
      </c>
      <c r="O10" s="9">
        <f>Investment!O25</f>
        <v>112057932.10294029</v>
      </c>
      <c r="P10" s="9">
        <f>Investment!P25</f>
        <v>117212257.89938551</v>
      </c>
      <c r="Q10" s="9">
        <f>Investment!Q25</f>
        <v>122583777.76061012</v>
      </c>
      <c r="R10" s="9">
        <f>Investment!R25</f>
        <v>128178942.30115679</v>
      </c>
      <c r="S10" s="9">
        <f>Investment!S25</f>
        <v>134006560.91958942</v>
      </c>
      <c r="T10" s="9">
        <f>Investment!T25</f>
        <v>140075777.69446847</v>
      </c>
      <c r="U10" s="9">
        <f>Investment!U25</f>
        <v>146396083.77955458</v>
      </c>
      <c r="V10" s="9">
        <f>Investment!V25</f>
        <v>152982532.76738334</v>
      </c>
      <c r="W10" s="9">
        <f>Investment!W25</f>
        <v>159840604.90064293</v>
      </c>
      <c r="X10" s="9">
        <f>Investment!X25</f>
        <v>166980939.53687721</v>
      </c>
      <c r="Y10" s="9">
        <f>Investment!Y25</f>
        <v>174414578.81041232</v>
      </c>
      <c r="Z10" s="9">
        <f>Investment!Z25</f>
        <v>182152982.5153679</v>
      </c>
      <c r="AA10" s="9">
        <f>Investment!AA25</f>
        <v>190208043.52873883</v>
      </c>
      <c r="AB10" s="9">
        <f>Investment!AB25</f>
        <v>198592103.79286963</v>
      </c>
      <c r="AC10" s="9">
        <f>Investment!AC25</f>
        <v>207317970.87733147</v>
      </c>
      <c r="AD10" s="9">
        <f>Investment!AD25</f>
        <v>216398935.14091498</v>
      </c>
      <c r="AE10" s="9">
        <f>Investment!AE25</f>
        <v>225848787.51518935</v>
      </c>
      <c r="AF10" s="9">
        <f>Investment!AF25</f>
        <v>235681837.93183306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-46482857.478457078</v>
      </c>
      <c r="D12" s="1">
        <f t="shared" ref="D12:AF12" ca="1" si="2">D7-D9-D10</f>
        <v>-36869901.403783031</v>
      </c>
      <c r="E12" s="1">
        <f ca="1">E7-E9-E10</f>
        <v>-30482801.959341906</v>
      </c>
      <c r="F12" s="1">
        <f t="shared" ca="1" si="2"/>
        <v>-25071136.363386132</v>
      </c>
      <c r="G12" s="1">
        <f ca="1">G7-G9-G10</f>
        <v>-22111615.90112491</v>
      </c>
      <c r="H12" s="1">
        <f t="shared" ca="1" si="2"/>
        <v>-18177220.096360639</v>
      </c>
      <c r="I12" s="1">
        <f t="shared" ca="1" si="2"/>
        <v>-15315756.70482415</v>
      </c>
      <c r="J12" s="1">
        <f t="shared" ca="1" si="2"/>
        <v>-14090454.027225763</v>
      </c>
      <c r="K12" s="1">
        <f t="shared" ca="1" si="2"/>
        <v>-13765584.795708433</v>
      </c>
      <c r="L12" s="1">
        <f t="shared" ca="1" si="2"/>
        <v>-13241269.036798626</v>
      </c>
      <c r="M12" s="1">
        <f t="shared" ca="1" si="2"/>
        <v>-12475190.062633544</v>
      </c>
      <c r="N12" s="1">
        <f t="shared" ca="1" si="2"/>
        <v>-12980813.941302627</v>
      </c>
      <c r="O12" s="1">
        <f t="shared" ca="1" si="2"/>
        <v>-13413848.459553376</v>
      </c>
      <c r="P12" s="1">
        <f t="shared" ca="1" si="2"/>
        <v>-13762073.126125008</v>
      </c>
      <c r="Q12" s="1">
        <f t="shared" ca="1" si="2"/>
        <v>-14016964.224758372</v>
      </c>
      <c r="R12" s="1">
        <f t="shared" ca="1" si="2"/>
        <v>-14159842.859476745</v>
      </c>
      <c r="S12" s="1">
        <f t="shared" ca="1" si="2"/>
        <v>-14174878.613430962</v>
      </c>
      <c r="T12" s="1">
        <f t="shared" ca="1" si="2"/>
        <v>-14044837.575976491</v>
      </c>
      <c r="U12" s="1">
        <f t="shared" ca="1" si="2"/>
        <v>-15952062.883207291</v>
      </c>
      <c r="V12" s="1">
        <f t="shared" ca="1" si="2"/>
        <v>-17973650.413154095</v>
      </c>
      <c r="W12" s="1">
        <f t="shared" ca="1" si="2"/>
        <v>-20102208.133719325</v>
      </c>
      <c r="X12" s="1">
        <f t="shared" ca="1" si="2"/>
        <v>-22340763.459660828</v>
      </c>
      <c r="Y12" s="1">
        <f t="shared" ca="1" si="2"/>
        <v>-25989144.12439236</v>
      </c>
      <c r="Z12" s="1">
        <f t="shared" ca="1" si="2"/>
        <v>-30709342.370998561</v>
      </c>
      <c r="AA12" s="1">
        <f t="shared" ca="1" si="2"/>
        <v>-35795194.271728128</v>
      </c>
      <c r="AB12" s="1">
        <f t="shared" ca="1" si="2"/>
        <v>-41267873.752707511</v>
      </c>
      <c r="AC12" s="1">
        <f t="shared" ca="1" si="2"/>
        <v>-47149619.883778632</v>
      </c>
      <c r="AD12" s="1">
        <f t="shared" ca="1" si="2"/>
        <v>-53463786.304057986</v>
      </c>
      <c r="AE12" s="1">
        <f t="shared" ca="1" si="2"/>
        <v>-60234892.825892866</v>
      </c>
      <c r="AF12" s="1">
        <f t="shared" ca="1" si="2"/>
        <v>-67488679.30988431</v>
      </c>
      <c r="AG12" s="1"/>
      <c r="AH12" s="1"/>
      <c r="AI12" s="1"/>
      <c r="AJ12" s="1"/>
      <c r="AK12" s="1"/>
      <c r="AL12" s="1"/>
      <c r="AM12" s="1"/>
      <c r="AN12" s="1"/>
      <c r="AO12" s="1"/>
      <c r="AP12" s="1"/>
    </row>
    <row r="13" spans="1:42" x14ac:dyDescent="0.35">
      <c r="A13" t="s">
        <v>19</v>
      </c>
      <c r="C13" s="1">
        <f ca="1">C12</f>
        <v>-46482857.478457078</v>
      </c>
      <c r="D13" s="1">
        <f ca="1">D12</f>
        <v>-36869901.403783031</v>
      </c>
      <c r="E13" s="1">
        <f ca="1">E12</f>
        <v>-30482801.959341906</v>
      </c>
      <c r="F13" s="1">
        <f t="shared" ref="F13:AF13" ca="1" si="3">F12</f>
        <v>-25071136.363386132</v>
      </c>
      <c r="G13" s="1">
        <f ca="1">G12</f>
        <v>-22111615.90112491</v>
      </c>
      <c r="H13" s="1">
        <f t="shared" ca="1" si="3"/>
        <v>-18177220.096360639</v>
      </c>
      <c r="I13" s="1">
        <f t="shared" ca="1" si="3"/>
        <v>-15315756.70482415</v>
      </c>
      <c r="J13" s="1">
        <f t="shared" ca="1" si="3"/>
        <v>-14090454.027225763</v>
      </c>
      <c r="K13" s="1">
        <f t="shared" ca="1" si="3"/>
        <v>-13765584.795708433</v>
      </c>
      <c r="L13" s="1">
        <f t="shared" ca="1" si="3"/>
        <v>-13241269.036798626</v>
      </c>
      <c r="M13" s="1">
        <f t="shared" ca="1" si="3"/>
        <v>-12475190.062633544</v>
      </c>
      <c r="N13" s="1">
        <f t="shared" ca="1" si="3"/>
        <v>-12980813.941302627</v>
      </c>
      <c r="O13" s="1">
        <f t="shared" ca="1" si="3"/>
        <v>-13413848.459553376</v>
      </c>
      <c r="P13" s="1">
        <f t="shared" ca="1" si="3"/>
        <v>-13762073.126125008</v>
      </c>
      <c r="Q13" s="1">
        <f t="shared" ca="1" si="3"/>
        <v>-14016964.224758372</v>
      </c>
      <c r="R13" s="1">
        <f t="shared" ca="1" si="3"/>
        <v>-14159842.859476745</v>
      </c>
      <c r="S13" s="1">
        <f t="shared" ca="1" si="3"/>
        <v>-14174878.613430962</v>
      </c>
      <c r="T13" s="1">
        <f t="shared" ca="1" si="3"/>
        <v>-14044837.575976491</v>
      </c>
      <c r="U13" s="1">
        <f t="shared" ca="1" si="3"/>
        <v>-15952062.883207291</v>
      </c>
      <c r="V13" s="1">
        <f t="shared" ca="1" si="3"/>
        <v>-17973650.413154095</v>
      </c>
      <c r="W13" s="1">
        <f t="shared" ca="1" si="3"/>
        <v>-20102208.133719325</v>
      </c>
      <c r="X13" s="1">
        <f t="shared" ca="1" si="3"/>
        <v>-22340763.459660828</v>
      </c>
      <c r="Y13" s="1">
        <f t="shared" ca="1" si="3"/>
        <v>-25989144.12439236</v>
      </c>
      <c r="Z13" s="1">
        <f t="shared" ca="1" si="3"/>
        <v>-30709342.370998561</v>
      </c>
      <c r="AA13" s="1">
        <f t="shared" ca="1" si="3"/>
        <v>-35795194.271728128</v>
      </c>
      <c r="AB13" s="1">
        <f t="shared" ca="1" si="3"/>
        <v>-41267873.752707511</v>
      </c>
      <c r="AC13" s="1">
        <f t="shared" ca="1" si="3"/>
        <v>-47149619.883778632</v>
      </c>
      <c r="AD13" s="1">
        <f t="shared" ca="1" si="3"/>
        <v>-53463786.304057986</v>
      </c>
      <c r="AE13" s="1">
        <f t="shared" ca="1" si="3"/>
        <v>-60234892.825892866</v>
      </c>
      <c r="AF13" s="1">
        <f t="shared" ca="1" si="3"/>
        <v>-67488679.30988431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1279105000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639552500</v>
      </c>
      <c r="D7" s="9">
        <f>C12</f>
        <v>660207499.1261673</v>
      </c>
      <c r="E7" s="9">
        <f>D12</f>
        <v>682604379.04735398</v>
      </c>
      <c r="F7" s="9">
        <f t="shared" ref="F7:H7" si="1">E12</f>
        <v>706833469.41533613</v>
      </c>
      <c r="G7" s="9">
        <f t="shared" si="1"/>
        <v>732989097.29366922</v>
      </c>
      <c r="H7" s="9">
        <f t="shared" si="1"/>
        <v>761169465.2266624</v>
      </c>
      <c r="I7" s="9">
        <f t="shared" ref="I7" si="2">H12</f>
        <v>791477078.8891685</v>
      </c>
      <c r="J7" s="9">
        <f t="shared" ref="J7" si="3">I12</f>
        <v>824018921.63992667</v>
      </c>
      <c r="K7" s="9">
        <f t="shared" ref="K7" si="4">J12</f>
        <v>858906635.83077943</v>
      </c>
      <c r="L7" s="9">
        <f t="shared" ref="L7" si="5">K12</f>
        <v>896256711.12511039</v>
      </c>
      <c r="M7" s="9">
        <f t="shared" ref="M7" si="6">L12</f>
        <v>936190880.08195198</v>
      </c>
      <c r="N7" s="9">
        <f t="shared" ref="N7" si="7">M12</f>
        <v>978836140.42656028</v>
      </c>
      <c r="O7" s="9">
        <f t="shared" ref="O7" si="8">N12</f>
        <v>1024324967.2310222</v>
      </c>
      <c r="P7" s="9">
        <f t="shared" ref="P7" si="9">O12</f>
        <v>1072795533.2785567</v>
      </c>
      <c r="Q7" s="9">
        <f t="shared" ref="Q7" si="10">P12</f>
        <v>1124391937.9178545</v>
      </c>
      <c r="R7" s="9">
        <f t="shared" ref="R7" si="11">Q12</f>
        <v>1179264496.7596612</v>
      </c>
      <c r="S7" s="9">
        <f t="shared" ref="S7" si="12">R12</f>
        <v>1237569941.4276028</v>
      </c>
      <c r="T7" s="9">
        <f t="shared" ref="T7" si="13">S12</f>
        <v>1299471676.1535654</v>
      </c>
      <c r="U7" s="9">
        <f t="shared" ref="U7" si="14">T12</f>
        <v>1365140044.2217889</v>
      </c>
      <c r="V7" s="9">
        <f t="shared" ref="V7" si="15">U12</f>
        <v>1434752604.6291287</v>
      </c>
      <c r="W7" s="9">
        <f t="shared" ref="W7" si="16">V12</f>
        <v>1508494541.2763863</v>
      </c>
      <c r="X7" s="9">
        <f t="shared" ref="X7" si="17">W12</f>
        <v>1586558850.9810593</v>
      </c>
      <c r="Y7" s="9">
        <f t="shared" ref="Y7" si="18">X12</f>
        <v>1669146653.8756957</v>
      </c>
      <c r="Z7" s="9">
        <f t="shared" ref="Z7" si="19">Y12</f>
        <v>1756467515.6713154</v>
      </c>
      <c r="AA7" s="9">
        <f t="shared" ref="AA7" si="20">Z12</f>
        <v>1848739782.2274172</v>
      </c>
      <c r="AB7" s="9">
        <f t="shared" ref="AB7" si="21">AA12</f>
        <v>1946190926.8861935</v>
      </c>
      <c r="AC7" s="9">
        <f t="shared" ref="AC7" si="22">AB12</f>
        <v>2049057911.0452619</v>
      </c>
      <c r="AD7" s="9">
        <f t="shared" ref="AD7" si="23">AC12</f>
        <v>2157587558.4605103</v>
      </c>
      <c r="AE7" s="9">
        <f t="shared" ref="AE7" si="24">AD12</f>
        <v>2272036943.7885556</v>
      </c>
      <c r="AF7" s="9">
        <f t="shared" ref="AF7" si="25">AE12</f>
        <v>2392673795.8968639</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19607595.227928933</v>
      </c>
      <c r="D8" s="9">
        <f>Assumptions!E111*Assumptions!E11</f>
        <v>20235038.275222659</v>
      </c>
      <c r="E8" s="9">
        <f>Assumptions!F111*Assumptions!F11</f>
        <v>20882559.500029784</v>
      </c>
      <c r="F8" s="9">
        <f>Assumptions!G111*Assumptions!G11</f>
        <v>21550801.404030737</v>
      </c>
      <c r="G8" s="9">
        <f>Assumptions!H111*Assumptions!H11</f>
        <v>22240427.048959721</v>
      </c>
      <c r="H8" s="9">
        <f>Assumptions!I111*Assumptions!I11</f>
        <v>22952120.71452643</v>
      </c>
      <c r="I8" s="9">
        <f>Assumptions!J111*Assumptions!J11</f>
        <v>23686588.577391271</v>
      </c>
      <c r="J8" s="9">
        <f>Assumptions!K111*Assumptions!K11</f>
        <v>24444559.411867797</v>
      </c>
      <c r="K8" s="9">
        <f>Assumptions!L111*Assumptions!L11</f>
        <v>25226785.313047569</v>
      </c>
      <c r="L8" s="9">
        <f>Assumptions!M111*Assumptions!M11</f>
        <v>26034042.443065088</v>
      </c>
      <c r="M8" s="9">
        <f>Assumptions!N111*Assumptions!N11</f>
        <v>26867131.801243171</v>
      </c>
      <c r="N8" s="9">
        <f>Assumptions!O111*Assumptions!O11</f>
        <v>27726880.018882953</v>
      </c>
      <c r="O8" s="9">
        <f>Assumptions!P111*Assumptions!P11</f>
        <v>28614140.17948721</v>
      </c>
      <c r="P8" s="9">
        <f>Assumptions!Q111*Assumptions!Q11</f>
        <v>29529792.665230796</v>
      </c>
      <c r="Q8" s="9">
        <f>Assumptions!R111*Assumptions!R11</f>
        <v>30474746.030518174</v>
      </c>
      <c r="R8" s="9">
        <f>Assumptions!S111*Assumptions!S11</f>
        <v>31449937.903494764</v>
      </c>
      <c r="S8" s="9">
        <f>Assumptions!T111*Assumptions!T11</f>
        <v>32456335.916406598</v>
      </c>
      <c r="T8" s="9">
        <f>Assumptions!U111*Assumptions!U11</f>
        <v>33494938.665731605</v>
      </c>
      <c r="U8" s="9">
        <f>Assumptions!V111*Assumptions!V11</f>
        <v>34566776.703035012</v>
      </c>
      <c r="V8" s="9">
        <f>Assumptions!W111*Assumptions!W11</f>
        <v>35672913.557532139</v>
      </c>
      <c r="W8" s="9">
        <f>Assumptions!X111*Assumptions!X11</f>
        <v>36814446.791373171</v>
      </c>
      <c r="X8" s="9">
        <f>Assumptions!Y111*Assumptions!Y11</f>
        <v>37992509.088697106</v>
      </c>
      <c r="Y8" s="9">
        <f>Assumptions!Z111*Assumptions!Z11</f>
        <v>39208269.379535407</v>
      </c>
      <c r="Z8" s="9">
        <f>Assumptions!AA111*Assumptions!AA11</f>
        <v>40462933.999680541</v>
      </c>
      <c r="AA8" s="9">
        <f>Assumptions!AB111*Assumptions!AB11</f>
        <v>41757747.887670331</v>
      </c>
      <c r="AB8" s="9">
        <f>Assumptions!AC111*Assumptions!AC11</f>
        <v>43093995.820075773</v>
      </c>
      <c r="AC8" s="9">
        <f>Assumptions!AD111*Assumptions!AD11</f>
        <v>44473003.686318196</v>
      </c>
      <c r="AD8" s="9">
        <f>Assumptions!AE111*Assumptions!AE11</f>
        <v>45896139.804280385</v>
      </c>
      <c r="AE8" s="9">
        <f>Assumptions!AF111*Assumptions!AF11</f>
        <v>47364816.278017357</v>
      </c>
      <c r="AF8" s="9">
        <f>Assumptions!AG111*Assumptions!AG11</f>
        <v>48880490.398913905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1047403.8982384022</v>
      </c>
      <c r="D9" s="9">
        <f>Assumptions!E120*Assumptions!E11</f>
        <v>2161841.6459640618</v>
      </c>
      <c r="E9" s="9">
        <f>Assumptions!F120*Assumptions!F11</f>
        <v>3346530.8679523682</v>
      </c>
      <c r="F9" s="9">
        <f>Assumptions!G120*Assumptions!G11</f>
        <v>4604826.4743024586</v>
      </c>
      <c r="G9" s="9">
        <f>Assumptions!H120*Assumptions!H11</f>
        <v>5939940.884033449</v>
      </c>
      <c r="H9" s="9">
        <f>Assumptions!I120*Assumptions!I11</f>
        <v>7355492.9479797482</v>
      </c>
      <c r="I9" s="9">
        <f>Assumptions!J120*Assumptions!J11</f>
        <v>8855254.1733668502</v>
      </c>
      <c r="J9" s="9">
        <f>Assumptions!K120*Assumptions!K11</f>
        <v>10443154.778984929</v>
      </c>
      <c r="K9" s="9">
        <f>Assumptions!L120*Assumptions!L11</f>
        <v>12123289.981283423</v>
      </c>
      <c r="L9" s="9">
        <f>Assumptions!M120*Assumptions!M11</f>
        <v>13900126.513776572</v>
      </c>
      <c r="M9" s="9">
        <f>Assumptions!N120*Assumptions!N11</f>
        <v>15778128.54336516</v>
      </c>
      <c r="N9" s="9">
        <f>Assumptions!O120*Assumptions!O11</f>
        <v>17761946.785578992</v>
      </c>
      <c r="O9" s="9">
        <f>Assumptions!P120*Assumptions!P11</f>
        <v>19856425.868047263</v>
      </c>
      <c r="P9" s="9">
        <f>Assumptions!Q120*Assumptions!Q11</f>
        <v>22066611.97406688</v>
      </c>
      <c r="Q9" s="9">
        <f>Assumptions!R120*Assumptions!R11</f>
        <v>24397812.811288308</v>
      </c>
      <c r="R9" s="9">
        <f>Assumptions!S120*Assumptions!S11</f>
        <v>26855506.764446706</v>
      </c>
      <c r="S9" s="9">
        <f>Assumptions!T120*Assumptions!T11</f>
        <v>29445398.809556045</v>
      </c>
      <c r="T9" s="9">
        <f>Assumptions!U120*Assumptions!U11</f>
        <v>32173429.402491719</v>
      </c>
      <c r="U9" s="9">
        <f>Assumptions!V120*Assumptions!V11</f>
        <v>35045783.704304606</v>
      </c>
      <c r="V9" s="9">
        <f>Assumptions!W120*Assumptions!W11</f>
        <v>38069023.089725375</v>
      </c>
      <c r="W9" s="9">
        <f>Assumptions!X120*Assumptions!X11</f>
        <v>41249862.913299873</v>
      </c>
      <c r="X9" s="9">
        <f>Assumptions!Y120*Assumptions!Y11</f>
        <v>44595293.80593925</v>
      </c>
      <c r="Y9" s="9">
        <f>Assumptions!Z120*Assumptions!Z11</f>
        <v>48112592.416084312</v>
      </c>
      <c r="Z9" s="9">
        <f>Assumptions!AA120*Assumptions!AA11</f>
        <v>51809332.556421392</v>
      </c>
      <c r="AA9" s="9">
        <f>Assumptions!AB120*Assumptions!AB11</f>
        <v>55693396.771105997</v>
      </c>
      <c r="AB9" s="9">
        <f>Assumptions!AC120*Assumptions!AC11</f>
        <v>59772988.338992603</v>
      </c>
      <c r="AC9" s="9">
        <f>Assumptions!AD120*Assumptions!AD11</f>
        <v>64056643.728930354</v>
      </c>
      <c r="AD9" s="9">
        <f>Assumptions!AE120*Assumptions!AE11</f>
        <v>68553245.523764998</v>
      </c>
      <c r="AE9" s="9">
        <f>Assumptions!AF120*Assumptions!AF11</f>
        <v>73272035.83029063</v>
      </c>
      <c r="AF9" s="9">
        <f>Assumptions!AG120*Assumptions!AG11</f>
        <v>78222630.193017557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20654999.126167335</v>
      </c>
      <c r="D10" s="9">
        <f>SUM($C$8:D9)</f>
        <v>43051879.047354065</v>
      </c>
      <c r="E10" s="9">
        <f>SUM($C$8:E9)</f>
        <v>67280969.415336221</v>
      </c>
      <c r="F10" s="9">
        <f>SUM($C$8:F9)</f>
        <v>93436597.293669403</v>
      </c>
      <c r="G10" s="9">
        <f>SUM($C$8:G9)</f>
        <v>121616965.22666258</v>
      </c>
      <c r="H10" s="9">
        <f>SUM($C$8:H9)</f>
        <v>151924578.88916874</v>
      </c>
      <c r="I10" s="9">
        <f>SUM($C$8:I9)</f>
        <v>184466421.63992688</v>
      </c>
      <c r="J10" s="9">
        <f>SUM($C$8:J9)</f>
        <v>219354135.83077961</v>
      </c>
      <c r="K10" s="9">
        <f>SUM($C$8:K9)</f>
        <v>256704211.1251106</v>
      </c>
      <c r="L10" s="9">
        <f>SUM($C$8:L9)</f>
        <v>296638380.08195227</v>
      </c>
      <c r="M10" s="9">
        <f>SUM($C$8:M9)</f>
        <v>339283640.42656064</v>
      </c>
      <c r="N10" s="9">
        <f>SUM($C$8:N9)</f>
        <v>384772467.23102254</v>
      </c>
      <c r="O10" s="9">
        <f>SUM($C$8:O9)</f>
        <v>433243033.278557</v>
      </c>
      <c r="P10" s="9">
        <f>SUM($C$8:P9)</f>
        <v>484839437.91785467</v>
      </c>
      <c r="Q10" s="9">
        <f>SUM($C$8:Q9)</f>
        <v>539711996.7596612</v>
      </c>
      <c r="R10" s="9">
        <f>SUM($C$8:R9)</f>
        <v>598017441.42760277</v>
      </c>
      <c r="S10" s="9">
        <f>SUM($C$8:S9)</f>
        <v>659919176.15356529</v>
      </c>
      <c r="T10" s="9">
        <f>SUM($C$8:T9)</f>
        <v>725587544.22178853</v>
      </c>
      <c r="U10" s="9">
        <f>SUM($C$8:U9)</f>
        <v>795200104.6291281</v>
      </c>
      <c r="V10" s="9">
        <f>SUM($C$8:V9)</f>
        <v>868942041.27638543</v>
      </c>
      <c r="W10" s="9">
        <f>SUM($C$8:W9)</f>
        <v>947006350.9810586</v>
      </c>
      <c r="X10" s="9">
        <f>SUM($C$8:X9)</f>
        <v>1029594153.8756948</v>
      </c>
      <c r="Y10" s="9">
        <f>SUM($C$8:Y9)</f>
        <v>1116915015.6713145</v>
      </c>
      <c r="Z10" s="9">
        <f>SUM($C$8:Z9)</f>
        <v>1209187282.2274163</v>
      </c>
      <c r="AA10" s="9">
        <f>SUM($C$8:AA9)</f>
        <v>1306638426.8861926</v>
      </c>
      <c r="AB10" s="9">
        <f>SUM($C$8:AB9)</f>
        <v>1409505411.0452609</v>
      </c>
      <c r="AC10" s="9">
        <f>SUM($C$8:AC9)</f>
        <v>1518035058.4605098</v>
      </c>
      <c r="AD10" s="9">
        <f>SUM($C$8:AD9)</f>
        <v>1632484443.7885551</v>
      </c>
      <c r="AE10" s="9">
        <f>SUM($C$8:AE9)</f>
        <v>1753121295.8968632</v>
      </c>
      <c r="AF10" s="9">
        <f>SUM($C$8:AF9)</f>
        <v>1880224416.4887946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660207499.1261673</v>
      </c>
      <c r="D12" s="9">
        <f>D7+D8+D9</f>
        <v>682604379.04735398</v>
      </c>
      <c r="E12" s="9">
        <f>E7+E8+E9</f>
        <v>706833469.41533613</v>
      </c>
      <c r="F12" s="9">
        <f t="shared" ref="F12:H12" si="26">F7+F8+F9</f>
        <v>732989097.29366922</v>
      </c>
      <c r="G12" s="9">
        <f t="shared" si="26"/>
        <v>761169465.2266624</v>
      </c>
      <c r="H12" s="9">
        <f t="shared" si="26"/>
        <v>791477078.8891685</v>
      </c>
      <c r="I12" s="9">
        <f t="shared" ref="I12:AF12" si="27">I7+I8+I9</f>
        <v>824018921.63992667</v>
      </c>
      <c r="J12" s="9">
        <f t="shared" si="27"/>
        <v>858906635.83077943</v>
      </c>
      <c r="K12" s="9">
        <f t="shared" si="27"/>
        <v>896256711.12511039</v>
      </c>
      <c r="L12" s="9">
        <f t="shared" si="27"/>
        <v>936190880.08195198</v>
      </c>
      <c r="M12" s="9">
        <f t="shared" si="27"/>
        <v>978836140.42656028</v>
      </c>
      <c r="N12" s="9">
        <f t="shared" si="27"/>
        <v>1024324967.2310222</v>
      </c>
      <c r="O12" s="9">
        <f t="shared" si="27"/>
        <v>1072795533.2785567</v>
      </c>
      <c r="P12" s="9">
        <f t="shared" si="27"/>
        <v>1124391937.9178545</v>
      </c>
      <c r="Q12" s="9">
        <f t="shared" si="27"/>
        <v>1179264496.7596612</v>
      </c>
      <c r="R12" s="9">
        <f t="shared" si="27"/>
        <v>1237569941.4276028</v>
      </c>
      <c r="S12" s="9">
        <f t="shared" si="27"/>
        <v>1299471676.1535654</v>
      </c>
      <c r="T12" s="9">
        <f t="shared" si="27"/>
        <v>1365140044.2217889</v>
      </c>
      <c r="U12" s="9">
        <f t="shared" si="27"/>
        <v>1434752604.6291287</v>
      </c>
      <c r="V12" s="9">
        <f t="shared" si="27"/>
        <v>1508494541.2763863</v>
      </c>
      <c r="W12" s="9">
        <f t="shared" si="27"/>
        <v>1586558850.9810593</v>
      </c>
      <c r="X12" s="9">
        <f t="shared" si="27"/>
        <v>1669146653.8756957</v>
      </c>
      <c r="Y12" s="9">
        <f t="shared" si="27"/>
        <v>1756467515.6713154</v>
      </c>
      <c r="Z12" s="9">
        <f t="shared" si="27"/>
        <v>1848739782.2274172</v>
      </c>
      <c r="AA12" s="9">
        <f t="shared" si="27"/>
        <v>1946190926.8861935</v>
      </c>
      <c r="AB12" s="9">
        <f t="shared" si="27"/>
        <v>2049057911.0452619</v>
      </c>
      <c r="AC12" s="9">
        <f t="shared" si="27"/>
        <v>2157587558.4605103</v>
      </c>
      <c r="AD12" s="9">
        <f t="shared" si="27"/>
        <v>2272036943.7885556</v>
      </c>
      <c r="AE12" s="9">
        <f t="shared" si="27"/>
        <v>2392673795.8968639</v>
      </c>
      <c r="AF12" s="9">
        <f t="shared" si="27"/>
        <v>2519776916.4887953</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64296828.219434097</v>
      </c>
      <c r="D18" s="9">
        <f>Investment!D25</f>
        <v>67435247.545438021</v>
      </c>
      <c r="E18" s="9">
        <f>Investment!E25</f>
        <v>70708685.756209478</v>
      </c>
      <c r="F18" s="9">
        <f>Investment!F25</f>
        <v>74122570.318983808</v>
      </c>
      <c r="G18" s="9">
        <f>Investment!G25</f>
        <v>77670366.37271446</v>
      </c>
      <c r="H18" s="9">
        <f>Investment!H25</f>
        <v>81369028.481557429</v>
      </c>
      <c r="I18" s="9">
        <f>Investment!I25</f>
        <v>85224569.877914399</v>
      </c>
      <c r="J18" s="9">
        <f>Investment!J25</f>
        <v>89243233.860450059</v>
      </c>
      <c r="K18" s="9">
        <f>Investment!K25</f>
        <v>93431502.351454988</v>
      </c>
      <c r="L18" s="9">
        <f>Investment!L25</f>
        <v>97804637.835678488</v>
      </c>
      <c r="M18" s="9">
        <f>Investment!M25</f>
        <v>102361842.89243069</v>
      </c>
      <c r="N18" s="9">
        <f>Investment!N25</f>
        <v>107110415.50555143</v>
      </c>
      <c r="O18" s="9">
        <f>Investment!O25</f>
        <v>112057932.10294029</v>
      </c>
      <c r="P18" s="9">
        <f>Investment!P25</f>
        <v>117212257.89938551</v>
      </c>
      <c r="Q18" s="9">
        <f>Investment!Q25</f>
        <v>122583777.76061012</v>
      </c>
      <c r="R18" s="9">
        <f>Investment!R25</f>
        <v>128178942.30115679</v>
      </c>
      <c r="S18" s="9">
        <f>Investment!S25</f>
        <v>134006560.91958942</v>
      </c>
      <c r="T18" s="9">
        <f>Investment!T25</f>
        <v>140075777.69446847</v>
      </c>
      <c r="U18" s="9">
        <f>Investment!U25</f>
        <v>146396083.77955458</v>
      </c>
      <c r="V18" s="9">
        <f>Investment!V25</f>
        <v>152982532.76738334</v>
      </c>
      <c r="W18" s="9">
        <f>Investment!W25</f>
        <v>159840604.90064293</v>
      </c>
      <c r="X18" s="9">
        <f>Investment!X25</f>
        <v>166980939.53687721</v>
      </c>
      <c r="Y18" s="9">
        <f>Investment!Y25</f>
        <v>174414578.81041232</v>
      </c>
      <c r="Z18" s="9">
        <f>Investment!Z25</f>
        <v>182152982.5153679</v>
      </c>
      <c r="AA18" s="9">
        <f>Investment!AA25</f>
        <v>190208043.52873883</v>
      </c>
      <c r="AB18" s="9">
        <f>Investment!AB25</f>
        <v>198592103.79286963</v>
      </c>
      <c r="AC18" s="9">
        <f>Investment!AC25</f>
        <v>207317970.87733147</v>
      </c>
      <c r="AD18" s="9">
        <f>Investment!AD25</f>
        <v>216398935.14091498</v>
      </c>
      <c r="AE18" s="9">
        <f>Investment!AE25</f>
        <v>225848787.51518935</v>
      </c>
      <c r="AF18" s="9">
        <f>Investment!AF25</f>
        <v>235681837.93183306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703849328.21943414</v>
      </c>
      <c r="D19" s="9">
        <f>D18+C20</f>
        <v>750629576.6387049</v>
      </c>
      <c r="E19" s="9">
        <f>E18+D20</f>
        <v>798941382.4737277</v>
      </c>
      <c r="F19" s="9">
        <f t="shared" ref="F19:AF19" si="28">F18+E20</f>
        <v>848834862.42472935</v>
      </c>
      <c r="G19" s="9">
        <f t="shared" si="28"/>
        <v>900349600.91911077</v>
      </c>
      <c r="H19" s="9">
        <f t="shared" si="28"/>
        <v>953538261.46767497</v>
      </c>
      <c r="I19" s="9">
        <f t="shared" si="28"/>
        <v>1008455217.6830833</v>
      </c>
      <c r="J19" s="9">
        <f t="shared" si="28"/>
        <v>1065156608.7927752</v>
      </c>
      <c r="K19" s="9">
        <f t="shared" si="28"/>
        <v>1123700396.9533775</v>
      </c>
      <c r="L19" s="9">
        <f t="shared" si="28"/>
        <v>1184154959.494725</v>
      </c>
      <c r="M19" s="9">
        <f t="shared" si="28"/>
        <v>1246582633.4303141</v>
      </c>
      <c r="N19" s="9">
        <f t="shared" si="28"/>
        <v>1311047788.5912571</v>
      </c>
      <c r="O19" s="9">
        <f t="shared" si="28"/>
        <v>1377616893.8897355</v>
      </c>
      <c r="P19" s="9">
        <f t="shared" si="28"/>
        <v>1446358585.7415864</v>
      </c>
      <c r="Q19" s="9">
        <f t="shared" si="28"/>
        <v>1517345958.8628988</v>
      </c>
      <c r="R19" s="9">
        <f t="shared" si="28"/>
        <v>1590652342.3222492</v>
      </c>
      <c r="S19" s="9">
        <f t="shared" si="28"/>
        <v>1666353458.5738971</v>
      </c>
      <c r="T19" s="9">
        <f t="shared" si="28"/>
        <v>1744527501.542403</v>
      </c>
      <c r="U19" s="9">
        <f t="shared" si="28"/>
        <v>1825255217.2537341</v>
      </c>
      <c r="V19" s="9">
        <f t="shared" si="28"/>
        <v>1908625189.6137776</v>
      </c>
      <c r="W19" s="9">
        <f t="shared" si="28"/>
        <v>1994723857.8671632</v>
      </c>
      <c r="X19" s="9">
        <f t="shared" si="28"/>
        <v>2083640487.6993673</v>
      </c>
      <c r="Y19" s="9">
        <f t="shared" si="28"/>
        <v>2175467263.6151433</v>
      </c>
      <c r="Z19" s="9">
        <f t="shared" si="28"/>
        <v>2270299384.3348913</v>
      </c>
      <c r="AA19" s="9">
        <f t="shared" si="28"/>
        <v>2368235161.3075285</v>
      </c>
      <c r="AB19" s="9">
        <f t="shared" si="28"/>
        <v>2469376120.4416218</v>
      </c>
      <c r="AC19" s="9">
        <f t="shared" si="28"/>
        <v>2573827107.1598845</v>
      </c>
      <c r="AD19" s="9">
        <f t="shared" si="28"/>
        <v>2681696394.8855505</v>
      </c>
      <c r="AE19" s="9">
        <f t="shared" si="28"/>
        <v>2793095797.0726943</v>
      </c>
      <c r="AF19" s="9">
        <f t="shared" si="28"/>
        <v>2908140782.8962193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683194329.09326684</v>
      </c>
      <c r="D20" s="9">
        <f>D19-D8-D9</f>
        <v>728232696.71751821</v>
      </c>
      <c r="E20" s="9">
        <f t="shared" ref="E20:AF20" si="29">E19-E8-E9</f>
        <v>774712292.10574555</v>
      </c>
      <c r="F20" s="9">
        <f t="shared" si="29"/>
        <v>822679234.54639626</v>
      </c>
      <c r="G20" s="9">
        <f t="shared" si="29"/>
        <v>872169232.9861176</v>
      </c>
      <c r="H20" s="9">
        <f t="shared" si="29"/>
        <v>923230647.80516887</v>
      </c>
      <c r="I20" s="9">
        <f t="shared" si="29"/>
        <v>975913374.93232512</v>
      </c>
      <c r="J20" s="9">
        <f t="shared" si="29"/>
        <v>1030268894.6019224</v>
      </c>
      <c r="K20" s="9">
        <f t="shared" si="29"/>
        <v>1086350321.6590464</v>
      </c>
      <c r="L20" s="9">
        <f t="shared" si="29"/>
        <v>1144220790.5378833</v>
      </c>
      <c r="M20" s="9">
        <f t="shared" si="29"/>
        <v>1203937373.0857058</v>
      </c>
      <c r="N20" s="9">
        <f t="shared" si="29"/>
        <v>1265558961.7867951</v>
      </c>
      <c r="O20" s="9">
        <f t="shared" si="29"/>
        <v>1329146327.842201</v>
      </c>
      <c r="P20" s="9">
        <f t="shared" si="29"/>
        <v>1394762181.1022887</v>
      </c>
      <c r="Q20" s="9">
        <f t="shared" si="29"/>
        <v>1462473400.0210924</v>
      </c>
      <c r="R20" s="9">
        <f t="shared" si="29"/>
        <v>1532346897.6543076</v>
      </c>
      <c r="S20" s="9">
        <f t="shared" si="29"/>
        <v>1604451723.8479345</v>
      </c>
      <c r="T20" s="9">
        <f t="shared" si="29"/>
        <v>1678859133.4741795</v>
      </c>
      <c r="U20" s="9">
        <f t="shared" si="29"/>
        <v>1755642656.8463943</v>
      </c>
      <c r="V20" s="9">
        <f t="shared" si="29"/>
        <v>1834883252.9665203</v>
      </c>
      <c r="W20" s="9">
        <f t="shared" si="29"/>
        <v>1916659548.1624901</v>
      </c>
      <c r="X20" s="9">
        <f t="shared" si="29"/>
        <v>2001052684.8047309</v>
      </c>
      <c r="Y20" s="9">
        <f t="shared" si="29"/>
        <v>2088146401.8195236</v>
      </c>
      <c r="Z20" s="9">
        <f t="shared" si="29"/>
        <v>2178027117.7787895</v>
      </c>
      <c r="AA20" s="9">
        <f t="shared" si="29"/>
        <v>2270784016.6487522</v>
      </c>
      <c r="AB20" s="9">
        <f t="shared" si="29"/>
        <v>2366509136.2825532</v>
      </c>
      <c r="AC20" s="9">
        <f t="shared" si="29"/>
        <v>2465297459.7446356</v>
      </c>
      <c r="AD20" s="9">
        <f t="shared" si="29"/>
        <v>2567247009.5575051</v>
      </c>
      <c r="AE20" s="9">
        <f t="shared" si="29"/>
        <v>2672458944.964386</v>
      </c>
      <c r="AF20" s="9">
        <f t="shared" si="29"/>
        <v>2781037662.3042879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95236000</v>
      </c>
      <c r="D22" s="9">
        <f ca="1">'Balance Sheet'!C11</f>
        <v>141718857.47845709</v>
      </c>
      <c r="E22" s="9">
        <f ca="1">'Balance Sheet'!D11</f>
        <v>178588758.88224012</v>
      </c>
      <c r="F22" s="9">
        <f ca="1">'Balance Sheet'!E11</f>
        <v>209071560.84158203</v>
      </c>
      <c r="G22" s="9">
        <f ca="1">'Balance Sheet'!F11</f>
        <v>234142697.20496815</v>
      </c>
      <c r="H22" s="9">
        <f ca="1">'Balance Sheet'!G11</f>
        <v>256254313.10609305</v>
      </c>
      <c r="I22" s="9">
        <f ca="1">'Balance Sheet'!H11</f>
        <v>274431533.20245367</v>
      </c>
      <c r="J22" s="9">
        <f ca="1">'Balance Sheet'!I11</f>
        <v>289747289.90727782</v>
      </c>
      <c r="K22" s="9">
        <f ca="1">'Balance Sheet'!J11</f>
        <v>303837743.93450356</v>
      </c>
      <c r="L22" s="9">
        <f ca="1">'Balance Sheet'!K11</f>
        <v>317603328.73021197</v>
      </c>
      <c r="M22" s="9">
        <f ca="1">'Balance Sheet'!L11</f>
        <v>330844597.76701057</v>
      </c>
      <c r="N22" s="9">
        <f ca="1">'Balance Sheet'!M11</f>
        <v>343319787.82964408</v>
      </c>
      <c r="O22" s="9">
        <f ca="1">'Balance Sheet'!N11</f>
        <v>356300601.77094674</v>
      </c>
      <c r="P22" s="9">
        <f ca="1">'Balance Sheet'!O11</f>
        <v>369714450.2305001</v>
      </c>
      <c r="Q22" s="9">
        <f ca="1">'Balance Sheet'!P11</f>
        <v>383476523.35662508</v>
      </c>
      <c r="R22" s="9">
        <f ca="1">'Balance Sheet'!Q11</f>
        <v>397493487.58138347</v>
      </c>
      <c r="S22" s="9">
        <f ca="1">'Balance Sheet'!R11</f>
        <v>411653330.44086021</v>
      </c>
      <c r="T22" s="9">
        <f ca="1">'Balance Sheet'!S11</f>
        <v>425828209.05429119</v>
      </c>
      <c r="U22" s="9">
        <f ca="1">'Balance Sheet'!T11</f>
        <v>439873046.63026768</v>
      </c>
      <c r="V22" s="9">
        <f ca="1">'Balance Sheet'!U11</f>
        <v>455825109.51347494</v>
      </c>
      <c r="W22" s="9">
        <f ca="1">'Balance Sheet'!V11</f>
        <v>473798759.92662907</v>
      </c>
      <c r="X22" s="9">
        <f ca="1">'Balance Sheet'!W11</f>
        <v>493900968.06034839</v>
      </c>
      <c r="Y22" s="9">
        <f ca="1">'Balance Sheet'!X11</f>
        <v>516241731.52000922</v>
      </c>
      <c r="Z22" s="9">
        <f ca="1">'Balance Sheet'!Y11</f>
        <v>542230875.64440155</v>
      </c>
      <c r="AA22" s="9">
        <f ca="1">'Balance Sheet'!Z11</f>
        <v>572940218.01540017</v>
      </c>
      <c r="AB22" s="9">
        <f ca="1">'Balance Sheet'!AA11</f>
        <v>608735412.28712833</v>
      </c>
      <c r="AC22" s="9">
        <f ca="1">'Balance Sheet'!AB11</f>
        <v>650003286.03983581</v>
      </c>
      <c r="AD22" s="9">
        <f ca="1">'Balance Sheet'!AC11</f>
        <v>697152905.9236145</v>
      </c>
      <c r="AE22" s="9">
        <f ca="1">'Balance Sheet'!AD11</f>
        <v>750616692.22767246</v>
      </c>
      <c r="AF22" s="9">
        <f ca="1">'Balance Sheet'!AE11</f>
        <v>810851585.05356526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587958329.09326684</v>
      </c>
      <c r="D23" s="9">
        <f t="shared" ref="D23:AF23" ca="1" si="30">D20-D22</f>
        <v>586513839.23906112</v>
      </c>
      <c r="E23" s="9">
        <f t="shared" ca="1" si="30"/>
        <v>596123533.2235055</v>
      </c>
      <c r="F23" s="9">
        <f t="shared" ca="1" si="30"/>
        <v>613607673.7048142</v>
      </c>
      <c r="G23" s="9">
        <f t="shared" ca="1" si="30"/>
        <v>638026535.78114939</v>
      </c>
      <c r="H23" s="9">
        <f t="shared" ca="1" si="30"/>
        <v>666976334.69907582</v>
      </c>
      <c r="I23" s="9">
        <f t="shared" ca="1" si="30"/>
        <v>701481841.72987151</v>
      </c>
      <c r="J23" s="9">
        <f ca="1">J20-J22</f>
        <v>740521604.69464457</v>
      </c>
      <c r="K23" s="9">
        <f t="shared" ca="1" si="30"/>
        <v>782512577.72454286</v>
      </c>
      <c r="L23" s="9">
        <f t="shared" ca="1" si="30"/>
        <v>826617461.80767131</v>
      </c>
      <c r="M23" s="9">
        <f t="shared" ca="1" si="30"/>
        <v>873092775.31869519</v>
      </c>
      <c r="N23" s="9">
        <f t="shared" ca="1" si="30"/>
        <v>922239173.95715106</v>
      </c>
      <c r="O23" s="9">
        <f t="shared" ca="1" si="30"/>
        <v>972845726.07125425</v>
      </c>
      <c r="P23" s="9">
        <f t="shared" ca="1" si="30"/>
        <v>1025047730.8717886</v>
      </c>
      <c r="Q23" s="9">
        <f t="shared" ca="1" si="30"/>
        <v>1078996876.6644673</v>
      </c>
      <c r="R23" s="9">
        <f t="shared" ca="1" si="30"/>
        <v>1134853410.0729241</v>
      </c>
      <c r="S23" s="9">
        <f t="shared" ca="1" si="30"/>
        <v>1192798393.4070742</v>
      </c>
      <c r="T23" s="9">
        <f t="shared" ca="1" si="30"/>
        <v>1253030924.4198883</v>
      </c>
      <c r="U23" s="9">
        <f t="shared" ca="1" si="30"/>
        <v>1315769610.2161267</v>
      </c>
      <c r="V23" s="9">
        <f t="shared" ca="1" si="30"/>
        <v>1379058143.4530454</v>
      </c>
      <c r="W23" s="9">
        <f t="shared" ca="1" si="30"/>
        <v>1442860788.2358611</v>
      </c>
      <c r="X23" s="9">
        <f t="shared" ca="1" si="30"/>
        <v>1507151716.7443824</v>
      </c>
      <c r="Y23" s="9">
        <f t="shared" ca="1" si="30"/>
        <v>1571904670.2995143</v>
      </c>
      <c r="Z23" s="9">
        <f t="shared" ca="1" si="30"/>
        <v>1635796242.134388</v>
      </c>
      <c r="AA23" s="9">
        <f t="shared" ca="1" si="30"/>
        <v>1697843798.633352</v>
      </c>
      <c r="AB23" s="9">
        <f t="shared" ca="1" si="30"/>
        <v>1757773723.9954247</v>
      </c>
      <c r="AC23" s="9">
        <f t="shared" ca="1" si="30"/>
        <v>1815294173.7047997</v>
      </c>
      <c r="AD23" s="9">
        <f t="shared" ca="1" si="30"/>
        <v>1870094103.6338906</v>
      </c>
      <c r="AE23" s="9">
        <f t="shared" ca="1" si="30"/>
        <v>1921842252.7367134</v>
      </c>
      <c r="AF23" s="9">
        <f t="shared" ca="1" si="30"/>
        <v>1970186077.2507226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95236000</v>
      </c>
      <c r="D5" s="1">
        <f ca="1">C5+C6</f>
        <v>141718857.47845709</v>
      </c>
      <c r="E5" s="1">
        <f t="shared" ref="E5:AF5" ca="1" si="1">D5+D6</f>
        <v>178588758.88224012</v>
      </c>
      <c r="F5" s="1">
        <f t="shared" ca="1" si="1"/>
        <v>209071560.84158203</v>
      </c>
      <c r="G5" s="1">
        <f t="shared" ca="1" si="1"/>
        <v>234142697.20496815</v>
      </c>
      <c r="H5" s="1">
        <f t="shared" ca="1" si="1"/>
        <v>256254313.10609305</v>
      </c>
      <c r="I5" s="1">
        <f t="shared" ca="1" si="1"/>
        <v>274431533.20245367</v>
      </c>
      <c r="J5" s="1">
        <f t="shared" ca="1" si="1"/>
        <v>289747289.90727782</v>
      </c>
      <c r="K5" s="1">
        <f t="shared" ca="1" si="1"/>
        <v>303837743.93450356</v>
      </c>
      <c r="L5" s="1">
        <f t="shared" ca="1" si="1"/>
        <v>317603328.73021197</v>
      </c>
      <c r="M5" s="1">
        <f t="shared" ca="1" si="1"/>
        <v>330844597.76701057</v>
      </c>
      <c r="N5" s="1">
        <f t="shared" ca="1" si="1"/>
        <v>343319787.82964408</v>
      </c>
      <c r="O5" s="1">
        <f t="shared" ca="1" si="1"/>
        <v>356300601.77094674</v>
      </c>
      <c r="P5" s="1">
        <f t="shared" ca="1" si="1"/>
        <v>369714450.2305001</v>
      </c>
      <c r="Q5" s="1">
        <f t="shared" ca="1" si="1"/>
        <v>383476523.35662508</v>
      </c>
      <c r="R5" s="1">
        <f t="shared" ca="1" si="1"/>
        <v>397493487.58138347</v>
      </c>
      <c r="S5" s="1">
        <f t="shared" ca="1" si="1"/>
        <v>411653330.44086021</v>
      </c>
      <c r="T5" s="1">
        <f t="shared" ca="1" si="1"/>
        <v>425828209.05429119</v>
      </c>
      <c r="U5" s="1">
        <f t="shared" ca="1" si="1"/>
        <v>439873046.63026768</v>
      </c>
      <c r="V5" s="1">
        <f t="shared" ca="1" si="1"/>
        <v>455825109.51347494</v>
      </c>
      <c r="W5" s="1">
        <f t="shared" ca="1" si="1"/>
        <v>473798759.92662907</v>
      </c>
      <c r="X5" s="1">
        <f t="shared" ca="1" si="1"/>
        <v>493900968.06034839</v>
      </c>
      <c r="Y5" s="1">
        <f t="shared" ca="1" si="1"/>
        <v>516241731.52000922</v>
      </c>
      <c r="Z5" s="1">
        <f t="shared" ca="1" si="1"/>
        <v>542230875.64440155</v>
      </c>
      <c r="AA5" s="1">
        <f t="shared" ca="1" si="1"/>
        <v>572940218.01540017</v>
      </c>
      <c r="AB5" s="1">
        <f t="shared" ca="1" si="1"/>
        <v>608735412.28712833</v>
      </c>
      <c r="AC5" s="1">
        <f t="shared" ca="1" si="1"/>
        <v>650003286.03983581</v>
      </c>
      <c r="AD5" s="1">
        <f t="shared" ca="1" si="1"/>
        <v>697152905.9236145</v>
      </c>
      <c r="AE5" s="1">
        <f t="shared" ca="1" si="1"/>
        <v>750616692.22767246</v>
      </c>
      <c r="AF5" s="1">
        <f t="shared" ca="1" si="1"/>
        <v>810851585.05356526</v>
      </c>
      <c r="AG5" s="1"/>
      <c r="AH5" s="1"/>
      <c r="AI5" s="1"/>
      <c r="AJ5" s="1"/>
      <c r="AK5" s="1"/>
      <c r="AL5" s="1"/>
      <c r="AM5" s="1"/>
      <c r="AN5" s="1"/>
      <c r="AO5" s="1"/>
      <c r="AP5" s="1"/>
    </row>
    <row r="6" spans="1:42" x14ac:dyDescent="0.35">
      <c r="A6" s="63" t="s">
        <v>3</v>
      </c>
      <c r="C6" s="1">
        <f ca="1">-'Cash Flow'!C13</f>
        <v>46482857.478457078</v>
      </c>
      <c r="D6" s="1">
        <f ca="1">-'Cash Flow'!D13</f>
        <v>36869901.403783031</v>
      </c>
      <c r="E6" s="1">
        <f ca="1">-'Cash Flow'!E13</f>
        <v>30482801.959341906</v>
      </c>
      <c r="F6" s="1">
        <f ca="1">-'Cash Flow'!F13</f>
        <v>25071136.363386132</v>
      </c>
      <c r="G6" s="1">
        <f ca="1">-'Cash Flow'!G13</f>
        <v>22111615.90112491</v>
      </c>
      <c r="H6" s="1">
        <f ca="1">-'Cash Flow'!H13</f>
        <v>18177220.096360639</v>
      </c>
      <c r="I6" s="1">
        <f ca="1">-'Cash Flow'!I13</f>
        <v>15315756.70482415</v>
      </c>
      <c r="J6" s="1">
        <f ca="1">-'Cash Flow'!J13</f>
        <v>14090454.027225763</v>
      </c>
      <c r="K6" s="1">
        <f ca="1">-'Cash Flow'!K13</f>
        <v>13765584.795708433</v>
      </c>
      <c r="L6" s="1">
        <f ca="1">-'Cash Flow'!L13</f>
        <v>13241269.036798626</v>
      </c>
      <c r="M6" s="1">
        <f ca="1">-'Cash Flow'!M13</f>
        <v>12475190.062633544</v>
      </c>
      <c r="N6" s="1">
        <f ca="1">-'Cash Flow'!N13</f>
        <v>12980813.941302627</v>
      </c>
      <c r="O6" s="1">
        <f ca="1">-'Cash Flow'!O13</f>
        <v>13413848.459553376</v>
      </c>
      <c r="P6" s="1">
        <f ca="1">-'Cash Flow'!P13</f>
        <v>13762073.126125008</v>
      </c>
      <c r="Q6" s="1">
        <f ca="1">-'Cash Flow'!Q13</f>
        <v>14016964.224758372</v>
      </c>
      <c r="R6" s="1">
        <f ca="1">-'Cash Flow'!R13</f>
        <v>14159842.859476745</v>
      </c>
      <c r="S6" s="1">
        <f ca="1">-'Cash Flow'!S13</f>
        <v>14174878.613430962</v>
      </c>
      <c r="T6" s="1">
        <f ca="1">-'Cash Flow'!T13</f>
        <v>14044837.575976491</v>
      </c>
      <c r="U6" s="1">
        <f ca="1">-'Cash Flow'!U13</f>
        <v>15952062.883207291</v>
      </c>
      <c r="V6" s="1">
        <f ca="1">-'Cash Flow'!V13</f>
        <v>17973650.413154095</v>
      </c>
      <c r="W6" s="1">
        <f ca="1">-'Cash Flow'!W13</f>
        <v>20102208.133719325</v>
      </c>
      <c r="X6" s="1">
        <f ca="1">-'Cash Flow'!X13</f>
        <v>22340763.459660828</v>
      </c>
      <c r="Y6" s="1">
        <f ca="1">-'Cash Flow'!Y13</f>
        <v>25989144.12439236</v>
      </c>
      <c r="Z6" s="1">
        <f ca="1">-'Cash Flow'!Z13</f>
        <v>30709342.370998561</v>
      </c>
      <c r="AA6" s="1">
        <f ca="1">-'Cash Flow'!AA13</f>
        <v>35795194.271728128</v>
      </c>
      <c r="AB6" s="1">
        <f ca="1">-'Cash Flow'!AB13</f>
        <v>41267873.752707511</v>
      </c>
      <c r="AC6" s="1">
        <f ca="1">-'Cash Flow'!AC13</f>
        <v>47149619.883778632</v>
      </c>
      <c r="AD6" s="1">
        <f ca="1">-'Cash Flow'!AD13</f>
        <v>53463786.304057986</v>
      </c>
      <c r="AE6" s="1">
        <f ca="1">-'Cash Flow'!AE13</f>
        <v>60234892.825892866</v>
      </c>
      <c r="AF6" s="1">
        <f ca="1">-'Cash Flow'!AF13</f>
        <v>67488679.30988431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4960160.0117459986</v>
      </c>
      <c r="D8" s="1">
        <f ca="1">IF(SUM(D5:D6)&gt;0,Assumptions!$C$26*SUM(D5:D6),Assumptions!$C$27*(SUM(D5:D6)))</f>
        <v>6250606.5608784044</v>
      </c>
      <c r="E8" s="1">
        <f ca="1">IF(SUM(E5:E6)&gt;0,Assumptions!$C$26*SUM(E5:E6),Assumptions!$C$27*(SUM(E5:E6)))</f>
        <v>7317504.6294553718</v>
      </c>
      <c r="F8" s="1">
        <f ca="1">IF(SUM(F5:F6)&gt;0,Assumptions!$C$26*SUM(F5:F6),Assumptions!$C$27*(SUM(F5:F6)))</f>
        <v>8194994.4021738861</v>
      </c>
      <c r="G8" s="1">
        <f ca="1">IF(SUM(G5:G6)&gt;0,Assumptions!$C$26*SUM(G5:G6),Assumptions!$C$27*(SUM(G5:G6)))</f>
        <v>8968900.9587132577</v>
      </c>
      <c r="H8" s="1">
        <f ca="1">IF(SUM(H5:H6)&gt;0,Assumptions!$C$26*SUM(H5:H6),Assumptions!$C$27*(SUM(H5:H6)))</f>
        <v>9605103.6620858796</v>
      </c>
      <c r="I8" s="1">
        <f ca="1">IF(SUM(I5:I6)&gt;0,Assumptions!$C$26*SUM(I5:I6),Assumptions!$C$27*(SUM(I5:I6)))</f>
        <v>10141155.146754725</v>
      </c>
      <c r="J8" s="1">
        <f ca="1">IF(SUM(J5:J6)&gt;0,Assumptions!$C$26*SUM(J5:J6),Assumptions!$C$27*(SUM(J5:J6)))</f>
        <v>10634321.037707625</v>
      </c>
      <c r="K8" s="1">
        <f ca="1">IF(SUM(K5:K6)&gt;0,Assumptions!$C$26*SUM(K5:K6),Assumptions!$C$27*(SUM(K5:K6)))</f>
        <v>11116116.50555742</v>
      </c>
      <c r="L8" s="1">
        <f ca="1">IF(SUM(L5:L6)&gt;0,Assumptions!$C$26*SUM(L5:L6),Assumptions!$C$27*(SUM(L5:L6)))</f>
        <v>11579560.921845371</v>
      </c>
      <c r="M8" s="1">
        <f ca="1">IF(SUM(M5:M6)&gt;0,Assumptions!$C$26*SUM(M5:M6),Assumptions!$C$27*(SUM(M5:M6)))</f>
        <v>12016192.574037544</v>
      </c>
      <c r="N8" s="1">
        <f ca="1">IF(SUM(N5:N6)&gt;0,Assumptions!$C$26*SUM(N5:N6),Assumptions!$C$27*(SUM(N5:N6)))</f>
        <v>12470521.061983136</v>
      </c>
      <c r="O8" s="1">
        <f ca="1">IF(SUM(O5:O6)&gt;0,Assumptions!$C$26*SUM(O5:O6),Assumptions!$C$27*(SUM(O5:O6)))</f>
        <v>12940005.758067505</v>
      </c>
      <c r="P8" s="1">
        <f ca="1">IF(SUM(P5:P6)&gt;0,Assumptions!$C$26*SUM(P5:P6),Assumptions!$C$27*(SUM(P5:P6)))</f>
        <v>13421678.317481879</v>
      </c>
      <c r="Q8" s="1">
        <f ca="1">IF(SUM(Q5:Q6)&gt;0,Assumptions!$C$26*SUM(Q5:Q6),Assumptions!$C$27*(SUM(Q5:Q6)))</f>
        <v>13912272.065348422</v>
      </c>
      <c r="R8" s="1">
        <f ca="1">IF(SUM(R5:R6)&gt;0,Assumptions!$C$26*SUM(R5:R6),Assumptions!$C$27*(SUM(R5:R6)))</f>
        <v>14407866.565430108</v>
      </c>
      <c r="S8" s="1">
        <f ca="1">IF(SUM(S5:S6)&gt;0,Assumptions!$C$26*SUM(S5:S6),Assumptions!$C$27*(SUM(S5:S6)))</f>
        <v>14903987.316900194</v>
      </c>
      <c r="T8" s="1">
        <f ca="1">IF(SUM(T5:T6)&gt;0,Assumptions!$C$26*SUM(T5:T6),Assumptions!$C$27*(SUM(T5:T6)))</f>
        <v>15395556.632059371</v>
      </c>
      <c r="U8" s="1">
        <f ca="1">IF(SUM(U5:U6)&gt;0,Assumptions!$C$26*SUM(U5:U6),Assumptions!$C$27*(SUM(U5:U6)))</f>
        <v>15953878.832971625</v>
      </c>
      <c r="V8" s="1">
        <f ca="1">IF(SUM(V5:V6)&gt;0,Assumptions!$C$26*SUM(V5:V6),Assumptions!$C$27*(SUM(V5:V6)))</f>
        <v>16582956.597432019</v>
      </c>
      <c r="W8" s="1">
        <f ca="1">IF(SUM(W5:W6)&gt;0,Assumptions!$C$26*SUM(W5:W6),Assumptions!$C$27*(SUM(W5:W6)))</f>
        <v>17286533.882112194</v>
      </c>
      <c r="X8" s="1">
        <f ca="1">IF(SUM(X5:X6)&gt;0,Assumptions!$C$26*SUM(X5:X6),Assumptions!$C$27*(SUM(X5:X6)))</f>
        <v>18068460.603200324</v>
      </c>
      <c r="Y8" s="1">
        <f ca="1">IF(SUM(Y5:Y6)&gt;0,Assumptions!$C$26*SUM(Y5:Y6),Assumptions!$C$27*(SUM(Y5:Y6)))</f>
        <v>18978080.647554055</v>
      </c>
      <c r="Z8" s="1">
        <f ca="1">IF(SUM(Z5:Z6)&gt;0,Assumptions!$C$26*SUM(Z5:Z6),Assumptions!$C$27*(SUM(Z5:Z6)))</f>
        <v>20052907.630539007</v>
      </c>
      <c r="AA8" s="1">
        <f ca="1">IF(SUM(AA5:AA6)&gt;0,Assumptions!$C$26*SUM(AA5:AA6),Assumptions!$C$27*(SUM(AA5:AA6)))</f>
        <v>21305739.430049494</v>
      </c>
      <c r="AB8" s="1">
        <f ca="1">IF(SUM(AB5:AB6)&gt;0,Assumptions!$C$26*SUM(AB5:AB6),Assumptions!$C$27*(SUM(AB5:AB6)))</f>
        <v>22750115.011394255</v>
      </c>
      <c r="AC8" s="1">
        <f ca="1">IF(SUM(AC5:AC6)&gt;0,Assumptions!$C$26*SUM(AC5:AC6),Assumptions!$C$27*(SUM(AC5:AC6)))</f>
        <v>24400351.707326509</v>
      </c>
      <c r="AD8" s="1">
        <f ca="1">IF(SUM(AD5:AD6)&gt;0,Assumptions!$C$26*SUM(AD5:AD6),Assumptions!$C$27*(SUM(AD5:AD6)))</f>
        <v>26271584.22796854</v>
      </c>
      <c r="AE8" s="1">
        <f ca="1">IF(SUM(AE5:AE6)&gt;0,Assumptions!$C$26*SUM(AE5:AE6),Assumptions!$C$27*(SUM(AE5:AE6)))</f>
        <v>28379805.476874787</v>
      </c>
      <c r="AF8" s="1">
        <f ca="1">IF(SUM(AF5:AF6)&gt;0,Assumptions!$C$26*SUM(AF5:AF6),Assumptions!$C$27*(SUM(AF5:AF6)))</f>
        <v>30741909.25272074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38.83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4"/>
    </row>
    <row r="6" spans="1:3" ht="18.5" x14ac:dyDescent="0.45">
      <c r="A6" s="90"/>
      <c r="B6" s="184"/>
    </row>
    <row r="7" spans="1:3" ht="18.5" x14ac:dyDescent="0.45">
      <c r="A7" s="90" t="s">
        <v>96</v>
      </c>
      <c r="B7" s="185">
        <f>Assumptions!C24</f>
        <v>32184612</v>
      </c>
      <c r="C7" s="183" t="s">
        <v>136</v>
      </c>
    </row>
    <row r="8" spans="1:3" ht="34" x14ac:dyDescent="0.45">
      <c r="A8" s="90" t="s">
        <v>174</v>
      </c>
      <c r="B8" s="186">
        <f>Assumptions!$C$133</f>
        <v>0.7</v>
      </c>
      <c r="C8" s="183" t="s">
        <v>199</v>
      </c>
    </row>
    <row r="9" spans="1:3" ht="18.5" x14ac:dyDescent="0.45">
      <c r="A9" s="90"/>
      <c r="B9" s="187"/>
      <c r="C9" s="183"/>
    </row>
    <row r="10" spans="1:3" ht="102" x14ac:dyDescent="0.45">
      <c r="A10" s="94" t="s">
        <v>102</v>
      </c>
      <c r="B10" s="188">
        <f>Assumptions!C135</f>
        <v>23649.490740740741</v>
      </c>
      <c r="C10" s="183" t="s">
        <v>200</v>
      </c>
    </row>
    <row r="11" spans="1:3" ht="18.5" x14ac:dyDescent="0.45">
      <c r="A11" s="94"/>
      <c r="B11" s="189"/>
      <c r="C11" s="183"/>
    </row>
    <row r="12" spans="1:3" ht="18.5" x14ac:dyDescent="0.45">
      <c r="A12" s="94" t="s">
        <v>184</v>
      </c>
      <c r="B12" s="185">
        <f>(B7*B8)/B10</f>
        <v>952.63059348627417</v>
      </c>
      <c r="C12" s="183"/>
    </row>
    <row r="13" spans="1:3" ht="18.5" x14ac:dyDescent="0.45">
      <c r="A13" s="96"/>
      <c r="B13" s="190"/>
      <c r="C13" s="183"/>
    </row>
    <row r="14" spans="1:3" ht="18.5" x14ac:dyDescent="0.45">
      <c r="A14" s="94" t="s">
        <v>103</v>
      </c>
      <c r="B14" s="103">
        <v>1</v>
      </c>
      <c r="C14" s="183"/>
    </row>
    <row r="15" spans="1:3" ht="18.5" x14ac:dyDescent="0.45">
      <c r="A15" s="96"/>
      <c r="B15" s="99"/>
      <c r="C15" s="183"/>
    </row>
    <row r="16" spans="1:3" ht="18.5" x14ac:dyDescent="0.45">
      <c r="A16" s="96" t="s">
        <v>179</v>
      </c>
      <c r="B16" s="191">
        <f>B12/B14</f>
        <v>952.63059348627417</v>
      </c>
      <c r="C16" s="183"/>
    </row>
    <row r="17" spans="1:3" ht="18.5" x14ac:dyDescent="0.45">
      <c r="A17" s="94"/>
      <c r="B17" s="192"/>
      <c r="C17" s="183"/>
    </row>
    <row r="18" spans="1:3" ht="18.5" x14ac:dyDescent="0.45">
      <c r="A18" s="102" t="s">
        <v>178</v>
      </c>
      <c r="B18" s="192"/>
      <c r="C18" s="183"/>
    </row>
    <row r="19" spans="1:3" ht="18.5" x14ac:dyDescent="0.45">
      <c r="A19" s="94"/>
      <c r="B19" s="192"/>
      <c r="C19" s="183"/>
    </row>
    <row r="20" spans="1:3" ht="51" x14ac:dyDescent="0.45">
      <c r="A20" s="94" t="s">
        <v>65</v>
      </c>
      <c r="B20" s="185">
        <f>'Profit and Loss'!L5</f>
        <v>138645438.35579038</v>
      </c>
      <c r="C20" s="183" t="s">
        <v>201</v>
      </c>
    </row>
    <row r="21" spans="1:3" ht="34" x14ac:dyDescent="0.45">
      <c r="A21" s="94" t="str">
        <f>A8</f>
        <v>Assumed revenue from households</v>
      </c>
      <c r="B21" s="186">
        <f>B8</f>
        <v>0.7</v>
      </c>
      <c r="C21" s="183" t="s">
        <v>199</v>
      </c>
    </row>
    <row r="22" spans="1:3" ht="18.5" x14ac:dyDescent="0.45">
      <c r="A22" s="94"/>
      <c r="B22" s="189"/>
      <c r="C22" s="183"/>
    </row>
    <row r="23" spans="1:3" ht="34" x14ac:dyDescent="0.45">
      <c r="A23" s="94" t="s">
        <v>101</v>
      </c>
      <c r="B23" s="188">
        <f>Assumptions!M135</f>
        <v>26523.991982535201</v>
      </c>
      <c r="C23" s="183" t="s">
        <v>202</v>
      </c>
    </row>
    <row r="24" spans="1:3" ht="18.5" x14ac:dyDescent="0.45">
      <c r="A24" s="94"/>
      <c r="B24" s="189"/>
      <c r="C24" s="183"/>
    </row>
    <row r="25" spans="1:3" ht="18.5" x14ac:dyDescent="0.45">
      <c r="A25" s="94" t="s">
        <v>183</v>
      </c>
      <c r="B25" s="185">
        <f>(B20*B21)/B23</f>
        <v>3659.0196118652616</v>
      </c>
      <c r="C25" s="183"/>
    </row>
    <row r="26" spans="1:3" ht="18.5" x14ac:dyDescent="0.45">
      <c r="A26" s="94"/>
      <c r="B26" s="185"/>
      <c r="C26" s="183"/>
    </row>
    <row r="27" spans="1:3" ht="51" x14ac:dyDescent="0.45">
      <c r="A27" s="94" t="s">
        <v>103</v>
      </c>
      <c r="B27" s="103">
        <f>1.022^11</f>
        <v>1.2704566586717592</v>
      </c>
      <c r="C27" s="183" t="s">
        <v>203</v>
      </c>
    </row>
    <row r="28" spans="1:3" ht="18.5" x14ac:dyDescent="0.45">
      <c r="A28" s="96"/>
      <c r="B28" s="190"/>
      <c r="C28" s="183"/>
    </row>
    <row r="29" spans="1:3" ht="18.5" x14ac:dyDescent="0.45">
      <c r="A29" s="96" t="s">
        <v>180</v>
      </c>
      <c r="B29" s="185">
        <f>B25/B27</f>
        <v>2880.0822026394071</v>
      </c>
      <c r="C29" s="183"/>
    </row>
    <row r="30" spans="1:3" ht="18.5" x14ac:dyDescent="0.45">
      <c r="A30" s="96"/>
      <c r="B30" s="190"/>
      <c r="C30" s="183"/>
    </row>
    <row r="31" spans="1:3" ht="18.5" x14ac:dyDescent="0.45">
      <c r="A31" s="102" t="s">
        <v>186</v>
      </c>
      <c r="B31" s="193"/>
      <c r="C31" s="183"/>
    </row>
    <row r="32" spans="1:3" ht="18.5" x14ac:dyDescent="0.45">
      <c r="A32" s="94"/>
      <c r="B32" s="185"/>
      <c r="C32" s="183"/>
    </row>
    <row r="33" spans="1:3" ht="51" x14ac:dyDescent="0.45">
      <c r="A33" s="94" t="s">
        <v>66</v>
      </c>
      <c r="B33" s="185">
        <f>'Profit and Loss'!AF5</f>
        <v>323736363.20171958</v>
      </c>
      <c r="C33" s="183" t="s">
        <v>201</v>
      </c>
    </row>
    <row r="34" spans="1:3" ht="34" x14ac:dyDescent="0.45">
      <c r="A34" s="94" t="str">
        <f>A21</f>
        <v>Assumed revenue from households</v>
      </c>
      <c r="B34" s="186">
        <f>B21</f>
        <v>0.7</v>
      </c>
      <c r="C34" s="183" t="s">
        <v>199</v>
      </c>
    </row>
    <row r="35" spans="1:3" ht="18.5" x14ac:dyDescent="0.45">
      <c r="A35" s="94"/>
      <c r="B35" s="189"/>
      <c r="C35" s="183"/>
    </row>
    <row r="36" spans="1:3" ht="34" x14ac:dyDescent="0.45">
      <c r="A36" s="94" t="s">
        <v>100</v>
      </c>
      <c r="B36" s="188">
        <f>Assumptions!AG135</f>
        <v>33363.613187834824</v>
      </c>
      <c r="C36" s="183" t="s">
        <v>202</v>
      </c>
    </row>
    <row r="37" spans="1:3" ht="18.5" x14ac:dyDescent="0.45">
      <c r="A37" s="94"/>
      <c r="B37" s="189"/>
      <c r="C37" s="183"/>
    </row>
    <row r="38" spans="1:3" ht="18.5" x14ac:dyDescent="0.45">
      <c r="A38" s="94" t="s">
        <v>182</v>
      </c>
      <c r="B38" s="185">
        <f>(B33*B34)/B36</f>
        <v>6792.2935374347626</v>
      </c>
      <c r="C38" s="183"/>
    </row>
    <row r="39" spans="1:3" ht="18.5" x14ac:dyDescent="0.45">
      <c r="A39" s="94"/>
      <c r="B39" s="189"/>
      <c r="C39" s="183"/>
    </row>
    <row r="40" spans="1:3" ht="51" x14ac:dyDescent="0.45">
      <c r="A40" s="94" t="s">
        <v>103</v>
      </c>
      <c r="B40" s="103">
        <f>1.022^31</f>
        <v>1.9632597808456462</v>
      </c>
      <c r="C40" s="183" t="s">
        <v>203</v>
      </c>
    </row>
    <row r="41" spans="1:3" ht="18.5" x14ac:dyDescent="0.45">
      <c r="A41" s="96"/>
      <c r="B41" s="190"/>
    </row>
    <row r="42" spans="1:3" ht="18.5" x14ac:dyDescent="0.45">
      <c r="A42" s="96" t="s">
        <v>181</v>
      </c>
      <c r="B42" s="185">
        <f>B38/B40</f>
        <v>3459.7018711956084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4" t="s">
        <v>27</v>
      </c>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1.1536851986528429E-2</v>
      </c>
      <c r="D13" s="128">
        <f t="shared" ref="D13:AG13" si="3">(1+$C$13)^D8</f>
        <v>1.0115368519865284</v>
      </c>
      <c r="E13" s="128">
        <f t="shared" si="3"/>
        <v>1.023206802926816</v>
      </c>
      <c r="F13" s="128">
        <f t="shared" si="3"/>
        <v>1.0350113883637917</v>
      </c>
      <c r="G13" s="128">
        <f t="shared" si="3"/>
        <v>1.046952161555716</v>
      </c>
      <c r="H13" s="128">
        <f t="shared" si="3"/>
        <v>1.0590306936805602</v>
      </c>
      <c r="I13" s="128">
        <f t="shared" si="3"/>
        <v>1.0712485740427435</v>
      </c>
      <c r="J13" s="128">
        <f t="shared" si="3"/>
        <v>1.0836074102822544</v>
      </c>
      <c r="K13" s="128">
        <f t="shared" si="3"/>
        <v>1.0961088285861862</v>
      </c>
      <c r="L13" s="128">
        <f t="shared" si="3"/>
        <v>1.108754473902712</v>
      </c>
      <c r="M13" s="128">
        <f t="shared" si="3"/>
        <v>1.121546010157529</v>
      </c>
      <c r="N13" s="128">
        <f t="shared" si="3"/>
        <v>1.1344851204727979</v>
      </c>
      <c r="O13" s="128">
        <f t="shared" si="3"/>
        <v>1.1475735073886115</v>
      </c>
      <c r="P13" s="128">
        <f t="shared" si="3"/>
        <v>1.160812893087015</v>
      </c>
      <c r="Q13" s="128">
        <f t="shared" si="3"/>
        <v>1.174205019618614</v>
      </c>
      <c r="R13" s="128">
        <f t="shared" si="3"/>
        <v>1.1877516491317928</v>
      </c>
      <c r="S13" s="128">
        <f t="shared" si="3"/>
        <v>1.2014545641045813</v>
      </c>
      <c r="T13" s="128">
        <f t="shared" si="3"/>
        <v>1.2153155675791949</v>
      </c>
      <c r="U13" s="128">
        <f t="shared" si="3"/>
        <v>1.2293364833992799</v>
      </c>
      <c r="V13" s="128">
        <f t="shared" si="3"/>
        <v>1.2435191564498969</v>
      </c>
      <c r="W13" s="128">
        <f t="shared" si="3"/>
        <v>1.257865452900272</v>
      </c>
      <c r="X13" s="128">
        <f t="shared" si="3"/>
        <v>1.27237726044935</v>
      </c>
      <c r="Y13" s="128">
        <f t="shared" si="3"/>
        <v>1.2870564885741786</v>
      </c>
      <c r="Z13" s="128">
        <f t="shared" si="3"/>
        <v>1.3019050687811602</v>
      </c>
      <c r="AA13" s="128">
        <f t="shared" si="3"/>
        <v>1.3169249548601996</v>
      </c>
      <c r="AB13" s="128">
        <f t="shared" si="3"/>
        <v>1.3321181231417871</v>
      </c>
      <c r="AC13" s="128">
        <f t="shared" si="3"/>
        <v>1.3474865727570462</v>
      </c>
      <c r="AD13" s="128">
        <f t="shared" si="3"/>
        <v>1.3630323259007788</v>
      </c>
      <c r="AE13" s="128">
        <f t="shared" si="3"/>
        <v>1.3787574280975499</v>
      </c>
      <c r="AF13" s="128">
        <f t="shared" si="3"/>
        <v>1.3946639484708374</v>
      </c>
      <c r="AG13" s="128">
        <f t="shared" si="3"/>
        <v>1.4107539800152933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1279105000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639552500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95236000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32184612</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198</v>
      </c>
      <c r="C25" s="136">
        <v>19230000</v>
      </c>
      <c r="D25" s="140"/>
      <c r="E25" s="179"/>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-2.5766668302540548E-3</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-2E-3</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-3.0939140649266506E-4</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-1.2390221293656634E-4</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-8.2645847229723124E-5</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-2.4011528301370877E-4</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-9.6133820052024532E-5</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-6.4115922113416879E-5</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0.99969060859350733</v>
      </c>
      <c r="I43" s="142">
        <f>H43*(1+$C$35)</f>
        <v>0.99938131291005705</v>
      </c>
      <c r="J43" s="142">
        <f>I43*(1+$C$35)</f>
        <v>0.99907211292003328</v>
      </c>
      <c r="K43" s="142">
        <f>J43*(1+$C$35)</f>
        <v>0.99876300859382938</v>
      </c>
      <c r="L43" s="142">
        <f>K43*(1+$C$35)</f>
        <v>0.99845399990184769</v>
      </c>
      <c r="M43" s="142">
        <f>L43*(1+$C$36)</f>
        <v>0.9983302892417445</v>
      </c>
      <c r="N43" s="142">
        <f>M43*(1+$C$36)</f>
        <v>0.99820659390966582</v>
      </c>
      <c r="O43" s="142">
        <f>N43*(1+$C$36)</f>
        <v>0.99808291390371251</v>
      </c>
      <c r="P43" s="142">
        <f>O43*(1+$C$36)</f>
        <v>0.99795924922198564</v>
      </c>
      <c r="Q43" s="142">
        <f>P43*(1+$C$36)</f>
        <v>0.99783559986258652</v>
      </c>
      <c r="R43" s="142">
        <f>Q43*(1+$C$37)</f>
        <v>0.99775313289403988</v>
      </c>
      <c r="S43" s="142">
        <f>R43*(1+$C$37)</f>
        <v>0.99767067274104571</v>
      </c>
      <c r="T43" s="142">
        <f>S43*(1+$C$37)</f>
        <v>0.99758821940304077</v>
      </c>
      <c r="U43" s="142">
        <f>T43*(1+$C$37)</f>
        <v>0.99750577287946185</v>
      </c>
      <c r="V43" s="142">
        <f>U43*(1+$C$37)</f>
        <v>0.99742333316974574</v>
      </c>
      <c r="W43" s="142">
        <f t="shared" ref="W43:AG43" si="4">V43</f>
        <v>0.99742333316974574</v>
      </c>
      <c r="X43" s="142">
        <f t="shared" si="4"/>
        <v>0.99742333316974574</v>
      </c>
      <c r="Y43" s="142">
        <f t="shared" si="4"/>
        <v>0.99742333316974574</v>
      </c>
      <c r="Z43" s="142">
        <f t="shared" si="4"/>
        <v>0.99742333316974574</v>
      </c>
      <c r="AA43" s="142">
        <f t="shared" si="4"/>
        <v>0.99742333316974574</v>
      </c>
      <c r="AB43" s="142">
        <f t="shared" si="4"/>
        <v>0.99742333316974574</v>
      </c>
      <c r="AC43" s="142">
        <f t="shared" si="4"/>
        <v>0.99742333316974574</v>
      </c>
      <c r="AD43" s="142">
        <f t="shared" si="4"/>
        <v>0.99742333316974574</v>
      </c>
      <c r="AE43" s="142">
        <f t="shared" si="4"/>
        <v>0.99742333316974574</v>
      </c>
      <c r="AF43" s="142">
        <f t="shared" si="4"/>
        <v>0.99742333316974574</v>
      </c>
      <c r="AG43" s="142">
        <f t="shared" si="4"/>
        <v>0.99742333316974574</v>
      </c>
    </row>
    <row r="44" spans="1:33" x14ac:dyDescent="0.35">
      <c r="A44" s="69" t="s">
        <v>60</v>
      </c>
      <c r="B44" s="69" t="s">
        <v>86</v>
      </c>
      <c r="C44" s="141">
        <v>1</v>
      </c>
      <c r="D44" s="142">
        <v>1</v>
      </c>
      <c r="E44" s="142">
        <v>1</v>
      </c>
      <c r="F44" s="142">
        <v>1</v>
      </c>
      <c r="G44" s="142">
        <v>1</v>
      </c>
      <c r="H44" s="142">
        <f>G44*(1+$C$39)</f>
        <v>0.99975988471698629</v>
      </c>
      <c r="I44" s="142">
        <f>H44*(1+$C$39)</f>
        <v>0.99951982708932174</v>
      </c>
      <c r="J44" s="142">
        <f>I44*(1+$C$39)</f>
        <v>0.99927982710316243</v>
      </c>
      <c r="K44" s="142">
        <f>J44*(1+$C$39)</f>
        <v>0.99903988474466765</v>
      </c>
      <c r="L44" s="142">
        <f>K44*(1+$C$39)</f>
        <v>0.99880000000000024</v>
      </c>
      <c r="M44" s="142">
        <f>L44*(1+$C$40)</f>
        <v>0.9987039815405323</v>
      </c>
      <c r="N44" s="142">
        <f>M44*(1+$C$40)</f>
        <v>0.99860797231168563</v>
      </c>
      <c r="O44" s="142">
        <f>N44*(1+$C$40)</f>
        <v>0.99851197231257294</v>
      </c>
      <c r="P44" s="142">
        <f>O44*(1+$C$40)</f>
        <v>0.99841598154230682</v>
      </c>
      <c r="Q44" s="142">
        <f>P44*(1+$C$40)</f>
        <v>0.99832000000000021</v>
      </c>
      <c r="R44" s="142">
        <f>Q44*(1+$C$41)</f>
        <v>0.99825599179263591</v>
      </c>
      <c r="S44" s="142">
        <f>R44*(1+$C$41)</f>
        <v>0.99819198768921691</v>
      </c>
      <c r="T44" s="142">
        <f>S44*(1+$C$41)</f>
        <v>0.99812798768947997</v>
      </c>
      <c r="U44" s="142">
        <f>T44*(1+$C$41)</f>
        <v>0.99806399179316208</v>
      </c>
      <c r="V44" s="142">
        <f>U44*(1+$C$41)</f>
        <v>0.99800000000000011</v>
      </c>
      <c r="W44" s="142">
        <f t="shared" ref="W44:AG44" si="5">V44</f>
        <v>0.99800000000000011</v>
      </c>
      <c r="X44" s="142">
        <f t="shared" si="5"/>
        <v>0.99800000000000011</v>
      </c>
      <c r="Y44" s="142">
        <f t="shared" si="5"/>
        <v>0.99800000000000011</v>
      </c>
      <c r="Z44" s="142">
        <f t="shared" si="5"/>
        <v>0.99800000000000011</v>
      </c>
      <c r="AA44" s="142">
        <f t="shared" si="5"/>
        <v>0.99800000000000011</v>
      </c>
      <c r="AB44" s="142">
        <f t="shared" si="5"/>
        <v>0.99800000000000011</v>
      </c>
      <c r="AC44" s="142">
        <f t="shared" si="5"/>
        <v>0.99800000000000011</v>
      </c>
      <c r="AD44" s="142">
        <f t="shared" si="5"/>
        <v>0.99800000000000011</v>
      </c>
      <c r="AE44" s="142">
        <f t="shared" si="5"/>
        <v>0.99800000000000011</v>
      </c>
      <c r="AF44" s="142">
        <f t="shared" si="5"/>
        <v>0.99800000000000011</v>
      </c>
      <c r="AG44" s="142">
        <f t="shared" si="5"/>
        <v>0.99800000000000011</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978273000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1579937000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2889372.2614810267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6599655.7031562431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4744513.9823186351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7875622.2793396255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16924281.872349698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12399952.075844662</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18999607.779000904</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80" t="s">
        <v>176</v>
      </c>
      <c r="C77" s="87">
        <v>158397122.81883532</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1182286359.0222695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1038235040.29743</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1340683481.8411047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1196632163.1162653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196</v>
      </c>
      <c r="C85" s="181">
        <v>65499.15</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82">
        <v>62208.1</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63853.625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20996.200009648703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18740.238523909415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1340683481.8411047</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1196632163.1162653</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1268657822.4786849</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1268657822.4786849</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42288594.082622834</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18999607.779000904</v>
      </c>
      <c r="E111" s="149">
        <f t="shared" si="7"/>
        <v>18999607.779000904</v>
      </c>
      <c r="F111" s="149">
        <f t="shared" si="7"/>
        <v>18999607.779000904</v>
      </c>
      <c r="G111" s="149">
        <f t="shared" si="7"/>
        <v>18999607.779000904</v>
      </c>
      <c r="H111" s="149">
        <f t="shared" si="7"/>
        <v>18999607.779000904</v>
      </c>
      <c r="I111" s="149">
        <f t="shared" si="7"/>
        <v>18999607.779000904</v>
      </c>
      <c r="J111" s="149">
        <f t="shared" si="7"/>
        <v>18999607.779000904</v>
      </c>
      <c r="K111" s="149">
        <f t="shared" si="7"/>
        <v>18999607.779000904</v>
      </c>
      <c r="L111" s="149">
        <f t="shared" si="7"/>
        <v>18999607.779000904</v>
      </c>
      <c r="M111" s="149">
        <f t="shared" si="7"/>
        <v>18999607.779000904</v>
      </c>
      <c r="N111" s="149">
        <f t="shared" si="7"/>
        <v>18999607.779000904</v>
      </c>
      <c r="O111" s="149">
        <f t="shared" si="7"/>
        <v>18999607.779000904</v>
      </c>
      <c r="P111" s="149">
        <f t="shared" si="7"/>
        <v>18999607.779000904</v>
      </c>
      <c r="Q111" s="149">
        <f t="shared" si="7"/>
        <v>18999607.779000904</v>
      </c>
      <c r="R111" s="149">
        <f t="shared" si="7"/>
        <v>18999607.779000904</v>
      </c>
      <c r="S111" s="149">
        <f t="shared" si="7"/>
        <v>18999607.779000904</v>
      </c>
      <c r="T111" s="149">
        <f t="shared" si="7"/>
        <v>18999607.779000904</v>
      </c>
      <c r="U111" s="149">
        <f t="shared" si="7"/>
        <v>18999607.779000904</v>
      </c>
      <c r="V111" s="149">
        <f t="shared" si="7"/>
        <v>18999607.779000904</v>
      </c>
      <c r="W111" s="149">
        <f t="shared" si="7"/>
        <v>18999607.779000904</v>
      </c>
      <c r="X111" s="149">
        <f t="shared" si="7"/>
        <v>18999607.779000904</v>
      </c>
      <c r="Y111" s="149">
        <f t="shared" si="7"/>
        <v>18999607.779000904</v>
      </c>
      <c r="Z111" s="149">
        <f t="shared" si="7"/>
        <v>18999607.779000904</v>
      </c>
      <c r="AA111" s="149">
        <f t="shared" si="7"/>
        <v>18999607.779000904</v>
      </c>
      <c r="AB111" s="149">
        <f t="shared" si="7"/>
        <v>18999607.779000904</v>
      </c>
      <c r="AC111" s="149">
        <f t="shared" si="7"/>
        <v>18999607.779000904</v>
      </c>
      <c r="AD111" s="149">
        <f t="shared" si="7"/>
        <v>18999607.779000904</v>
      </c>
      <c r="AE111" s="149">
        <f t="shared" si="7"/>
        <v>18999607.779000904</v>
      </c>
      <c r="AF111" s="149">
        <f t="shared" si="7"/>
        <v>18999607.779000904</v>
      </c>
      <c r="AG111" s="149">
        <f t="shared" si="7"/>
        <v>18999607.779000904</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1268657822.4786854</v>
      </c>
      <c r="D113" s="149">
        <f t="shared" ref="D113:AG113" si="8">$C$102</f>
        <v>42288594.082622834</v>
      </c>
      <c r="E113" s="149">
        <f t="shared" si="8"/>
        <v>42288594.082622834</v>
      </c>
      <c r="F113" s="149">
        <f t="shared" si="8"/>
        <v>42288594.082622834</v>
      </c>
      <c r="G113" s="149">
        <f t="shared" si="8"/>
        <v>42288594.082622834</v>
      </c>
      <c r="H113" s="149">
        <f t="shared" si="8"/>
        <v>42288594.082622834</v>
      </c>
      <c r="I113" s="149">
        <f t="shared" si="8"/>
        <v>42288594.082622834</v>
      </c>
      <c r="J113" s="149">
        <f t="shared" si="8"/>
        <v>42288594.082622834</v>
      </c>
      <c r="K113" s="149">
        <f t="shared" si="8"/>
        <v>42288594.082622834</v>
      </c>
      <c r="L113" s="149">
        <f t="shared" si="8"/>
        <v>42288594.082622834</v>
      </c>
      <c r="M113" s="149">
        <f t="shared" si="8"/>
        <v>42288594.082622834</v>
      </c>
      <c r="N113" s="149">
        <f t="shared" si="8"/>
        <v>42288594.082622834</v>
      </c>
      <c r="O113" s="149">
        <f t="shared" si="8"/>
        <v>42288594.082622834</v>
      </c>
      <c r="P113" s="149">
        <f t="shared" si="8"/>
        <v>42288594.082622834</v>
      </c>
      <c r="Q113" s="149">
        <f t="shared" si="8"/>
        <v>42288594.082622834</v>
      </c>
      <c r="R113" s="149">
        <f t="shared" si="8"/>
        <v>42288594.082622834</v>
      </c>
      <c r="S113" s="149">
        <f t="shared" si="8"/>
        <v>42288594.082622834</v>
      </c>
      <c r="T113" s="149">
        <f t="shared" si="8"/>
        <v>42288594.082622834</v>
      </c>
      <c r="U113" s="149">
        <f t="shared" si="8"/>
        <v>42288594.082622834</v>
      </c>
      <c r="V113" s="149">
        <f t="shared" si="8"/>
        <v>42288594.082622834</v>
      </c>
      <c r="W113" s="149">
        <f t="shared" si="8"/>
        <v>42288594.082622834</v>
      </c>
      <c r="X113" s="149">
        <f t="shared" si="8"/>
        <v>42288594.082622834</v>
      </c>
      <c r="Y113" s="149">
        <f t="shared" si="8"/>
        <v>42288594.082622834</v>
      </c>
      <c r="Z113" s="149">
        <f t="shared" si="8"/>
        <v>42288594.082622834</v>
      </c>
      <c r="AA113" s="149">
        <f t="shared" si="8"/>
        <v>42288594.082622834</v>
      </c>
      <c r="AB113" s="149">
        <f t="shared" si="8"/>
        <v>42288594.082622834</v>
      </c>
      <c r="AC113" s="149">
        <f t="shared" si="8"/>
        <v>42288594.082622834</v>
      </c>
      <c r="AD113" s="149">
        <f t="shared" si="8"/>
        <v>42288594.082622834</v>
      </c>
      <c r="AE113" s="149">
        <f t="shared" si="8"/>
        <v>42288594.082622834</v>
      </c>
      <c r="AF113" s="149">
        <f t="shared" si="8"/>
        <v>42288594.082622834</v>
      </c>
      <c r="AG113" s="149">
        <f t="shared" si="8"/>
        <v>42288594.082622834</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-10154.137736402452</v>
      </c>
      <c r="I115" s="149">
        <f t="shared" si="9"/>
        <v>-20305.837309144437</v>
      </c>
      <c r="J115" s="149">
        <f t="shared" si="9"/>
        <v>-30455.099303670228</v>
      </c>
      <c r="K115" s="149">
        <f t="shared" si="9"/>
        <v>-40601.924305282533</v>
      </c>
      <c r="L115" s="149">
        <f t="shared" si="9"/>
        <v>-50746.312899135053</v>
      </c>
      <c r="M115" s="149">
        <f t="shared" si="9"/>
        <v>-54806.798556014895</v>
      </c>
      <c r="N115" s="149">
        <f t="shared" si="9"/>
        <v>-58866.893862895668</v>
      </c>
      <c r="O115" s="149">
        <f t="shared" si="9"/>
        <v>-62926.598857305944</v>
      </c>
      <c r="P115" s="149">
        <f t="shared" si="9"/>
        <v>-66985.913576766849</v>
      </c>
      <c r="Q115" s="149">
        <f t="shared" si="9"/>
        <v>-71044.838058799505</v>
      </c>
      <c r="R115" s="149">
        <f t="shared" si="9"/>
        <v>-73751.655157983303</v>
      </c>
      <c r="S115" s="149">
        <f t="shared" si="9"/>
        <v>-76458.298707090318</v>
      </c>
      <c r="T115" s="149">
        <f t="shared" si="9"/>
        <v>-79164.768717251718</v>
      </c>
      <c r="U115" s="149">
        <f t="shared" si="9"/>
        <v>-81871.06519959867</v>
      </c>
      <c r="V115" s="149">
        <f t="shared" si="9"/>
        <v>-84577.18816523999</v>
      </c>
      <c r="W115" s="149">
        <f t="shared" si="9"/>
        <v>-84577.18816523999</v>
      </c>
      <c r="X115" s="149">
        <f t="shared" si="9"/>
        <v>-84577.18816523999</v>
      </c>
      <c r="Y115" s="149">
        <f t="shared" si="9"/>
        <v>-84577.18816523999</v>
      </c>
      <c r="Z115" s="149">
        <f t="shared" si="9"/>
        <v>-84577.18816523999</v>
      </c>
      <c r="AA115" s="149">
        <f t="shared" si="9"/>
        <v>-84577.18816523999</v>
      </c>
      <c r="AB115" s="149">
        <f t="shared" si="9"/>
        <v>-84577.18816523999</v>
      </c>
      <c r="AC115" s="149">
        <f t="shared" si="9"/>
        <v>-84577.18816523999</v>
      </c>
      <c r="AD115" s="149">
        <f t="shared" si="9"/>
        <v>-84577.18816523999</v>
      </c>
      <c r="AE115" s="149">
        <f t="shared" si="9"/>
        <v>-84577.18816523999</v>
      </c>
      <c r="AF115" s="149">
        <f t="shared" si="9"/>
        <v>-84577.18816523999</v>
      </c>
      <c r="AG115" s="149">
        <f t="shared" si="9"/>
        <v>-84577.18816523999</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42288594.082622834</v>
      </c>
      <c r="E118" s="149">
        <f t="shared" ref="E118:AG118" si="11">E113+E115+E116</f>
        <v>42288594.082622834</v>
      </c>
      <c r="F118" s="149">
        <f>F113+F115+F116</f>
        <v>42288594.082622834</v>
      </c>
      <c r="G118" s="149">
        <f t="shared" si="11"/>
        <v>42288594.082622834</v>
      </c>
      <c r="H118" s="149">
        <f t="shared" si="11"/>
        <v>42278439.944886431</v>
      </c>
      <c r="I118" s="149">
        <f t="shared" si="11"/>
        <v>42268288.245313689</v>
      </c>
      <c r="J118" s="149">
        <f t="shared" si="11"/>
        <v>42258138.983319163</v>
      </c>
      <c r="K118" s="149">
        <f t="shared" si="11"/>
        <v>42247992.158317551</v>
      </c>
      <c r="L118" s="149">
        <f t="shared" si="11"/>
        <v>42237847.769723698</v>
      </c>
      <c r="M118" s="149">
        <f t="shared" si="11"/>
        <v>42233787.284066819</v>
      </c>
      <c r="N118" s="149">
        <f t="shared" si="11"/>
        <v>42229727.188759938</v>
      </c>
      <c r="O118" s="149">
        <f t="shared" si="11"/>
        <v>42225667.483765528</v>
      </c>
      <c r="P118" s="149">
        <f t="shared" si="11"/>
        <v>42221608.169046067</v>
      </c>
      <c r="Q118" s="149">
        <f t="shared" si="11"/>
        <v>42217549.244564034</v>
      </c>
      <c r="R118" s="149">
        <f t="shared" si="11"/>
        <v>42214842.42746485</v>
      </c>
      <c r="S118" s="149">
        <f t="shared" si="11"/>
        <v>42212135.783915743</v>
      </c>
      <c r="T118" s="149">
        <f t="shared" si="11"/>
        <v>42209429.313905582</v>
      </c>
      <c r="U118" s="149">
        <f t="shared" si="11"/>
        <v>42206723.017423235</v>
      </c>
      <c r="V118" s="149">
        <f t="shared" si="11"/>
        <v>42204016.894457594</v>
      </c>
      <c r="W118" s="149">
        <f t="shared" si="11"/>
        <v>42204016.894457594</v>
      </c>
      <c r="X118" s="149">
        <f t="shared" si="11"/>
        <v>42204016.894457594</v>
      </c>
      <c r="Y118" s="149">
        <f t="shared" si="11"/>
        <v>42204016.894457594</v>
      </c>
      <c r="Z118" s="149">
        <f t="shared" si="11"/>
        <v>42204016.894457594</v>
      </c>
      <c r="AA118" s="149">
        <f t="shared" si="11"/>
        <v>42204016.894457594</v>
      </c>
      <c r="AB118" s="149">
        <f t="shared" si="11"/>
        <v>42204016.894457594</v>
      </c>
      <c r="AC118" s="149">
        <f t="shared" si="11"/>
        <v>42204016.894457594</v>
      </c>
      <c r="AD118" s="149">
        <f t="shared" si="11"/>
        <v>42204016.894457594</v>
      </c>
      <c r="AE118" s="149">
        <f t="shared" si="11"/>
        <v>42204016.894457594</v>
      </c>
      <c r="AF118" s="149">
        <f t="shared" si="11"/>
        <v>42204016.894457594</v>
      </c>
      <c r="AG118" s="149">
        <f t="shared" si="11"/>
        <v>42204016.894457594</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1014926.2579829479</v>
      </c>
      <c r="E120" s="149">
        <f>(SUM($D$118:E118)*$C$104/$C$106)+(SUM($D$118:E118)*$C$105/$C$107)</f>
        <v>2029852.5159658957</v>
      </c>
      <c r="F120" s="149">
        <f>(SUM($D$118:F118)*$C$104/$C$106)+(SUM($D$118:F118)*$C$105/$C$107)</f>
        <v>3044778.7739488441</v>
      </c>
      <c r="G120" s="149">
        <f>(SUM($D$118:G118)*$C$104/$C$106)+(SUM($D$118:G118)*$C$105/$C$107)</f>
        <v>4059705.0319317915</v>
      </c>
      <c r="H120" s="149">
        <f>(SUM($D$118:H118)*$C$104/$C$106)+(SUM($D$118:H118)*$C$105/$C$107)</f>
        <v>5074387.5906090662</v>
      </c>
      <c r="I120" s="149">
        <f>(SUM($D$118:I118)*$C$104/$C$106)+(SUM($D$118:I118)*$C$105/$C$107)</f>
        <v>6088826.5084965946</v>
      </c>
      <c r="J120" s="149">
        <f>(SUM($D$118:J118)*$C$104/$C$106)+(SUM($D$118:J118)*$C$105/$C$107)</f>
        <v>7103021.8440962546</v>
      </c>
      <c r="K120" s="149">
        <f>(SUM($D$118:K118)*$C$104/$C$106)+(SUM($D$118:K118)*$C$105/$C$107)</f>
        <v>8116973.6558958767</v>
      </c>
      <c r="L120" s="149">
        <f>(SUM($D$118:L118)*$C$104/$C$106)+(SUM($D$118:L118)*$C$105/$C$107)</f>
        <v>9130682.0023692455</v>
      </c>
      <c r="M120" s="149">
        <f>(SUM($D$118:M118)*$C$104/$C$106)+(SUM($D$118:M118)*$C$105/$C$107)</f>
        <v>10144292.897186847</v>
      </c>
      <c r="N120" s="149">
        <f>(SUM($D$118:N118)*$C$104/$C$106)+(SUM($D$118:N118)*$C$105/$C$107)</f>
        <v>11157806.349717086</v>
      </c>
      <c r="O120" s="149">
        <f>(SUM($D$118:O118)*$C$104/$C$106)+(SUM($D$118:O118)*$C$105/$C$107)</f>
        <v>12171222.369327459</v>
      </c>
      <c r="P120" s="149">
        <f>(SUM($D$118:P118)*$C$104/$C$106)+(SUM($D$118:P118)*$C$105/$C$107)</f>
        <v>13184540.965384565</v>
      </c>
      <c r="Q120" s="149">
        <f>(SUM($D$118:Q118)*$C$104/$C$106)+(SUM($D$118:Q118)*$C$105/$C$107)</f>
        <v>14197762.147254102</v>
      </c>
      <c r="R120" s="149">
        <f>(SUM($D$118:R118)*$C$104/$C$106)+(SUM($D$118:R118)*$C$105/$C$107)</f>
        <v>15210918.365513261</v>
      </c>
      <c r="S120" s="149">
        <f>(SUM($D$118:S118)*$C$104/$C$106)+(SUM($D$118:S118)*$C$105/$C$107)</f>
        <v>16224009.624327239</v>
      </c>
      <c r="T120" s="149">
        <f>(SUM($D$118:T118)*$C$104/$C$106)+(SUM($D$118:T118)*$C$105/$C$107)</f>
        <v>17237035.927860972</v>
      </c>
      <c r="U120" s="149">
        <f>(SUM($D$118:U118)*$C$104/$C$106)+(SUM($D$118:U118)*$C$105/$C$107)</f>
        <v>18249997.28027913</v>
      </c>
      <c r="V120" s="149">
        <f>(SUM($D$118:V118)*$C$104/$C$106)+(SUM($D$118:V118)*$C$105/$C$107)</f>
        <v>19262893.685746111</v>
      </c>
      <c r="W120" s="149">
        <f>(SUM($D$118:W118)*$C$104/$C$106)+(SUM($D$118:W118)*$C$105/$C$107)</f>
        <v>20275790.091213092</v>
      </c>
      <c r="X120" s="149">
        <f>(SUM($D$118:X118)*$C$104/$C$106)+(SUM($D$118:X118)*$C$105/$C$107)</f>
        <v>21288686.496680077</v>
      </c>
      <c r="Y120" s="149">
        <f>(SUM($D$118:Y118)*$C$104/$C$106)+(SUM($D$118:Y118)*$C$105/$C$107)</f>
        <v>22301582.902147062</v>
      </c>
      <c r="Z120" s="149">
        <f>(SUM($D$118:Z118)*$C$104/$C$106)+(SUM($D$118:Z118)*$C$105/$C$107)</f>
        <v>23314479.30761404</v>
      </c>
      <c r="AA120" s="149">
        <f>(SUM($D$118:AA118)*$C$104/$C$106)+(SUM($D$118:AA118)*$C$105/$C$107)</f>
        <v>24327375.713081021</v>
      </c>
      <c r="AB120" s="149">
        <f>(SUM($D$118:AB118)*$C$104/$C$106)+(SUM($D$118:AB118)*$C$105/$C$107)</f>
        <v>25340272.118548006</v>
      </c>
      <c r="AC120" s="149">
        <f>(SUM($D$118:AC118)*$C$104/$C$106)+(SUM($D$118:AC118)*$C$105/$C$107)</f>
        <v>26353168.524014983</v>
      </c>
      <c r="AD120" s="149">
        <f>(SUM($D$118:AD118)*$C$104/$C$106)+(SUM($D$118:AD118)*$C$105/$C$107)</f>
        <v>27366064.929481968</v>
      </c>
      <c r="AE120" s="149">
        <f>(SUM($D$118:AE118)*$C$104/$C$106)+(SUM($D$118:AE118)*$C$105/$C$107)</f>
        <v>28378961.33494895</v>
      </c>
      <c r="AF120" s="149">
        <f>(SUM($D$118:AF118)*$C$104/$C$106)+(SUM($D$118:AF118)*$C$105/$C$107)</f>
        <v>29391857.740415931</v>
      </c>
      <c r="AG120" s="149">
        <f>(SUM($D$118:AG118)*$C$104/$C$106)+(SUM($D$118:AG118)*$C$105/$C$107)</f>
        <v>30404754.145882912</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1268657.8224786851</v>
      </c>
      <c r="E122" s="72">
        <f>(SUM($D$118:E118)*$C$109)</f>
        <v>2537315.6449573701</v>
      </c>
      <c r="F122" s="72">
        <f>(SUM($D$118:F118)*$C$109)</f>
        <v>3805973.4674360552</v>
      </c>
      <c r="G122" s="72">
        <f>(SUM($D$118:G118)*$C$109)</f>
        <v>5074631.2899147402</v>
      </c>
      <c r="H122" s="72">
        <f>(SUM($D$118:H118)*$C$109)</f>
        <v>6342984.4882613327</v>
      </c>
      <c r="I122" s="72">
        <f>(SUM($D$118:I118)*$C$109)</f>
        <v>7611033.135620743</v>
      </c>
      <c r="J122" s="72">
        <f>(SUM($D$118:J118)*$C$109)</f>
        <v>8878777.3051203191</v>
      </c>
      <c r="K122" s="72">
        <f>(SUM($D$118:K118)*$C$109)</f>
        <v>10146217.069869844</v>
      </c>
      <c r="L122" s="72">
        <f>(SUM($D$118:L118)*$C$109)</f>
        <v>11413352.502961557</v>
      </c>
      <c r="M122" s="72">
        <f>(SUM($D$118:M118)*$C$109)</f>
        <v>12680366.121483561</v>
      </c>
      <c r="N122" s="72">
        <f>(SUM($D$118:N118)*$C$109)</f>
        <v>13947257.937146358</v>
      </c>
      <c r="O122" s="72">
        <f>(SUM($D$118:O118)*$C$109)</f>
        <v>15214027.961659323</v>
      </c>
      <c r="P122" s="72">
        <f>(SUM($D$118:P118)*$C$109)</f>
        <v>16480676.206730707</v>
      </c>
      <c r="Q122" s="72">
        <f>(SUM($D$118:Q118)*$C$109)</f>
        <v>17747202.684067629</v>
      </c>
      <c r="R122" s="72">
        <f>(SUM($D$118:R118)*$C$109)</f>
        <v>19013647.956891574</v>
      </c>
      <c r="S122" s="72">
        <f>(SUM($D$118:S118)*$C$109)</f>
        <v>20280012.030409046</v>
      </c>
      <c r="T122" s="72">
        <f>(SUM($D$118:T118)*$C$109)</f>
        <v>21546294.909826215</v>
      </c>
      <c r="U122" s="72">
        <f>(SUM($D$118:U118)*$C$109)</f>
        <v>22812496.600348912</v>
      </c>
      <c r="V122" s="72">
        <f>(SUM($D$118:V118)*$C$109)</f>
        <v>24078617.107182641</v>
      </c>
      <c r="W122" s="72">
        <f>(SUM($D$118:W118)*$C$109)</f>
        <v>25344737.614016369</v>
      </c>
      <c r="X122" s="72">
        <f>(SUM($D$118:X118)*$C$109)</f>
        <v>26610858.120850094</v>
      </c>
      <c r="Y122" s="72">
        <f>(SUM($D$118:Y118)*$C$109)</f>
        <v>27876978.627683822</v>
      </c>
      <c r="Z122" s="72">
        <f>(SUM($D$118:Z118)*$C$109)</f>
        <v>29143099.13451755</v>
      </c>
      <c r="AA122" s="72">
        <f>(SUM($D$118:AA118)*$C$109)</f>
        <v>30409219.641351275</v>
      </c>
      <c r="AB122" s="72">
        <f>(SUM($D$118:AB118)*$C$109)</f>
        <v>31675340.148185004</v>
      </c>
      <c r="AC122" s="72">
        <f>(SUM($D$118:AC118)*$C$109)</f>
        <v>32941460.655018732</v>
      </c>
      <c r="AD122" s="72">
        <f>(SUM($D$118:AD118)*$C$109)</f>
        <v>34207581.161852457</v>
      </c>
      <c r="AE122" s="72">
        <f>(SUM($D$118:AE118)*$C$109)</f>
        <v>35473701.668686189</v>
      </c>
      <c r="AF122" s="72">
        <f>(SUM($D$118:AF118)*$C$109)</f>
        <v>36739822.175519913</v>
      </c>
      <c r="AG122" s="72">
        <f>(SUM($D$118:AG118)*$C$109)</f>
        <v>38005942.682353638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196</v>
      </c>
      <c r="C126" s="126">
        <v>65499.15</v>
      </c>
      <c r="D126" s="140"/>
    </row>
    <row r="127" spans="1:33" x14ac:dyDescent="0.35">
      <c r="A127" s="77" t="s">
        <v>151</v>
      </c>
      <c r="B127" s="77" t="s">
        <v>133</v>
      </c>
      <c r="C127" s="126">
        <v>62208.1</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63853.625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23649.490740740741</v>
      </c>
      <c r="D135" s="157">
        <f t="shared" ref="D135:AG135" si="12">$C$135*D13</f>
        <v>23922.33141497344</v>
      </c>
      <c r="E135" s="157">
        <f t="shared" si="12"/>
        <v>24198.319811680671</v>
      </c>
      <c r="F135" s="157">
        <f t="shared" si="12"/>
        <v>24477.49224567071</v>
      </c>
      <c r="G135" s="157">
        <f t="shared" si="12"/>
        <v>24759.885450710412</v>
      </c>
      <c r="H135" s="157">
        <f t="shared" si="12"/>
        <v>25045.536584358655</v>
      </c>
      <c r="I135" s="157">
        <f t="shared" si="12"/>
        <v>25334.483232855586</v>
      </c>
      <c r="J135" s="157">
        <f t="shared" si="12"/>
        <v>25626.763416068228</v>
      </c>
      <c r="K135" s="157">
        <f t="shared" si="12"/>
        <v>25922.415592493191</v>
      </c>
      <c r="L135" s="157">
        <f t="shared" si="12"/>
        <v>26221.478664317059</v>
      </c>
      <c r="M135" s="157">
        <f t="shared" si="12"/>
        <v>26523.991982535201</v>
      </c>
      <c r="N135" s="157">
        <f t="shared" si="12"/>
        <v>26829.995352129579</v>
      </c>
      <c r="O135" s="157">
        <f t="shared" si="12"/>
        <v>27139.529037306344</v>
      </c>
      <c r="P135" s="157">
        <f t="shared" si="12"/>
        <v>27452.633766793831</v>
      </c>
      <c r="Q135" s="157">
        <f t="shared" si="12"/>
        <v>27769.350739201713</v>
      </c>
      <c r="R135" s="157">
        <f t="shared" si="12"/>
        <v>28089.721628441879</v>
      </c>
      <c r="S135" s="157">
        <f t="shared" si="12"/>
        <v>28413.788589211999</v>
      </c>
      <c r="T135" s="157">
        <f t="shared" si="12"/>
        <v>28741.594262542247</v>
      </c>
      <c r="U135" s="157">
        <f t="shared" si="12"/>
        <v>29073.181781406052</v>
      </c>
      <c r="V135" s="157">
        <f t="shared" si="12"/>
        <v>29408.594776395574</v>
      </c>
      <c r="W135" s="157">
        <f t="shared" si="12"/>
        <v>29747.87738146264</v>
      </c>
      <c r="X135" s="157">
        <f t="shared" si="12"/>
        <v>30091.074239725971</v>
      </c>
      <c r="Y135" s="157">
        <f t="shared" si="12"/>
        <v>30438.230509345329</v>
      </c>
      <c r="Z135" s="157">
        <f t="shared" si="12"/>
        <v>30789.391869463485</v>
      </c>
      <c r="AA135" s="157">
        <f t="shared" si="12"/>
        <v>31144.604526216706</v>
      </c>
      <c r="AB135" s="157">
        <f t="shared" si="12"/>
        <v>31503.915218814629</v>
      </c>
      <c r="AC135" s="157">
        <f t="shared" si="12"/>
        <v>31867.37122569024</v>
      </c>
      <c r="AD135" s="157">
        <f t="shared" si="12"/>
        <v>32235.020370720784</v>
      </c>
      <c r="AE135" s="157">
        <f t="shared" si="12"/>
        <v>32606.911029520525</v>
      </c>
      <c r="AF135" s="157">
        <f t="shared" si="12"/>
        <v>32983.092135805993</v>
      </c>
      <c r="AG135" s="157">
        <f t="shared" si="12"/>
        <v>33363.613187834824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0.35</v>
      </c>
      <c r="F4" s="65">
        <v>0.35</v>
      </c>
      <c r="G4" s="65">
        <v>0.2</v>
      </c>
      <c r="H4" s="65">
        <v>0.15</v>
      </c>
      <c r="I4" s="65">
        <v>0.1</v>
      </c>
      <c r="J4" s="65">
        <v>0.1</v>
      </c>
      <c r="K4" s="65">
        <v>0.08</v>
      </c>
      <c r="L4" s="65">
        <v>0.06</v>
      </c>
      <c r="M4" s="65">
        <v>0.05</v>
      </c>
      <c r="N4" s="65">
        <v>0.05</v>
      </c>
      <c r="O4" s="65">
        <v>0.05</v>
      </c>
      <c r="P4" s="65">
        <v>0.04</v>
      </c>
      <c r="Q4" s="65">
        <v>0.04</v>
      </c>
      <c r="R4" s="65">
        <v>0.04</v>
      </c>
      <c r="S4" s="65">
        <v>0.04</v>
      </c>
      <c r="T4" s="65">
        <v>0.04</v>
      </c>
      <c r="U4" s="65">
        <v>0.04</v>
      </c>
      <c r="V4" s="65">
        <v>0.04</v>
      </c>
      <c r="W4" s="65">
        <v>0.03</v>
      </c>
      <c r="X4" s="65">
        <v>0.03</v>
      </c>
      <c r="Y4" s="65">
        <v>0.03</v>
      </c>
      <c r="Z4" s="65">
        <v>0.03</v>
      </c>
      <c r="AA4" s="65">
        <v>2.5000000000000001E-2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2.5046663804903653</v>
      </c>
      <c r="C6" s="25"/>
      <c r="D6" s="25"/>
      <c r="E6" s="27">
        <f>'Debt worksheet'!C5/'Profit and Loss'!C5</f>
        <v>2.166892620175128</v>
      </c>
      <c r="F6" s="28">
        <f ca="1">'Debt worksheet'!D5/'Profit and Loss'!D5</f>
        <v>2.3612850018782385</v>
      </c>
      <c r="G6" s="28">
        <f ca="1">'Debt worksheet'!E5/'Profit and Loss'!E5</f>
        <v>2.4513872885912331</v>
      </c>
      <c r="H6" s="28">
        <f ca="1">'Debt worksheet'!F5/'Profit and Loss'!F5</f>
        <v>2.467023135911572</v>
      </c>
      <c r="I6" s="28">
        <f ca="1">'Debt worksheet'!G5/'Profit and Loss'!G5</f>
        <v>2.4830443870970083</v>
      </c>
      <c r="J6" s="28">
        <f ca="1">'Debt worksheet'!H5/'Profit and Loss'!H5</f>
        <v>2.4423092564806783</v>
      </c>
      <c r="K6" s="28">
        <f ca="1">'Debt worksheet'!I5/'Profit and Loss'!I5</f>
        <v>2.3941867256555853</v>
      </c>
      <c r="L6" s="28">
        <f ca="1">'Debt worksheet'!J5/'Profit and Loss'!J5</f>
        <v>2.3575223271005261</v>
      </c>
      <c r="M6" s="28">
        <f ca="1">'Debt worksheet'!K5/'Profit and Loss'!K5</f>
        <v>2.3275935551285225</v>
      </c>
      <c r="N6" s="28">
        <f ca="1">'Debt worksheet'!L5/'Profit and Loss'!L5</f>
        <v>2.290759310199459</v>
      </c>
      <c r="O6" s="28">
        <f ca="1">'Debt worksheet'!M5/'Profit and Loss'!M5</f>
        <v>2.2467122531003323</v>
      </c>
      <c r="P6" s="28">
        <f ca="1">'Debt worksheet'!N5/'Profit and Loss'!N5</f>
        <v>2.216191031011788</v>
      </c>
      <c r="Q6" s="28">
        <f ca="1">'Debt worksheet'!O5/'Profit and Loss'!O5</f>
        <v>2.1863005526483374</v>
      </c>
      <c r="R6" s="28">
        <f ca="1">'Debt worksheet'!P5/'Profit and Loss'!P5</f>
        <v>2.1564762782920721</v>
      </c>
      <c r="S6" s="28">
        <f ca="1">'Debt worksheet'!Q5/'Profit and Loss'!Q5</f>
        <v>2.1261896146840034</v>
      </c>
      <c r="T6" s="28">
        <f ca="1">'Debt worksheet'!R5/'Profit and Loss'!R5</f>
        <v>2.0949717937383583</v>
      </c>
      <c r="U6" s="28">
        <f ca="1">'Debt worksheet'!S5/'Profit and Loss'!S5</f>
        <v>2.0623612829508211</v>
      </c>
      <c r="V6" s="28">
        <f ca="1">'Debt worksheet'!T5/'Profit and Loss'!T5</f>
        <v>2.0279278186581382</v>
      </c>
      <c r="W6" s="28">
        <f ca="1">'Debt worksheet'!U5/'Profit and Loss'!U5</f>
        <v>2.0106037208328691</v>
      </c>
      <c r="X6" s="28">
        <f ca="1">'Debt worksheet'!V5/'Profit and Loss'!V5</f>
        <v>1.999762598311337</v>
      </c>
      <c r="Y6" s="28">
        <f ca="1">'Debt worksheet'!W5/'Profit and Loss'!W5</f>
        <v>1.9950564201311365</v>
      </c>
      <c r="Z6" s="28">
        <f ca="1">'Debt worksheet'!X5/'Profit and Loss'!X5</f>
        <v>1.9960995904275058</v>
      </c>
      <c r="AA6" s="28">
        <f ca="1">'Debt worksheet'!Y5/'Profit and Loss'!Y5</f>
        <v>2.0122867243813221</v>
      </c>
      <c r="AB6" s="28">
        <f ca="1">'Debt worksheet'!Z5/'Profit and Loss'!Z5</f>
        <v>2.0445060098208758</v>
      </c>
      <c r="AC6" s="28">
        <f ca="1">'Debt worksheet'!AA5/'Profit and Loss'!AA5</f>
        <v>2.0896851270665953</v>
      </c>
      <c r="AD6" s="28">
        <f ca="1">'Debt worksheet'!AB5/'Profit and Loss'!AB5</f>
        <v>2.1476697711048476</v>
      </c>
      <c r="AE6" s="28">
        <f ca="1">'Debt worksheet'!AC5/'Profit and Loss'!AC5</f>
        <v>2.2183081989898468</v>
      </c>
      <c r="AF6" s="28">
        <f ca="1">'Debt worksheet'!AD5/'Profit and Loss'!AD5</f>
        <v>2.3014511912410716</v>
      </c>
      <c r="AG6" s="28">
        <f ca="1">'Debt worksheet'!AE5/'Profit and Loss'!AE5</f>
        <v>2.3969520137931122</v>
      </c>
      <c r="AH6" s="28">
        <f ca="1">'Debt worksheet'!AF5/'Profit and Loss'!AF5</f>
        <v>2.5046663804903653</v>
      </c>
      <c r="AI6" s="31"/>
    </row>
    <row r="7" spans="1:35" ht="21" x14ac:dyDescent="0.5">
      <c r="A7" s="19" t="s">
        <v>38</v>
      </c>
      <c r="B7" s="26">
        <f ca="1">MIN('Price and Financial ratios'!E7:AH7)</f>
        <v>0.18705080789803247</v>
      </c>
      <c r="C7" s="26"/>
      <c r="D7" s="26"/>
      <c r="E7" s="56">
        <f ca="1">'Cash Flow'!C7/'Debt worksheet'!C5</f>
        <v>0.18705080789803247</v>
      </c>
      <c r="F7" s="32">
        <f ca="1">'Cash Flow'!D7/'Debt worksheet'!D5</f>
        <v>0.21567592828146584</v>
      </c>
      <c r="G7" s="32">
        <f ca="1">'Cash Flow'!E7/'Debt worksheet'!E5</f>
        <v>0.22524308947906499</v>
      </c>
      <c r="H7" s="32">
        <f ca="1">'Cash Flow'!F7/'Debt worksheet'!F5</f>
        <v>0.23461552474257841</v>
      </c>
      <c r="I7" s="32">
        <f ca="1">'Cash Flow'!G7/'Debt worksheet'!G5</f>
        <v>0.23728585659433787</v>
      </c>
      <c r="J7" s="32">
        <f ca="1">'Cash Flow'!H7/'Debt worksheet'!H5</f>
        <v>0.24659802841653811</v>
      </c>
      <c r="K7" s="32">
        <f ca="1">'Cash Flow'!I7/'Debt worksheet'!I5</f>
        <v>0.25474045331925144</v>
      </c>
      <c r="L7" s="32">
        <f ca="1">'Cash Flow'!J7/'Debt worksheet'!J5</f>
        <v>0.25937353842817296</v>
      </c>
      <c r="M7" s="17">
        <f ca="1">'Cash Flow'!K7/'Debt worksheet'!K5</f>
        <v>0.26219888458926832</v>
      </c>
      <c r="N7" s="17">
        <f ca="1">'Cash Flow'!L7/'Debt worksheet'!L5</f>
        <v>0.2662546678492535</v>
      </c>
      <c r="O7" s="17">
        <f ca="1">'Cash Flow'!M7/'Debt worksheet'!M5</f>
        <v>0.27168844054421493</v>
      </c>
      <c r="P7" s="17">
        <f ca="1">'Cash Flow'!N7/'Debt worksheet'!N5</f>
        <v>0.27417470504483732</v>
      </c>
      <c r="Q7" s="17">
        <f ca="1">'Cash Flow'!O7/'Debt worksheet'!O5</f>
        <v>0.27685634869289882</v>
      </c>
      <c r="R7" s="17">
        <f ca="1">'Cash Flow'!P7/'Debt worksheet'!P5</f>
        <v>0.27981103986810368</v>
      </c>
      <c r="S7" s="17">
        <f ca="1">'Cash Flow'!Q7/'Debt worksheet'!Q5</f>
        <v>0.28311202100600796</v>
      </c>
      <c r="T7" s="17">
        <f ca="1">'Cash Flow'!R7/'Debt worksheet'!R5</f>
        <v>0.28684520125209745</v>
      </c>
      <c r="U7" s="17">
        <f ca="1">'Cash Flow'!S7/'Debt worksheet'!S5</f>
        <v>0.29109853715461187</v>
      </c>
      <c r="V7" s="17">
        <f ca="1">'Cash Flow'!T7/'Debt worksheet'!T5</f>
        <v>0.29596663029532549</v>
      </c>
      <c r="W7" s="17">
        <f ca="1">'Cash Flow'!U7/'Debt worksheet'!U5</f>
        <v>0.29654924732406057</v>
      </c>
      <c r="X7" s="17">
        <f ca="1">'Cash Flow'!V7/'Debt worksheet'!V5</f>
        <v>0.29618570705403002</v>
      </c>
      <c r="Y7" s="17">
        <f ca="1">'Cash Flow'!W7/'Debt worksheet'!W5</f>
        <v>0.29493195969648178</v>
      </c>
      <c r="Z7" s="17">
        <f ca="1">'Cash Flow'!X7/'Debt worksheet'!X5</f>
        <v>0.29285258671439413</v>
      </c>
      <c r="AA7" s="17">
        <f ca="1">'Cash Flow'!Y7/'Debt worksheet'!Y5</f>
        <v>0.28751150018228827</v>
      </c>
      <c r="AB7" s="17">
        <f ca="1">'Cash Flow'!Z7/'Debt worksheet'!Z5</f>
        <v>0.27929733799166212</v>
      </c>
      <c r="AC7" s="17">
        <f ca="1">'Cash Flow'!AA7/'Debt worksheet'!AA5</f>
        <v>0.2695095306660078</v>
      </c>
      <c r="AD7" s="17">
        <f ca="1">'Cash Flow'!AB7/'Debt worksheet'!AB5</f>
        <v>0.25844435343274463</v>
      </c>
      <c r="AE7" s="17">
        <f ca="1">'Cash Flow'!AC7/'Debt worksheet'!AC5</f>
        <v>0.24641160196186582</v>
      </c>
      <c r="AF7" s="17">
        <f ca="1">'Cash Flow'!AD7/'Debt worksheet'!AD5</f>
        <v>0.23371508237636096</v>
      </c>
      <c r="AG7" s="17">
        <f ca="1">'Cash Flow'!AE7/'Debt worksheet'!AE5</f>
        <v>0.22063710600118588</v>
      </c>
      <c r="AH7" s="17">
        <f ca="1">'Cash Flow'!AF7/'Debt worksheet'!AF5</f>
        <v>0.20742779778970011</v>
      </c>
      <c r="AI7" s="29"/>
    </row>
    <row r="8" spans="1:35" ht="21" x14ac:dyDescent="0.5">
      <c r="A8" s="19" t="s">
        <v>33</v>
      </c>
      <c r="B8" s="26">
        <f ca="1">MAX('Price and Financial ratios'!E8:AH8)</f>
        <v>0.32507652189664654</v>
      </c>
      <c r="C8" s="26"/>
      <c r="D8" s="176"/>
      <c r="E8" s="17">
        <f>'Balance Sheet'!B11/'Balance Sheet'!B8</f>
        <v>0.15388008493415234</v>
      </c>
      <c r="F8" s="17">
        <f ca="1">'Balance Sheet'!C11/'Balance Sheet'!C8</f>
        <v>0.2306942719490806</v>
      </c>
      <c r="G8" s="17">
        <f ca="1">'Balance Sheet'!D11/'Balance Sheet'!D8</f>
        <v>0.27160931299714203</v>
      </c>
      <c r="H8" s="17">
        <f ca="1">'Balance Sheet'!E11/'Balance Sheet'!E8</f>
        <v>0.2977914271004003</v>
      </c>
      <c r="I8" s="17">
        <f ca="1">'Balance Sheet'!F11/'Balance Sheet'!F8</f>
        <v>0.31301829686204968</v>
      </c>
      <c r="J8" s="17">
        <f ca="1">'Balance Sheet'!G11/'Balance Sheet'!G8</f>
        <v>0.32217897358941688</v>
      </c>
      <c r="K8" s="17">
        <f ca="1">'Balance Sheet'!H11/'Balance Sheet'!H8</f>
        <v>0.32507652189664654</v>
      </c>
      <c r="L8" s="17">
        <f ca="1">'Balance Sheet'!I11/'Balance Sheet'!I8</f>
        <v>0.32390545075134408</v>
      </c>
      <c r="M8" s="17">
        <f ca="1">'Balance Sheet'!J11/'Balance Sheet'!J8</f>
        <v>0.32103359993558361</v>
      </c>
      <c r="N8" s="17">
        <f ca="1">'Balance Sheet'!K11/'Balance Sheet'!K8</f>
        <v>0.31762451580247086</v>
      </c>
      <c r="O8" s="17">
        <f ca="1">'Balance Sheet'!L11/'Balance Sheet'!L8</f>
        <v>0.31356923076313969</v>
      </c>
      <c r="P8" s="17">
        <f ca="1">'Balance Sheet'!M11/'Balance Sheet'!M8</f>
        <v>0.30875034300679194</v>
      </c>
      <c r="Q8" s="17">
        <f ca="1">'Balance Sheet'!N11/'Balance Sheet'!N8</f>
        <v>0.3043728994314438</v>
      </c>
      <c r="R8" s="17">
        <f ca="1">'Balance Sheet'!O11/'Balance Sheet'!O8</f>
        <v>0.30032031602838327</v>
      </c>
      <c r="S8" s="17">
        <f ca="1">'Balance Sheet'!P11/'Balance Sheet'!P8</f>
        <v>0.29648563297970038</v>
      </c>
      <c r="T8" s="17">
        <f ca="1">'Balance Sheet'!Q11/'Balance Sheet'!Q8</f>
        <v>0.2927729620098326</v>
      </c>
      <c r="U8" s="17">
        <f ca="1">'Balance Sheet'!R11/'Balance Sheet'!R8</f>
        <v>0.28909004744391892</v>
      </c>
      <c r="V8" s="17">
        <f ca="1">'Balance Sheet'!S11/'Balance Sheet'!S8</f>
        <v>0.28535017547674124</v>
      </c>
      <c r="W8" s="17">
        <f ca="1">'Balance Sheet'!T11/'Balance Sheet'!T8</f>
        <v>0.28147124369639909</v>
      </c>
      <c r="X8" s="17">
        <f ca="1">'Balance Sheet'!U11/'Balance Sheet'!U8</f>
        <v>0.27872088223077424</v>
      </c>
      <c r="Y8" s="17">
        <f ca="1">'Balance Sheet'!V11/'Balance Sheet'!V8</f>
        <v>0.27702085213831745</v>
      </c>
      <c r="Z8" s="17">
        <f ca="1">'Balance Sheet'!W11/'Balance Sheet'!W8</f>
        <v>0.27629449446350385</v>
      </c>
      <c r="AA8" s="17">
        <f ca="1">'Balance Sheet'!X11/'Balance Sheet'!X8</f>
        <v>0.27647182622661054</v>
      </c>
      <c r="AB8" s="17">
        <f ca="1">'Balance Sheet'!Y11/'Balance Sheet'!Y8</f>
        <v>0.27815394570787372</v>
      </c>
      <c r="AC8" s="17">
        <f ca="1">'Balance Sheet'!Z11/'Balance Sheet'!Z8</f>
        <v>0.28166862844658613</v>
      </c>
      <c r="AD8" s="17">
        <f ca="1">'Balance Sheet'!AA11/'Balance Sheet'!AA8</f>
        <v>0.28694522764719149</v>
      </c>
      <c r="AE8" s="17">
        <f ca="1">'Balance Sheet'!AB11/'Balance Sheet'!AB8</f>
        <v>0.29392008869198477</v>
      </c>
      <c r="AF8" s="17">
        <f ca="1">'Balance Sheet'!AC11/'Balance Sheet'!AC8</f>
        <v>0.30253577028468531</v>
      </c>
      <c r="AG8" s="17">
        <f ca="1">'Balance Sheet'!AD11/'Balance Sheet'!AD8</f>
        <v>0.31274036682838569</v>
      </c>
      <c r="AH8" s="17">
        <f ca="1">'Balance Sheet'!AE11/'Balance Sheet'!AE8</f>
        <v>0.32448691702060467</v>
      </c>
      <c r="AI8" s="29"/>
    </row>
    <row r="9" spans="1:35" ht="21.5" thickBot="1" x14ac:dyDescent="0.55000000000000004">
      <c r="A9" s="20" t="s">
        <v>32</v>
      </c>
      <c r="B9" s="21">
        <f ca="1">MIN('Price and Financial ratios'!E9:AH9)</f>
        <v>4.5914104986113982</v>
      </c>
      <c r="C9" s="21"/>
      <c r="D9" s="177"/>
      <c r="E9" s="21">
        <f ca="1">('Cash Flow'!C7+'Profit and Loss'!C8)/('Profit and Loss'!C8)</f>
        <v>4.5914104986113982</v>
      </c>
      <c r="F9" s="21">
        <f ca="1">('Cash Flow'!D7+'Profit and Loss'!D8)/('Profit and Loss'!D8)</f>
        <v>5.8899808112957937</v>
      </c>
      <c r="G9" s="21">
        <f ca="1">('Cash Flow'!E7+'Profit and Loss'!E8)/('Profit and Loss'!E8)</f>
        <v>6.497213303418369</v>
      </c>
      <c r="H9" s="21">
        <f ca="1">('Cash Flow'!F7+'Profit and Loss'!F8)/('Profit and Loss'!F8)</f>
        <v>6.985535992872161</v>
      </c>
      <c r="I9" s="21">
        <f ca="1">('Cash Flow'!G7+'Profit and Loss'!G8)/('Profit and Loss'!G8)</f>
        <v>7.1945996201033315</v>
      </c>
      <c r="J9" s="21">
        <f ca="1">('Cash Flow'!H7+'Profit and Loss'!H8)/('Profit and Loss'!H8)</f>
        <v>7.5789824460336765</v>
      </c>
      <c r="K9" s="21">
        <f ca="1">('Cash Flow'!I7+'Profit and Loss'!I8)/('Profit and Loss'!I8)</f>
        <v>7.8935749588114525</v>
      </c>
      <c r="L9" s="21">
        <f ca="1">('Cash Flow'!J7+'Profit and Loss'!J8)/('Profit and Loss'!J8)</f>
        <v>8.0670031087781151</v>
      </c>
      <c r="M9" s="21">
        <f ca="1">('Cash Flow'!K7+'Profit and Loss'!K8)/('Profit and Loss'!K8)</f>
        <v>8.1667040837434701</v>
      </c>
      <c r="N9" s="21">
        <f ca="1">('Cash Flow'!L7+'Profit and Loss'!L8)/('Profit and Loss'!L8)</f>
        <v>8.3028130660245676</v>
      </c>
      <c r="O9" s="21">
        <f ca="1">('Cash Flow'!M7+'Profit and Loss'!M8)/('Profit and Loss'!M8)</f>
        <v>8.4804604100643566</v>
      </c>
      <c r="P9" s="21">
        <f ca="1">('Cash Flow'!N7+'Profit and Loss'!N8)/('Profit and Loss'!N8)</f>
        <v>8.5481690858296631</v>
      </c>
      <c r="Q9" s="21">
        <f ca="1">('Cash Flow'!O7+'Profit and Loss'!O8)/('Profit and Loss'!O8)</f>
        <v>8.6231869975704463</v>
      </c>
      <c r="R9" s="21">
        <f ca="1">('Cash Flow'!P7+'Profit and Loss'!P8)/('Profit and Loss'!P8)</f>
        <v>8.7076936524782838</v>
      </c>
      <c r="S9" s="21">
        <f ca="1">('Cash Flow'!Q7+'Profit and Loss'!Q8)/('Profit and Loss'!Q8)</f>
        <v>8.8036723998707078</v>
      </c>
      <c r="T9" s="21">
        <f ca="1">('Cash Flow'!R7+'Profit and Loss'!R8)/('Profit and Loss'!R8)</f>
        <v>8.9136698638821894</v>
      </c>
      <c r="U9" s="21">
        <f ca="1">('Cash Flow'!S7+'Profit and Loss'!S8)/('Profit and Loss'!S8)</f>
        <v>9.0402431750781744</v>
      </c>
      <c r="V9" s="21">
        <f ca="1">('Cash Flow'!T7+'Profit and Loss'!T8)/('Profit and Loss'!T8)</f>
        <v>9.1861892447622129</v>
      </c>
      <c r="W9" s="21">
        <f ca="1">('Cash Flow'!U7+'Profit and Loss'!U8)/('Profit and Loss'!U8)</f>
        <v>9.1763201452151399</v>
      </c>
      <c r="X9" s="21">
        <f ca="1">('Cash Flow'!V7+'Profit and Loss'!V8)/('Profit and Loss'!V8)</f>
        <v>9.1414240917169298</v>
      </c>
      <c r="Y9" s="21">
        <f ca="1">('Cash Flow'!W7+'Profit and Loss'!W8)/('Profit and Loss'!W8)</f>
        <v>9.0836561985119815</v>
      </c>
      <c r="Z9" s="21">
        <f ca="1">('Cash Flow'!X7+'Profit and Loss'!X8)/('Profit and Loss'!X8)</f>
        <v>9.005118933684777</v>
      </c>
      <c r="AA9" s="21">
        <f ca="1">('Cash Flow'!Y7+'Profit and Loss'!Y8)/('Profit and Loss'!Y8)</f>
        <v>8.8208875514052263</v>
      </c>
      <c r="AB9" s="21">
        <f ca="1">('Cash Flow'!Z7+'Profit and Loss'!Z8)/('Profit and Loss'!Z8)</f>
        <v>8.5522035474662292</v>
      </c>
      <c r="AC9" s="21">
        <f ca="1">('Cash Flow'!AA7+'Profit and Loss'!AA8)/('Profit and Loss'!AA8)</f>
        <v>8.2474766606423273</v>
      </c>
      <c r="AD9" s="21">
        <f ca="1">('Cash Flow'!AB7+'Profit and Loss'!AB8)/('Profit and Loss'!AB8)</f>
        <v>7.9153158109911645</v>
      </c>
      <c r="AE9" s="21">
        <f ca="1">('Cash Flow'!AC7+'Profit and Loss'!AC8)/('Profit and Loss'!AC8)</f>
        <v>7.5641820624028258</v>
      </c>
      <c r="AF9" s="21">
        <f ca="1">('Cash Flow'!AD7+'Profit and Loss'!AD8)/('Profit and Loss'!AD8)</f>
        <v>7.2019536935042314</v>
      </c>
      <c r="AG9" s="21">
        <f ca="1">('Cash Flow'!AE7+'Profit and Loss'!AE8)/('Profit and Loss'!AE8)</f>
        <v>6.8356247305587265</v>
      </c>
      <c r="AH9" s="21">
        <f ca="1">('Cash Flow'!AF7+'Profit and Loss'!AF8)/('Profit and Loss'!AF8)</f>
        <v>6.4711357462960182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18999607.779000904</v>
      </c>
      <c r="D5" s="1">
        <f>Assumptions!E111</f>
        <v>18999607.779000904</v>
      </c>
      <c r="E5" s="1">
        <f>Assumptions!F111</f>
        <v>18999607.779000904</v>
      </c>
      <c r="F5" s="1">
        <f>Assumptions!G111</f>
        <v>18999607.779000904</v>
      </c>
      <c r="G5" s="1">
        <f>Assumptions!H111</f>
        <v>18999607.779000904</v>
      </c>
      <c r="H5" s="1">
        <f>Assumptions!I111</f>
        <v>18999607.779000904</v>
      </c>
      <c r="I5" s="1">
        <f>Assumptions!J111</f>
        <v>18999607.779000904</v>
      </c>
      <c r="J5" s="1">
        <f>Assumptions!K111</f>
        <v>18999607.779000904</v>
      </c>
      <c r="K5" s="1">
        <f>Assumptions!L111</f>
        <v>18999607.779000904</v>
      </c>
      <c r="L5" s="1">
        <f>Assumptions!M111</f>
        <v>18999607.779000904</v>
      </c>
      <c r="M5" s="1">
        <f>Assumptions!N111</f>
        <v>18999607.779000904</v>
      </c>
      <c r="N5" s="1">
        <f>Assumptions!O111</f>
        <v>18999607.779000904</v>
      </c>
      <c r="O5" s="1">
        <f>Assumptions!P111</f>
        <v>18999607.779000904</v>
      </c>
      <c r="P5" s="1">
        <f>Assumptions!Q111</f>
        <v>18999607.779000904</v>
      </c>
      <c r="Q5" s="1">
        <f>Assumptions!R111</f>
        <v>18999607.779000904</v>
      </c>
      <c r="R5" s="1">
        <f>Assumptions!S111</f>
        <v>18999607.779000904</v>
      </c>
      <c r="S5" s="1">
        <f>Assumptions!T111</f>
        <v>18999607.779000904</v>
      </c>
      <c r="T5" s="1">
        <f>Assumptions!U111</f>
        <v>18999607.779000904</v>
      </c>
      <c r="U5" s="1">
        <f>Assumptions!V111</f>
        <v>18999607.779000904</v>
      </c>
      <c r="V5" s="1">
        <f>Assumptions!W111</f>
        <v>18999607.779000904</v>
      </c>
      <c r="W5" s="1">
        <f>Assumptions!X111</f>
        <v>18999607.779000904</v>
      </c>
      <c r="X5" s="1">
        <f>Assumptions!Y111</f>
        <v>18999607.779000904</v>
      </c>
      <c r="Y5" s="1">
        <f>Assumptions!Z111</f>
        <v>18999607.779000904</v>
      </c>
      <c r="Z5" s="1">
        <f>Assumptions!AA111</f>
        <v>18999607.779000904</v>
      </c>
      <c r="AA5" s="1">
        <f>Assumptions!AB111</f>
        <v>18999607.779000904</v>
      </c>
      <c r="AB5" s="1">
        <f>Assumptions!AC111</f>
        <v>18999607.779000904</v>
      </c>
      <c r="AC5" s="1">
        <f>Assumptions!AD111</f>
        <v>18999607.779000904</v>
      </c>
      <c r="AD5" s="1">
        <f>Assumptions!AE111</f>
        <v>18999607.779000904</v>
      </c>
      <c r="AE5" s="1">
        <f>Assumptions!AF111</f>
        <v>18999607.779000904</v>
      </c>
      <c r="AF5" s="1">
        <f>Assumptions!AG111</f>
        <v>18999607.779000904</v>
      </c>
    </row>
    <row r="6" spans="1:32" x14ac:dyDescent="0.35">
      <c r="A6" t="s">
        <v>68</v>
      </c>
      <c r="C6" s="1">
        <f>Assumptions!D113</f>
        <v>42288594.082622834</v>
      </c>
      <c r="D6" s="1">
        <f>Assumptions!E113</f>
        <v>42288594.082622834</v>
      </c>
      <c r="E6" s="1">
        <f>Assumptions!F113</f>
        <v>42288594.082622834</v>
      </c>
      <c r="F6" s="1">
        <f>Assumptions!G113</f>
        <v>42288594.082622834</v>
      </c>
      <c r="G6" s="1">
        <f>Assumptions!H113</f>
        <v>42288594.082622834</v>
      </c>
      <c r="H6" s="1">
        <f>Assumptions!I113</f>
        <v>42288594.082622834</v>
      </c>
      <c r="I6" s="1">
        <f>Assumptions!J113</f>
        <v>42288594.082622834</v>
      </c>
      <c r="J6" s="1">
        <f>Assumptions!K113</f>
        <v>42288594.082622834</v>
      </c>
      <c r="K6" s="1">
        <f>Assumptions!L113</f>
        <v>42288594.082622834</v>
      </c>
      <c r="L6" s="1">
        <f>Assumptions!M113</f>
        <v>42288594.082622834</v>
      </c>
      <c r="M6" s="1">
        <f>Assumptions!N113</f>
        <v>42288594.082622834</v>
      </c>
      <c r="N6" s="1">
        <f>Assumptions!O113</f>
        <v>42288594.082622834</v>
      </c>
      <c r="O6" s="1">
        <f>Assumptions!P113</f>
        <v>42288594.082622834</v>
      </c>
      <c r="P6" s="1">
        <f>Assumptions!Q113</f>
        <v>42288594.082622834</v>
      </c>
      <c r="Q6" s="1">
        <f>Assumptions!R113</f>
        <v>42288594.082622834</v>
      </c>
      <c r="R6" s="1">
        <f>Assumptions!S113</f>
        <v>42288594.082622834</v>
      </c>
      <c r="S6" s="1">
        <f>Assumptions!T113</f>
        <v>42288594.082622834</v>
      </c>
      <c r="T6" s="1">
        <f>Assumptions!U113</f>
        <v>42288594.082622834</v>
      </c>
      <c r="U6" s="1">
        <f>Assumptions!V113</f>
        <v>42288594.082622834</v>
      </c>
      <c r="V6" s="1">
        <f>Assumptions!W113</f>
        <v>42288594.082622834</v>
      </c>
      <c r="W6" s="1">
        <f>Assumptions!X113</f>
        <v>42288594.082622834</v>
      </c>
      <c r="X6" s="1">
        <f>Assumptions!Y113</f>
        <v>42288594.082622834</v>
      </c>
      <c r="Y6" s="1">
        <f>Assumptions!Z113</f>
        <v>42288594.082622834</v>
      </c>
      <c r="Z6" s="1">
        <f>Assumptions!AA113</f>
        <v>42288594.082622834</v>
      </c>
      <c r="AA6" s="1">
        <f>Assumptions!AB113</f>
        <v>42288594.082622834</v>
      </c>
      <c r="AB6" s="1">
        <f>Assumptions!AC113</f>
        <v>42288594.082622834</v>
      </c>
      <c r="AC6" s="1">
        <f>Assumptions!AD113</f>
        <v>42288594.082622834</v>
      </c>
      <c r="AD6" s="1">
        <f>Assumptions!AE113</f>
        <v>42288594.082622834</v>
      </c>
      <c r="AE6" s="1">
        <f>Assumptions!AF113</f>
        <v>42288594.082622834</v>
      </c>
      <c r="AF6" s="1">
        <f>Assumptions!AG113</f>
        <v>42288594.082622834</v>
      </c>
    </row>
    <row r="7" spans="1:32" x14ac:dyDescent="0.35">
      <c r="A7" t="s">
        <v>73</v>
      </c>
      <c r="C7" s="1">
        <f>Assumptions!D120</f>
        <v>1014926.2579829479</v>
      </c>
      <c r="D7" s="1">
        <f>Assumptions!E120</f>
        <v>2029852.5159658957</v>
      </c>
      <c r="E7" s="1">
        <f>Assumptions!F120</f>
        <v>3044778.7739488441</v>
      </c>
      <c r="F7" s="1">
        <f>Assumptions!G120</f>
        <v>4059705.0319317915</v>
      </c>
      <c r="G7" s="1">
        <f>Assumptions!H120</f>
        <v>5074387.5906090662</v>
      </c>
      <c r="H7" s="1">
        <f>Assumptions!I120</f>
        <v>6088826.5084965946</v>
      </c>
      <c r="I7" s="1">
        <f>Assumptions!J120</f>
        <v>7103021.8440962546</v>
      </c>
      <c r="J7" s="1">
        <f>Assumptions!K120</f>
        <v>8116973.6558958767</v>
      </c>
      <c r="K7" s="1">
        <f>Assumptions!L120</f>
        <v>9130682.0023692455</v>
      </c>
      <c r="L7" s="1">
        <f>Assumptions!M120</f>
        <v>10144292.897186847</v>
      </c>
      <c r="M7" s="1">
        <f>Assumptions!N120</f>
        <v>11157806.349717086</v>
      </c>
      <c r="N7" s="1">
        <f>Assumptions!O120</f>
        <v>12171222.369327459</v>
      </c>
      <c r="O7" s="1">
        <f>Assumptions!P120</f>
        <v>13184540.965384565</v>
      </c>
      <c r="P7" s="1">
        <f>Assumptions!Q120</f>
        <v>14197762.147254102</v>
      </c>
      <c r="Q7" s="1">
        <f>Assumptions!R120</f>
        <v>15210918.365513261</v>
      </c>
      <c r="R7" s="1">
        <f>Assumptions!S120</f>
        <v>16224009.624327239</v>
      </c>
      <c r="S7" s="1">
        <f>Assumptions!T120</f>
        <v>17237035.927860972</v>
      </c>
      <c r="T7" s="1">
        <f>Assumptions!U120</f>
        <v>18249997.28027913</v>
      </c>
      <c r="U7" s="1">
        <f>Assumptions!V120</f>
        <v>19262893.685746111</v>
      </c>
      <c r="V7" s="1">
        <f>Assumptions!W120</f>
        <v>20275790.091213092</v>
      </c>
      <c r="W7" s="1">
        <f>Assumptions!X120</f>
        <v>21288686.496680077</v>
      </c>
      <c r="X7" s="1">
        <f>Assumptions!Y120</f>
        <v>22301582.902147062</v>
      </c>
      <c r="Y7" s="1">
        <f>Assumptions!Z120</f>
        <v>23314479.30761404</v>
      </c>
      <c r="Z7" s="1">
        <f>Assumptions!AA120</f>
        <v>24327375.713081021</v>
      </c>
      <c r="AA7" s="1">
        <f>Assumptions!AB120</f>
        <v>25340272.118548006</v>
      </c>
      <c r="AB7" s="1">
        <f>Assumptions!AC120</f>
        <v>26353168.524014983</v>
      </c>
      <c r="AC7" s="1">
        <f>Assumptions!AD120</f>
        <v>27366064.929481968</v>
      </c>
      <c r="AD7" s="1">
        <f>Assumptions!AE120</f>
        <v>28378961.33494895</v>
      </c>
      <c r="AE7" s="1">
        <f>Assumptions!AF120</f>
        <v>29391857.740415931</v>
      </c>
      <c r="AF7" s="1">
        <f>Assumptions!AG120</f>
        <v>30404754.145882912</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19607595.227928933</v>
      </c>
      <c r="D11" s="1">
        <f>D5*D$9</f>
        <v>20235038.275222659</v>
      </c>
      <c r="E11" s="1">
        <f t="shared" ref="D11:AF13" si="1">E5*E$9</f>
        <v>20882559.500029784</v>
      </c>
      <c r="F11" s="1">
        <f t="shared" si="1"/>
        <v>21550801.404030737</v>
      </c>
      <c r="G11" s="1">
        <f t="shared" si="1"/>
        <v>22240427.048959721</v>
      </c>
      <c r="H11" s="1">
        <f t="shared" si="1"/>
        <v>22952120.71452643</v>
      </c>
      <c r="I11" s="1">
        <f t="shared" si="1"/>
        <v>23686588.577391271</v>
      </c>
      <c r="J11" s="1">
        <f t="shared" si="1"/>
        <v>24444559.411867797</v>
      </c>
      <c r="K11" s="1">
        <f t="shared" si="1"/>
        <v>25226785.313047569</v>
      </c>
      <c r="L11" s="1">
        <f t="shared" si="1"/>
        <v>26034042.443065088</v>
      </c>
      <c r="M11" s="1">
        <f t="shared" si="1"/>
        <v>26867131.801243171</v>
      </c>
      <c r="N11" s="1">
        <f t="shared" si="1"/>
        <v>27726880.018882953</v>
      </c>
      <c r="O11" s="1">
        <f t="shared" si="1"/>
        <v>28614140.17948721</v>
      </c>
      <c r="P11" s="1">
        <f t="shared" si="1"/>
        <v>29529792.665230796</v>
      </c>
      <c r="Q11" s="1">
        <f t="shared" si="1"/>
        <v>30474746.030518174</v>
      </c>
      <c r="R11" s="1">
        <f t="shared" si="1"/>
        <v>31449937.903494764</v>
      </c>
      <c r="S11" s="1">
        <f t="shared" si="1"/>
        <v>32456335.916406598</v>
      </c>
      <c r="T11" s="1">
        <f t="shared" si="1"/>
        <v>33494938.665731605</v>
      </c>
      <c r="U11" s="1">
        <f t="shared" si="1"/>
        <v>34566776.703035012</v>
      </c>
      <c r="V11" s="1">
        <f t="shared" si="1"/>
        <v>35672913.557532139</v>
      </c>
      <c r="W11" s="1">
        <f t="shared" si="1"/>
        <v>36814446.791373171</v>
      </c>
      <c r="X11" s="1">
        <f t="shared" si="1"/>
        <v>37992509.088697106</v>
      </c>
      <c r="Y11" s="1">
        <f t="shared" si="1"/>
        <v>39208269.379535407</v>
      </c>
      <c r="Z11" s="1">
        <f t="shared" si="1"/>
        <v>40462933.999680541</v>
      </c>
      <c r="AA11" s="1">
        <f t="shared" si="1"/>
        <v>41757747.887670331</v>
      </c>
      <c r="AB11" s="1">
        <f t="shared" si="1"/>
        <v>43093995.820075773</v>
      </c>
      <c r="AC11" s="1">
        <f t="shared" si="1"/>
        <v>44473003.686318196</v>
      </c>
      <c r="AD11" s="1">
        <f t="shared" si="1"/>
        <v>45896139.804280385</v>
      </c>
      <c r="AE11" s="1">
        <f t="shared" si="1"/>
        <v>47364816.278017357</v>
      </c>
      <c r="AF11" s="1">
        <f t="shared" si="1"/>
        <v>48880490.398913905</v>
      </c>
    </row>
    <row r="12" spans="1:32" x14ac:dyDescent="0.35">
      <c r="A12" t="s">
        <v>71</v>
      </c>
      <c r="C12" s="1">
        <f t="shared" ref="C12:R12" si="2">C6*C$9</f>
        <v>43641829.093266763</v>
      </c>
      <c r="D12" s="1">
        <f t="shared" si="2"/>
        <v>45038367.624251299</v>
      </c>
      <c r="E12" s="1">
        <f t="shared" si="2"/>
        <v>46479595.388227336</v>
      </c>
      <c r="F12" s="1">
        <f t="shared" si="2"/>
        <v>47966942.440650612</v>
      </c>
      <c r="G12" s="1">
        <f t="shared" si="2"/>
        <v>49501884.598751441</v>
      </c>
      <c r="H12" s="1">
        <f t="shared" si="2"/>
        <v>51085944.905911475</v>
      </c>
      <c r="I12" s="1">
        <f t="shared" si="2"/>
        <v>52720695.142900638</v>
      </c>
      <c r="J12" s="1">
        <f t="shared" si="2"/>
        <v>54407757.387473464</v>
      </c>
      <c r="K12" s="1">
        <f t="shared" si="2"/>
        <v>56148805.623872623</v>
      </c>
      <c r="L12" s="1">
        <f t="shared" si="2"/>
        <v>57945567.403836541</v>
      </c>
      <c r="M12" s="1">
        <f t="shared" si="2"/>
        <v>59799825.560759306</v>
      </c>
      <c r="N12" s="1">
        <f t="shared" si="2"/>
        <v>61713419.978703611</v>
      </c>
      <c r="O12" s="1">
        <f t="shared" si="2"/>
        <v>63688249.418022126</v>
      </c>
      <c r="P12" s="1">
        <f t="shared" si="2"/>
        <v>65726273.399398826</v>
      </c>
      <c r="Q12" s="1">
        <f t="shared" si="2"/>
        <v>67829514.148179576</v>
      </c>
      <c r="R12" s="1">
        <f t="shared" si="2"/>
        <v>70000058.600921333</v>
      </c>
      <c r="S12" s="1">
        <f t="shared" si="1"/>
        <v>72240060.476150826</v>
      </c>
      <c r="T12" s="1">
        <f t="shared" si="1"/>
        <v>74551742.411387637</v>
      </c>
      <c r="U12" s="1">
        <f t="shared" si="1"/>
        <v>76937398.168552041</v>
      </c>
      <c r="V12" s="1">
        <f t="shared" si="1"/>
        <v>79399394.909945711</v>
      </c>
      <c r="W12" s="1">
        <f t="shared" si="1"/>
        <v>81940175.547063991</v>
      </c>
      <c r="X12" s="1">
        <f t="shared" si="1"/>
        <v>84562261.164570019</v>
      </c>
      <c r="Y12" s="1">
        <f t="shared" si="1"/>
        <v>87268253.521836251</v>
      </c>
      <c r="Z12" s="1">
        <f t="shared" si="1"/>
        <v>90060837.634535015</v>
      </c>
      <c r="AA12" s="1">
        <f t="shared" si="1"/>
        <v>92942784.438840166</v>
      </c>
      <c r="AB12" s="1">
        <f t="shared" si="1"/>
        <v>95916953.54088302</v>
      </c>
      <c r="AC12" s="1">
        <f t="shared" si="1"/>
        <v>98986296.054191276</v>
      </c>
      <c r="AD12" s="1">
        <f t="shared" si="1"/>
        <v>102153857.52792542</v>
      </c>
      <c r="AE12" s="1">
        <f t="shared" si="1"/>
        <v>105422780.96881902</v>
      </c>
      <c r="AF12" s="1">
        <f t="shared" si="1"/>
        <v>108796309.95982121</v>
      </c>
    </row>
    <row r="13" spans="1:32" x14ac:dyDescent="0.35">
      <c r="A13" t="s">
        <v>74</v>
      </c>
      <c r="C13" s="1">
        <f>C7*C$9</f>
        <v>1047403.8982384022</v>
      </c>
      <c r="D13" s="1">
        <f t="shared" si="1"/>
        <v>2161841.6459640618</v>
      </c>
      <c r="E13" s="1">
        <f t="shared" si="1"/>
        <v>3346530.8679523682</v>
      </c>
      <c r="F13" s="1">
        <f t="shared" si="1"/>
        <v>4604826.4743024586</v>
      </c>
      <c r="G13" s="1">
        <f t="shared" si="1"/>
        <v>5939940.884033449</v>
      </c>
      <c r="H13" s="1">
        <f t="shared" si="1"/>
        <v>7355492.9479797482</v>
      </c>
      <c r="I13" s="1">
        <f t="shared" si="1"/>
        <v>8855254.1733668502</v>
      </c>
      <c r="J13" s="1">
        <f t="shared" si="1"/>
        <v>10443154.778984929</v>
      </c>
      <c r="K13" s="1">
        <f t="shared" si="1"/>
        <v>12123289.981283423</v>
      </c>
      <c r="L13" s="1">
        <f t="shared" si="1"/>
        <v>13900126.513776572</v>
      </c>
      <c r="M13" s="1">
        <f t="shared" si="1"/>
        <v>15778128.54336516</v>
      </c>
      <c r="N13" s="1">
        <f t="shared" si="1"/>
        <v>17761946.785578992</v>
      </c>
      <c r="O13" s="1">
        <f t="shared" si="1"/>
        <v>19856425.868047263</v>
      </c>
      <c r="P13" s="1">
        <f t="shared" si="1"/>
        <v>22066611.97406688</v>
      </c>
      <c r="Q13" s="1">
        <f t="shared" si="1"/>
        <v>24397812.811288308</v>
      </c>
      <c r="R13" s="1">
        <f t="shared" si="1"/>
        <v>26855506.764446706</v>
      </c>
      <c r="S13" s="1">
        <f t="shared" si="1"/>
        <v>29445398.809556045</v>
      </c>
      <c r="T13" s="1">
        <f t="shared" si="1"/>
        <v>32173429.402491719</v>
      </c>
      <c r="U13" s="1">
        <f t="shared" si="1"/>
        <v>35045783.704304606</v>
      </c>
      <c r="V13" s="1">
        <f t="shared" si="1"/>
        <v>38069023.089725375</v>
      </c>
      <c r="W13" s="1">
        <f t="shared" si="1"/>
        <v>41249862.913299873</v>
      </c>
      <c r="X13" s="1">
        <f t="shared" si="1"/>
        <v>44595293.80593925</v>
      </c>
      <c r="Y13" s="1">
        <f t="shared" si="1"/>
        <v>48112592.416084312</v>
      </c>
      <c r="Z13" s="1">
        <f t="shared" si="1"/>
        <v>51809332.556421392</v>
      </c>
      <c r="AA13" s="1">
        <f t="shared" si="1"/>
        <v>55693396.771105997</v>
      </c>
      <c r="AB13" s="1">
        <f t="shared" si="1"/>
        <v>59772988.338992603</v>
      </c>
      <c r="AC13" s="1">
        <f t="shared" si="1"/>
        <v>64056643.728930354</v>
      </c>
      <c r="AD13" s="1">
        <f t="shared" si="1"/>
        <v>68553245.523764998</v>
      </c>
      <c r="AE13" s="1">
        <f t="shared" si="1"/>
        <v>73272035.83029063</v>
      </c>
      <c r="AF13" s="1">
        <f t="shared" si="1"/>
        <v>78222630.193017557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0.99975988471698629</v>
      </c>
      <c r="H15" s="38">
        <f>Assumptions!I44</f>
        <v>0.99951982708932174</v>
      </c>
      <c r="I15" s="38">
        <f>Assumptions!J44</f>
        <v>0.99927982710316243</v>
      </c>
      <c r="J15" s="38">
        <f>Assumptions!K44</f>
        <v>0.99903988474466765</v>
      </c>
      <c r="K15" s="38">
        <f>Assumptions!L44</f>
        <v>0.99880000000000024</v>
      </c>
      <c r="L15" s="38">
        <f>Assumptions!M44</f>
        <v>0.9987039815405323</v>
      </c>
      <c r="M15" s="38">
        <f>Assumptions!N44</f>
        <v>0.99860797231168563</v>
      </c>
      <c r="N15" s="38">
        <f>Assumptions!O44</f>
        <v>0.99851197231257294</v>
      </c>
      <c r="O15" s="38">
        <f>Assumptions!P44</f>
        <v>0.99841598154230682</v>
      </c>
      <c r="P15" s="38">
        <f>Assumptions!Q44</f>
        <v>0.99832000000000021</v>
      </c>
      <c r="Q15" s="38">
        <f>Assumptions!R44</f>
        <v>0.99825599179263591</v>
      </c>
      <c r="R15" s="38">
        <f>Assumptions!S44</f>
        <v>0.99819198768921691</v>
      </c>
      <c r="S15" s="38">
        <f>Assumptions!T44</f>
        <v>0.99812798768947997</v>
      </c>
      <c r="T15" s="38">
        <f>Assumptions!U44</f>
        <v>0.99806399179316208</v>
      </c>
      <c r="U15" s="38">
        <f>Assumptions!V44</f>
        <v>0.99800000000000011</v>
      </c>
      <c r="V15" s="38">
        <f>Assumptions!W44</f>
        <v>0.99800000000000011</v>
      </c>
      <c r="W15" s="38">
        <f>Assumptions!X44</f>
        <v>0.99800000000000011</v>
      </c>
      <c r="X15" s="38">
        <f>Assumptions!Y44</f>
        <v>0.99800000000000011</v>
      </c>
      <c r="Y15" s="38">
        <f>Assumptions!Z44</f>
        <v>0.99800000000000011</v>
      </c>
      <c r="Z15" s="38">
        <f>Assumptions!AA44</f>
        <v>0.99800000000000011</v>
      </c>
      <c r="AA15" s="38">
        <f>Assumptions!AB44</f>
        <v>0.99800000000000011</v>
      </c>
      <c r="AB15" s="38">
        <f>Assumptions!AC44</f>
        <v>0.99800000000000011</v>
      </c>
      <c r="AC15" s="38">
        <f>Assumptions!AD44</f>
        <v>0.99800000000000011</v>
      </c>
      <c r="AD15" s="38">
        <f>Assumptions!AE44</f>
        <v>0.99800000000000011</v>
      </c>
      <c r="AE15" s="38">
        <f>Assumptions!AF44</f>
        <v>0.99800000000000011</v>
      </c>
      <c r="AF15" s="38">
        <f>Assumptions!AG44</f>
        <v>0.99800000000000011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-11886.159030139446</v>
      </c>
      <c r="H20" s="1">
        <f t="shared" si="4"/>
        <v>-24530.086860217154</v>
      </c>
      <c r="I20" s="1">
        <f t="shared" si="4"/>
        <v>-37968.015744350851</v>
      </c>
      <c r="J20" s="1">
        <f t="shared" si="4"/>
        <v>-52237.717876136303</v>
      </c>
      <c r="K20" s="1">
        <f t="shared" si="4"/>
        <v>-67378.566748633981</v>
      </c>
      <c r="L20" s="1">
        <f t="shared" si="4"/>
        <v>-75098.524999700487</v>
      </c>
      <c r="M20" s="1">
        <f t="shared" si="4"/>
        <v>-83243.01293694973</v>
      </c>
      <c r="N20" s="1">
        <f t="shared" si="4"/>
        <v>-91831.277614124119</v>
      </c>
      <c r="O20" s="1">
        <f t="shared" si="4"/>
        <v>-100883.36261631548</v>
      </c>
      <c r="P20" s="1">
        <f t="shared" si="4"/>
        <v>-110420.13931097835</v>
      </c>
      <c r="Q20" s="1">
        <f t="shared" si="4"/>
        <v>-118295.22937594354</v>
      </c>
      <c r="R20" s="1">
        <f t="shared" si="4"/>
        <v>-126560.96770600975</v>
      </c>
      <c r="S20" s="1">
        <f t="shared" si="4"/>
        <v>-135234.28252406418</v>
      </c>
      <c r="T20" s="1">
        <f t="shared" si="4"/>
        <v>-144332.78514251113</v>
      </c>
      <c r="U20" s="1">
        <f t="shared" si="4"/>
        <v>-153874.79633709788</v>
      </c>
      <c r="V20" s="1">
        <f t="shared" si="4"/>
        <v>-158798.78981988132</v>
      </c>
      <c r="W20" s="1">
        <f t="shared" si="4"/>
        <v>-163880.3510941118</v>
      </c>
      <c r="X20" s="1">
        <f t="shared" si="4"/>
        <v>-169124.52232913673</v>
      </c>
      <c r="Y20" s="1">
        <f t="shared" si="4"/>
        <v>-174536.50704365969</v>
      </c>
      <c r="Z20" s="1">
        <f t="shared" si="4"/>
        <v>-180121.67526906729</v>
      </c>
      <c r="AA20" s="1">
        <f t="shared" si="4"/>
        <v>-185885.56887766719</v>
      </c>
      <c r="AB20" s="1">
        <f t="shared" si="4"/>
        <v>-191833.90708175302</v>
      </c>
      <c r="AC20" s="1">
        <f t="shared" si="4"/>
        <v>-197972.59210836887</v>
      </c>
      <c r="AD20" s="1">
        <f t="shared" si="4"/>
        <v>-204307.71505583823</v>
      </c>
      <c r="AE20" s="1">
        <f t="shared" si="4"/>
        <v>-210845.56193763018</v>
      </c>
      <c r="AF20" s="1">
        <f t="shared" si="4"/>
        <v>-217592.6199196279</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64296828.219434097</v>
      </c>
      <c r="D25" s="40">
        <f>SUM(D11:D13,D18:D23)</f>
        <v>67435247.545438021</v>
      </c>
      <c r="E25" s="40">
        <f t="shared" ref="E25:AF25" si="7">SUM(E11:E13,E18:E23)</f>
        <v>70708685.756209478</v>
      </c>
      <c r="F25" s="40">
        <f t="shared" si="7"/>
        <v>74122570.318983808</v>
      </c>
      <c r="G25" s="40">
        <f t="shared" si="7"/>
        <v>77670366.37271446</v>
      </c>
      <c r="H25" s="40">
        <f t="shared" si="7"/>
        <v>81369028.481557429</v>
      </c>
      <c r="I25" s="40">
        <f t="shared" si="7"/>
        <v>85224569.877914399</v>
      </c>
      <c r="J25" s="40">
        <f t="shared" si="7"/>
        <v>89243233.860450059</v>
      </c>
      <c r="K25" s="40">
        <f t="shared" si="7"/>
        <v>93431502.351454988</v>
      </c>
      <c r="L25" s="40">
        <f t="shared" si="7"/>
        <v>97804637.835678488</v>
      </c>
      <c r="M25" s="40">
        <f t="shared" si="7"/>
        <v>102361842.89243069</v>
      </c>
      <c r="N25" s="40">
        <f t="shared" si="7"/>
        <v>107110415.50555143</v>
      </c>
      <c r="O25" s="40">
        <f t="shared" si="7"/>
        <v>112057932.10294029</v>
      </c>
      <c r="P25" s="40">
        <f t="shared" si="7"/>
        <v>117212257.89938551</v>
      </c>
      <c r="Q25" s="40">
        <f t="shared" si="7"/>
        <v>122583777.76061012</v>
      </c>
      <c r="R25" s="40">
        <f t="shared" si="7"/>
        <v>128178942.30115679</v>
      </c>
      <c r="S25" s="40">
        <f t="shared" si="7"/>
        <v>134006560.91958942</v>
      </c>
      <c r="T25" s="40">
        <f t="shared" si="7"/>
        <v>140075777.69446847</v>
      </c>
      <c r="U25" s="40">
        <f t="shared" si="7"/>
        <v>146396083.77955458</v>
      </c>
      <c r="V25" s="40">
        <f t="shared" si="7"/>
        <v>152982532.76738334</v>
      </c>
      <c r="W25" s="40">
        <f t="shared" si="7"/>
        <v>159840604.90064293</v>
      </c>
      <c r="X25" s="40">
        <f t="shared" si="7"/>
        <v>166980939.53687721</v>
      </c>
      <c r="Y25" s="40">
        <f t="shared" si="7"/>
        <v>174414578.81041232</v>
      </c>
      <c r="Z25" s="40">
        <f t="shared" si="7"/>
        <v>182152982.5153679</v>
      </c>
      <c r="AA25" s="40">
        <f t="shared" si="7"/>
        <v>190208043.52873883</v>
      </c>
      <c r="AB25" s="40">
        <f t="shared" si="7"/>
        <v>198592103.79286963</v>
      </c>
      <c r="AC25" s="40">
        <f t="shared" si="7"/>
        <v>207317970.87733147</v>
      </c>
      <c r="AD25" s="40">
        <f t="shared" si="7"/>
        <v>216398935.14091498</v>
      </c>
      <c r="AE25" s="40">
        <f t="shared" si="7"/>
        <v>225848787.51518935</v>
      </c>
      <c r="AF25" s="40">
        <f t="shared" si="7"/>
        <v>235681837.93183306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43950493.491598599</v>
      </c>
      <c r="D5" s="59">
        <f>C5*('Price and Financial ratios'!F4+1)*(1+Assumptions!$C$13)</f>
        <v>60017684.170157172</v>
      </c>
      <c r="E5" s="59">
        <f>D5*('Price and Financial ratios'!G4+1)*(1+Assumptions!$C$13)</f>
        <v>72852119.170802981</v>
      </c>
      <c r="F5" s="59">
        <f>E5*('Price and Financial ratios'!H4+1)*(1+Assumptions!$C$13)</f>
        <v>84746493.779568672</v>
      </c>
      <c r="G5" s="59">
        <f>F5*('Price and Financial ratios'!I4+1)*(1+Assumptions!$C$13)</f>
        <v>94296621.688148901</v>
      </c>
      <c r="H5" s="59">
        <f>G5*('Price and Financial ratios'!J4+1)*(1+Assumptions!$C$13)</f>
        <v>104922958.64093423</v>
      </c>
      <c r="I5" s="59">
        <f>H5*('Price and Financial ratios'!K4+1)*(1+Assumptions!$C$13)</f>
        <v>114624114.4275444</v>
      </c>
      <c r="J5" s="59">
        <f>I5*('Price and Financial ratios'!L4+1)*(1+Assumptions!$C$13)</f>
        <v>122903306.82196879</v>
      </c>
      <c r="K5" s="59">
        <f>J5*('Price and Financial ratios'!M4+1)*(1+Assumptions!$C$13)</f>
        <v>130537285.28550018</v>
      </c>
      <c r="L5" s="59">
        <f>K5*('Price and Financial ratios'!N4+1)*(1+Assumptions!$C$13)</f>
        <v>138645438.35579038</v>
      </c>
      <c r="M5" s="59">
        <f>L5*('Price and Financial ratios'!O4+1)*(1+Assumptions!$C$13)</f>
        <v>147257218.76954392</v>
      </c>
      <c r="N5" s="59">
        <f>M5*('Price and Financial ratios'!P4+1)*(1+Assumptions!$C$13)</f>
        <v>154914347.64669344</v>
      </c>
      <c r="O5" s="59">
        <f>N5*('Price and Financial ratios'!Q4+1)*(1+Assumptions!$C$13)</f>
        <v>162969634.40792629</v>
      </c>
      <c r="P5" s="59">
        <f>O5*('Price and Financial ratios'!R4+1)*(1+Assumptions!$C$13)</f>
        <v>171443782.59672475</v>
      </c>
      <c r="Q5" s="59">
        <f>P5*('Price and Financial ratios'!S4+1)*(1+Assumptions!$C$13)</f>
        <v>180358572.30617589</v>
      </c>
      <c r="R5" s="59">
        <f>Q5*('Price and Financial ratios'!T4+1)*(1+Assumptions!$C$13)</f>
        <v>189736916.15774879</v>
      </c>
      <c r="S5" s="59">
        <f>R5*('Price and Financial ratios'!U4+1)*(1+Assumptions!$C$13)</f>
        <v>199602918.19087476</v>
      </c>
      <c r="T5" s="59">
        <f>S5*('Price and Financial ratios'!V4+1)*(1+Assumptions!$C$13)</f>
        <v>209981935.81468689</v>
      </c>
      <c r="U5" s="59">
        <f>T5*('Price and Financial ratios'!W4+1)*(1+Assumptions!$C$13)</f>
        <v>218776600.31786641</v>
      </c>
      <c r="V5" s="59">
        <f>U5*('Price and Financial ratios'!X4+1)*(1+Assumptions!$C$13)</f>
        <v>227939611.38106501</v>
      </c>
      <c r="W5" s="59">
        <f>V5*('Price and Financial ratios'!Y4+1)*(1+Assumptions!$C$13)</f>
        <v>237486396.44761822</v>
      </c>
      <c r="X5" s="59">
        <f>W5*('Price and Financial ratios'!Z4+1)*(1+Assumptions!$C$13)</f>
        <v>247433029.10781586</v>
      </c>
      <c r="Y5" s="59">
        <f>X5*('Price and Financial ratios'!AA4+1)*(1+Assumptions!$C$13)</f>
        <v>256544818.02474138</v>
      </c>
      <c r="Z5" s="59">
        <f>Y5*('Price and Financial ratios'!AB4+1)*(1+Assumptions!$C$13)</f>
        <v>265213637.44580418</v>
      </c>
      <c r="AA5" s="59">
        <f>Z5*('Price and Financial ratios'!AC4+1)*(1+Assumptions!$C$13)</f>
        <v>274175382.0201934</v>
      </c>
      <c r="AB5" s="59">
        <f>AA5*('Price and Financial ratios'!AD4+1)*(1+Assumptions!$C$13)</f>
        <v>283439949.88297033</v>
      </c>
      <c r="AC5" s="59">
        <f>AB5*('Price and Financial ratios'!AE4+1)*(1+Assumptions!$C$13)</f>
        <v>293017573.63373965</v>
      </c>
      <c r="AD5" s="59">
        <f>AC5*('Price and Financial ratios'!AF4+1)*(1+Assumptions!$C$13)</f>
        <v>302918831.63842833</v>
      </c>
      <c r="AE5" s="59">
        <f>AD5*('Price and Financial ratios'!AG4+1)*(1+Assumptions!$C$13)</f>
        <v>313154659.7129584</v>
      </c>
      <c r="AF5" s="59">
        <f>AE5*('Price and Financial ratios'!AH4+1)*(1+Assumptions!$C$13)</f>
        <v>323736363.20171958</v>
      </c>
    </row>
    <row r="6" spans="1:32" s="11" customFormat="1" x14ac:dyDescent="0.35">
      <c r="A6" s="11" t="s">
        <v>20</v>
      </c>
      <c r="C6" s="59">
        <f>C27</f>
        <v>21176362.738875579</v>
      </c>
      <c r="D6" s="59">
        <f t="shared" ref="D6:AF6" si="1">D27</f>
        <v>23201731.467623781</v>
      </c>
      <c r="E6" s="59">
        <f>E27</f>
        <v>25308730.744480036</v>
      </c>
      <c r="F6" s="59">
        <f t="shared" si="1"/>
        <v>27500065.421797108</v>
      </c>
      <c r="G6" s="59">
        <f t="shared" si="1"/>
        <v>29768970.257846091</v>
      </c>
      <c r="H6" s="59">
        <f t="shared" si="1"/>
        <v>32126046.593651563</v>
      </c>
      <c r="I6" s="59">
        <f t="shared" si="1"/>
        <v>34574146.107699424</v>
      </c>
      <c r="J6" s="59">
        <f t="shared" si="1"/>
        <v>37116205.95103687</v>
      </c>
      <c r="K6" s="59">
        <f t="shared" si="1"/>
        <v>39755251.224196203</v>
      </c>
      <c r="L6" s="59">
        <f t="shared" si="1"/>
        <v>42502508.635065153</v>
      </c>
      <c r="M6" s="59">
        <f t="shared" si="1"/>
        <v>45354373.365709208</v>
      </c>
      <c r="N6" s="59">
        <f t="shared" si="1"/>
        <v>48314225.0204615</v>
      </c>
      <c r="O6" s="59">
        <f t="shared" si="1"/>
        <v>51385545.006471872</v>
      </c>
      <c r="P6" s="59">
        <f t="shared" si="1"/>
        <v>54571919.505982369</v>
      </c>
      <c r="Q6" s="59">
        <f t="shared" si="1"/>
        <v>57879486.704975724</v>
      </c>
      <c r="R6" s="59">
        <f t="shared" si="1"/>
        <v>61309950.15063864</v>
      </c>
      <c r="S6" s="59">
        <f t="shared" si="1"/>
        <v>64867248.567816116</v>
      </c>
      <c r="T6" s="59">
        <f t="shared" si="1"/>
        <v>68555439.064135551</v>
      </c>
      <c r="U6" s="59">
        <f t="shared" si="1"/>
        <v>72378700.588547498</v>
      </c>
      <c r="V6" s="59">
        <f t="shared" si="1"/>
        <v>76347772.429403752</v>
      </c>
      <c r="W6" s="59">
        <f t="shared" si="1"/>
        <v>80461465.798582435</v>
      </c>
      <c r="X6" s="59">
        <f t="shared" si="1"/>
        <v>84724392.427399158</v>
      </c>
      <c r="Y6" s="59">
        <f t="shared" si="1"/>
        <v>89141302.691167399</v>
      </c>
      <c r="Z6" s="59">
        <f t="shared" si="1"/>
        <v>93717089.670895845</v>
      </c>
      <c r="AA6" s="59">
        <f t="shared" si="1"/>
        <v>98456793.333133236</v>
      </c>
      <c r="AB6" s="59">
        <f t="shared" si="1"/>
        <v>103365604.83141395</v>
      </c>
      <c r="AC6" s="59">
        <f t="shared" si="1"/>
        <v>108448870.93286033</v>
      </c>
      <c r="AD6" s="59">
        <f t="shared" si="1"/>
        <v>113712098.57360281</v>
      </c>
      <c r="AE6" s="59">
        <f t="shared" si="1"/>
        <v>119160959.54678711</v>
      </c>
      <c r="AF6" s="59">
        <f t="shared" si="1"/>
        <v>124801295.3270501</v>
      </c>
    </row>
    <row r="7" spans="1:32" x14ac:dyDescent="0.35">
      <c r="A7" t="s">
        <v>21</v>
      </c>
      <c r="C7" s="4">
        <f>Depreciation!C8+Depreciation!C9</f>
        <v>20654999.126167335</v>
      </c>
      <c r="D7" s="4">
        <f>Depreciation!D8+Depreciation!D9</f>
        <v>22396879.921186723</v>
      </c>
      <c r="E7" s="4">
        <f>Depreciation!E8+Depreciation!E9</f>
        <v>24229090.367982153</v>
      </c>
      <c r="F7" s="4">
        <f>Depreciation!F8+Depreciation!F9</f>
        <v>26155627.878333196</v>
      </c>
      <c r="G7" s="4">
        <f>Depreciation!G8+Depreciation!G9</f>
        <v>28180367.93299317</v>
      </c>
      <c r="H7" s="4">
        <f>Depreciation!H8+Depreciation!H9</f>
        <v>30307613.662506178</v>
      </c>
      <c r="I7" s="4">
        <f>Depreciation!I8+Depreciation!I9</f>
        <v>32541842.750758119</v>
      </c>
      <c r="J7" s="4">
        <f>Depreciation!J8+Depreciation!J9</f>
        <v>34887714.190852724</v>
      </c>
      <c r="K7" s="4">
        <f>Depreciation!K8+Depreciation!K9</f>
        <v>37350075.294330992</v>
      </c>
      <c r="L7" s="4">
        <f>Depreciation!L8+Depreciation!L9</f>
        <v>39934168.956841663</v>
      </c>
      <c r="M7" s="4">
        <f>Depreciation!M8+Depreciation!M9</f>
        <v>42645260.344608329</v>
      </c>
      <c r="N7" s="4">
        <f>Depreciation!N8+Depreciation!N9</f>
        <v>45488826.804461941</v>
      </c>
      <c r="O7" s="4">
        <f>Depreciation!O8+Depreciation!O9</f>
        <v>48470566.047534473</v>
      </c>
      <c r="P7" s="4">
        <f>Depreciation!P8+Depreciation!P9</f>
        <v>51596404.639297679</v>
      </c>
      <c r="Q7" s="4">
        <f>Depreciation!Q8+Depreciation!Q9</f>
        <v>54872558.841806486</v>
      </c>
      <c r="R7" s="4">
        <f>Depreciation!R8+Depreciation!R9</f>
        <v>58305444.667941466</v>
      </c>
      <c r="S7" s="4">
        <f>Depreciation!S8+Depreciation!S9</f>
        <v>61901734.725962639</v>
      </c>
      <c r="T7" s="4">
        <f>Depreciation!T8+Depreciation!T9</f>
        <v>65668368.068223327</v>
      </c>
      <c r="U7" s="4">
        <f>Depreciation!U8+Depreciation!U9</f>
        <v>69612560.407339618</v>
      </c>
      <c r="V7" s="4">
        <f>Depreciation!V8+Depreciation!V9</f>
        <v>73741936.647257507</v>
      </c>
      <c r="W7" s="4">
        <f>Depreciation!W8+Depreciation!W9</f>
        <v>78064309.704673052</v>
      </c>
      <c r="X7" s="4">
        <f>Depreciation!X8+Depreciation!X9</f>
        <v>82587802.894636363</v>
      </c>
      <c r="Y7" s="4">
        <f>Depreciation!Y8+Depreciation!Y9</f>
        <v>87320861.795619726</v>
      </c>
      <c r="Z7" s="4">
        <f>Depreciation!Z8+Depreciation!Z9</f>
        <v>92272266.556101933</v>
      </c>
      <c r="AA7" s="4">
        <f>Depreciation!AA8+Depreciation!AA9</f>
        <v>97451144.658776328</v>
      </c>
      <c r="AB7" s="4">
        <f>Depreciation!AB8+Depreciation!AB9</f>
        <v>102866984.15906838</v>
      </c>
      <c r="AC7" s="4">
        <f>Depreciation!AC8+Depreciation!AC9</f>
        <v>108529647.41524854</v>
      </c>
      <c r="AD7" s="4">
        <f>Depreciation!AD8+Depreciation!AD9</f>
        <v>114449385.32804538</v>
      </c>
      <c r="AE7" s="4">
        <f>Depreciation!AE8+Depreciation!AE9</f>
        <v>120636852.10830799</v>
      </c>
      <c r="AF7" s="4">
        <f>Depreciation!AF8+Depreciation!AF9</f>
        <v>127103120.59193146</v>
      </c>
    </row>
    <row r="8" spans="1:32" x14ac:dyDescent="0.35">
      <c r="A8" t="s">
        <v>6</v>
      </c>
      <c r="C8" s="4">
        <f ca="1">'Debt worksheet'!C8</f>
        <v>4960160.0117459986</v>
      </c>
      <c r="D8" s="4">
        <f ca="1">'Debt worksheet'!D8</f>
        <v>6250606.5608784044</v>
      </c>
      <c r="E8" s="4">
        <f ca="1">'Debt worksheet'!E8</f>
        <v>7317504.6294553718</v>
      </c>
      <c r="F8" s="4">
        <f ca="1">'Debt worksheet'!F8</f>
        <v>8194994.4021738861</v>
      </c>
      <c r="G8" s="4">
        <f ca="1">'Debt worksheet'!G8</f>
        <v>8968900.9587132577</v>
      </c>
      <c r="H8" s="4">
        <f ca="1">'Debt worksheet'!H8</f>
        <v>9605103.6620858796</v>
      </c>
      <c r="I8" s="4">
        <f ca="1">'Debt worksheet'!I8</f>
        <v>10141155.146754725</v>
      </c>
      <c r="J8" s="4">
        <f ca="1">'Debt worksheet'!J8</f>
        <v>10634321.037707625</v>
      </c>
      <c r="K8" s="4">
        <f ca="1">'Debt worksheet'!K8</f>
        <v>11116116.50555742</v>
      </c>
      <c r="L8" s="4">
        <f ca="1">'Debt worksheet'!L8</f>
        <v>11579560.921845371</v>
      </c>
      <c r="M8" s="4">
        <f ca="1">'Debt worksheet'!M8</f>
        <v>12016192.574037544</v>
      </c>
      <c r="N8" s="4">
        <f ca="1">'Debt worksheet'!N8</f>
        <v>12470521.061983136</v>
      </c>
      <c r="O8" s="4">
        <f ca="1">'Debt worksheet'!O8</f>
        <v>12940005.758067505</v>
      </c>
      <c r="P8" s="4">
        <f ca="1">'Debt worksheet'!P8</f>
        <v>13421678.317481879</v>
      </c>
      <c r="Q8" s="4">
        <f ca="1">'Debt worksheet'!Q8</f>
        <v>13912272.065348422</v>
      </c>
      <c r="R8" s="4">
        <f ca="1">'Debt worksheet'!R8</f>
        <v>14407866.565430108</v>
      </c>
      <c r="S8" s="4">
        <f ca="1">'Debt worksheet'!S8</f>
        <v>14903987.316900194</v>
      </c>
      <c r="T8" s="4">
        <f ca="1">'Debt worksheet'!T8</f>
        <v>15395556.632059371</v>
      </c>
      <c r="U8" s="4">
        <f ca="1">'Debt worksheet'!U8</f>
        <v>15953878.832971625</v>
      </c>
      <c r="V8" s="4">
        <f ca="1">'Debt worksheet'!V8</f>
        <v>16582956.597432019</v>
      </c>
      <c r="W8" s="4">
        <f ca="1">'Debt worksheet'!W8</f>
        <v>17286533.882112194</v>
      </c>
      <c r="X8" s="4">
        <f ca="1">'Debt worksheet'!X8</f>
        <v>18068460.603200324</v>
      </c>
      <c r="Y8" s="4">
        <f ca="1">'Debt worksheet'!Y8</f>
        <v>18978080.647554055</v>
      </c>
      <c r="Z8" s="4">
        <f ca="1">'Debt worksheet'!Z8</f>
        <v>20052907.630539007</v>
      </c>
      <c r="AA8" s="4">
        <f ca="1">'Debt worksheet'!AA8</f>
        <v>21305739.430049494</v>
      </c>
      <c r="AB8" s="4">
        <f ca="1">'Debt worksheet'!AB8</f>
        <v>22750115.011394255</v>
      </c>
      <c r="AC8" s="4">
        <f ca="1">'Debt worksheet'!AC8</f>
        <v>24400351.707326509</v>
      </c>
      <c r="AD8" s="4">
        <f ca="1">'Debt worksheet'!AD8</f>
        <v>26271584.22796854</v>
      </c>
      <c r="AE8" s="4">
        <f ca="1">'Debt worksheet'!AE8</f>
        <v>28379805.476874787</v>
      </c>
      <c r="AF8" s="4">
        <f ca="1">'Debt worksheet'!AF8</f>
        <v>30741909.25272074</v>
      </c>
    </row>
    <row r="9" spans="1:32" x14ac:dyDescent="0.35">
      <c r="A9" t="s">
        <v>22</v>
      </c>
      <c r="C9" s="4">
        <f ca="1">C5-C6-C7-C8</f>
        <v>-2841028.3851903137</v>
      </c>
      <c r="D9" s="4">
        <f t="shared" ref="D9:AF9" ca="1" si="2">D5-D6-D7-D8</f>
        <v>8168466.2204682669</v>
      </c>
      <c r="E9" s="4">
        <f t="shared" ca="1" si="2"/>
        <v>15996793.428885419</v>
      </c>
      <c r="F9" s="4">
        <f t="shared" ca="1" si="2"/>
        <v>22895806.07726448</v>
      </c>
      <c r="G9" s="4">
        <f t="shared" ca="1" si="2"/>
        <v>27378382.538596384</v>
      </c>
      <c r="H9" s="4">
        <f t="shared" ca="1" si="2"/>
        <v>32884194.722690608</v>
      </c>
      <c r="I9" s="4">
        <f t="shared" ca="1" si="2"/>
        <v>37366970.42233213</v>
      </c>
      <c r="J9" s="4">
        <f t="shared" ca="1" si="2"/>
        <v>40265065.642371573</v>
      </c>
      <c r="K9" s="4">
        <f t="shared" ca="1" si="2"/>
        <v>42315842.261415564</v>
      </c>
      <c r="L9" s="4">
        <f t="shared" ca="1" si="2"/>
        <v>44629199.842038192</v>
      </c>
      <c r="M9" s="4">
        <f t="shared" ca="1" si="2"/>
        <v>47241392.485188827</v>
      </c>
      <c r="N9" s="4">
        <f t="shared" ca="1" si="2"/>
        <v>48640774.759786859</v>
      </c>
      <c r="O9" s="4">
        <f t="shared" ca="1" si="2"/>
        <v>50173517.595852442</v>
      </c>
      <c r="P9" s="4">
        <f t="shared" ca="1" si="2"/>
        <v>51853780.133962825</v>
      </c>
      <c r="Q9" s="4">
        <f t="shared" ca="1" si="2"/>
        <v>53694254.694045253</v>
      </c>
      <c r="R9" s="4">
        <f t="shared" ca="1" si="2"/>
        <v>55713654.773738578</v>
      </c>
      <c r="S9" s="4">
        <f t="shared" ca="1" si="2"/>
        <v>57929947.580195814</v>
      </c>
      <c r="T9" s="4">
        <f t="shared" ca="1" si="2"/>
        <v>60362572.050268643</v>
      </c>
      <c r="U9" s="4">
        <f t="shared" ca="1" si="2"/>
        <v>60831460.489007674</v>
      </c>
      <c r="V9" s="4">
        <f t="shared" ca="1" si="2"/>
        <v>61266945.706971735</v>
      </c>
      <c r="W9" s="4">
        <f t="shared" ca="1" si="2"/>
        <v>61674087.06225054</v>
      </c>
      <c r="X9" s="4">
        <f t="shared" ca="1" si="2"/>
        <v>62052373.182580017</v>
      </c>
      <c r="Y9" s="4">
        <f t="shared" ca="1" si="2"/>
        <v>61104572.890400216</v>
      </c>
      <c r="Z9" s="4">
        <f t="shared" ca="1" si="2"/>
        <v>59171373.588267393</v>
      </c>
      <c r="AA9" s="4">
        <f t="shared" ca="1" si="2"/>
        <v>56961704.598234355</v>
      </c>
      <c r="AB9" s="4">
        <f t="shared" ca="1" si="2"/>
        <v>54457245.881093748</v>
      </c>
      <c r="AC9" s="4">
        <f t="shared" ca="1" si="2"/>
        <v>51638703.578304283</v>
      </c>
      <c r="AD9" s="4">
        <f t="shared" ca="1" si="2"/>
        <v>48485763.508811608</v>
      </c>
      <c r="AE9" s="4">
        <f t="shared" ca="1" si="2"/>
        <v>44977042.580988511</v>
      </c>
      <c r="AF9" s="4">
        <f t="shared" ca="1" si="2"/>
        <v>41090038.030017287</v>
      </c>
    </row>
    <row r="12" spans="1:32" x14ac:dyDescent="0.35">
      <c r="A12" t="s">
        <v>79</v>
      </c>
      <c r="C12" s="2">
        <f>Assumptions!$C$25*Assumptions!D9*Assumptions!D13</f>
        <v>19879794.444302361</v>
      </c>
      <c r="D12" s="2">
        <f>Assumptions!$C$25*Assumptions!E9*Assumptions!E13</f>
        <v>20551545.873516127</v>
      </c>
      <c r="E12" s="2">
        <f>Assumptions!$C$25*Assumptions!F9*Assumptions!F13</f>
        <v>21245996.228713002</v>
      </c>
      <c r="F12" s="2">
        <f>Assumptions!$C$25*Assumptions!G9*Assumptions!G13</f>
        <v>21963912.521645229</v>
      </c>
      <c r="G12" s="2">
        <f>Assumptions!$C$25*Assumptions!H9*Assumptions!H13</f>
        <v>22706087.68190046</v>
      </c>
      <c r="H12" s="2">
        <f>Assumptions!$C$25*Assumptions!I9*Assumptions!I13</f>
        <v>23473341.432682637</v>
      </c>
      <c r="I12" s="2">
        <f>Assumptions!$C$25*Assumptions!J9*Assumptions!J13</f>
        <v>24266521.196185999</v>
      </c>
      <c r="J12" s="2">
        <f>Assumptions!$C$25*Assumptions!K9*Assumptions!K13</f>
        <v>25086503.029562354</v>
      </c>
      <c r="K12" s="2">
        <f>Assumptions!$C$25*Assumptions!L9*Assumptions!L13</f>
        <v>25934192.592515234</v>
      </c>
      <c r="L12" s="2">
        <f>Assumptions!$C$25*Assumptions!M9*Assumptions!M13</f>
        <v>26810526.147589806</v>
      </c>
      <c r="M12" s="2">
        <f>Assumptions!$C$25*Assumptions!N9*Assumptions!N13</f>
        <v>27716471.594263081</v>
      </c>
      <c r="N12" s="2">
        <f>Assumptions!$C$25*Assumptions!O9*Assumptions!O13</f>
        <v>28653029.537976883</v>
      </c>
      <c r="O12" s="2">
        <f>Assumptions!$C$25*Assumptions!P9*Assumptions!P13</f>
        <v>29621234.395294033</v>
      </c>
      <c r="P12" s="2">
        <f>Assumptions!$C$25*Assumptions!Q9*Assumptions!Q13</f>
        <v>30622155.536398567</v>
      </c>
      <c r="Q12" s="2">
        <f>Assumptions!$C$25*Assumptions!R9*Assumptions!R13</f>
        <v>31656898.466201726</v>
      </c>
      <c r="R12" s="2">
        <f>Assumptions!$C$25*Assumptions!S9*Assumptions!S13</f>
        <v>32726606.045358349</v>
      </c>
      <c r="S12" s="2">
        <f>Assumptions!$C$25*Assumptions!T9*Assumptions!T13</f>
        <v>33832459.752542228</v>
      </c>
      <c r="T12" s="2">
        <f>Assumptions!$C$25*Assumptions!U9*Assumptions!U13</f>
        <v>34975680.989374526</v>
      </c>
      <c r="U12" s="2">
        <f>Assumptions!$C$25*Assumptions!V9*Assumptions!V13</f>
        <v>36157532.429446675</v>
      </c>
      <c r="V12" s="2">
        <f>Assumptions!$C$25*Assumptions!W9*Assumptions!W13</f>
        <v>37379319.412927538</v>
      </c>
      <c r="W12" s="2">
        <f>Assumptions!$C$25*Assumptions!X9*Assumptions!X13</f>
        <v>38642391.38829539</v>
      </c>
      <c r="X12" s="2">
        <f>Assumptions!$C$25*Assumptions!Y9*Assumptions!Y13</f>
        <v>39948143.402786903</v>
      </c>
      <c r="Y12" s="2">
        <f>Assumptions!$C$25*Assumptions!Z9*Assumptions!Z13</f>
        <v>41298017.643209428</v>
      </c>
      <c r="Z12" s="2">
        <f>Assumptions!$C$25*Assumptions!AA9*Assumptions!AA13</f>
        <v>42693505.028818287</v>
      </c>
      <c r="AA12" s="2">
        <f>Assumptions!$C$25*Assumptions!AB9*Assumptions!AB13</f>
        <v>44136146.858018547</v>
      </c>
      <c r="AB12" s="2">
        <f>Assumptions!$C$25*Assumptions!AC9*Assumptions!AC13</f>
        <v>45627536.510709852</v>
      </c>
      <c r="AC12" s="2">
        <f>Assumptions!$C$25*Assumptions!AD9*Assumptions!AD13</f>
        <v>47169321.208154611</v>
      </c>
      <c r="AD12" s="2">
        <f>Assumptions!$C$25*Assumptions!AE9*Assumptions!AE13</f>
        <v>48763203.832313344</v>
      </c>
      <c r="AE12" s="2">
        <f>Assumptions!$C$25*Assumptions!AF9*Assumptions!AF13</f>
        <v>50410944.806656584</v>
      </c>
      <c r="AF12" s="2">
        <f>Assumptions!$C$25*Assumptions!AG9*Assumptions!AG13</f>
        <v>52114364.040530674</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1296568.2945732162</v>
      </c>
      <c r="D14" s="5">
        <f>Assumptions!E122*Assumptions!E9</f>
        <v>2650185.5941076535</v>
      </c>
      <c r="E14" s="5">
        <f>Assumptions!F122*Assumptions!F9</f>
        <v>4062734.5157670332</v>
      </c>
      <c r="F14" s="5">
        <f>Assumptions!G122*Assumptions!G9</f>
        <v>5536152.9001518777</v>
      </c>
      <c r="G14" s="5">
        <f>Assumptions!H122*Assumptions!H9</f>
        <v>7072095.6899818536</v>
      </c>
      <c r="H14" s="5">
        <f>Assumptions!I122*Assumptions!I9</f>
        <v>8672593.4358662441</v>
      </c>
      <c r="I14" s="5">
        <f>Assumptions!J122*Assumptions!J9</f>
        <v>10339735.610089976</v>
      </c>
      <c r="J14" s="5">
        <f>Assumptions!K122*Assumptions!K9</f>
        <v>12075672.212884031</v>
      </c>
      <c r="K14" s="5">
        <f>Assumptions!L122*Assumptions!L9</f>
        <v>13882615.420777626</v>
      </c>
      <c r="L14" s="5">
        <f>Assumptions!M122*Assumptions!M9</f>
        <v>15763068.075767688</v>
      </c>
      <c r="M14" s="5">
        <f>Assumptions!N122*Assumptions!N9</f>
        <v>17719386.716460135</v>
      </c>
      <c r="N14" s="5">
        <f>Assumptions!O122*Assumptions!O9</f>
        <v>19753995.917948805</v>
      </c>
      <c r="O14" s="5">
        <f>Assumptions!P122*Assumptions!P9</f>
        <v>21869390.143265352</v>
      </c>
      <c r="P14" s="5">
        <f>Assumptions!Q122*Assumptions!Q9</f>
        <v>24068135.643328395</v>
      </c>
      <c r="Q14" s="5">
        <f>Assumptions!R122*Assumptions!R9</f>
        <v>26352928.61105632</v>
      </c>
      <c r="R14" s="5">
        <f>Assumptions!S122*Assumptions!S9</f>
        <v>28726488.473490138</v>
      </c>
      <c r="S14" s="5">
        <f>Assumptions!T122*Assumptions!T9</f>
        <v>31191612.611336362</v>
      </c>
      <c r="T14" s="5">
        <f>Assumptions!U122*Assumptions!U9</f>
        <v>33751178.471537851</v>
      </c>
      <c r="U14" s="5">
        <f>Assumptions!V122*Assumptions!V9</f>
        <v>36408145.735042177</v>
      </c>
      <c r="V14" s="5">
        <f>Assumptions!W122*Assumptions!W9</f>
        <v>39165683.987760469</v>
      </c>
      <c r="W14" s="5">
        <f>Assumptions!X122*Assumptions!X9</f>
        <v>42026932.381062597</v>
      </c>
      <c r="X14" s="5">
        <f>Assumptions!Y122*Assumptions!Y9</f>
        <v>44995119.51261995</v>
      </c>
      <c r="Y14" s="5">
        <f>Assumptions!Z122*Assumptions!Z9</f>
        <v>48073565.842693388</v>
      </c>
      <c r="Z14" s="5">
        <f>Assumptions!AA122*Assumptions!AA9</f>
        <v>51265686.173445947</v>
      </c>
      <c r="AA14" s="5">
        <f>Assumptions!AB122*Assumptions!AB9</f>
        <v>54574992.19288376</v>
      </c>
      <c r="AB14" s="5">
        <f>Assumptions!AC122*Assumptions!AC9</f>
        <v>58005095.085068896</v>
      </c>
      <c r="AC14" s="5">
        <f>Assumptions!AD122*Assumptions!AD9</f>
        <v>61559708.208288811</v>
      </c>
      <c r="AD14" s="5">
        <f>Assumptions!AE122*Assumptions!AE9</f>
        <v>65242649.842909239</v>
      </c>
      <c r="AE14" s="5">
        <f>Assumptions!AF122*Assumptions!AF9</f>
        <v>69057846.010680139</v>
      </c>
      <c r="AF14" s="5">
        <f>Assumptions!AG122*Assumptions!AG9</f>
        <v>73009333.367308989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0.99969060859350733</v>
      </c>
      <c r="H16" s="37">
        <f>Assumptions!I43</f>
        <v>0.99938131291005705</v>
      </c>
      <c r="I16" s="37">
        <f>Assumptions!J43</f>
        <v>0.99907211292003328</v>
      </c>
      <c r="J16" s="37">
        <f>Assumptions!K43</f>
        <v>0.99876300859382938</v>
      </c>
      <c r="K16" s="37">
        <f>Assumptions!L43</f>
        <v>0.99845399990184769</v>
      </c>
      <c r="L16" s="37">
        <f>Assumptions!M43</f>
        <v>0.9983302892417445</v>
      </c>
      <c r="M16" s="37">
        <f>Assumptions!N43</f>
        <v>0.99820659390966582</v>
      </c>
      <c r="N16" s="37">
        <f>Assumptions!O43</f>
        <v>0.99808291390371251</v>
      </c>
      <c r="O16" s="37">
        <f>Assumptions!P43</f>
        <v>0.99795924922198564</v>
      </c>
      <c r="P16" s="37">
        <f>Assumptions!Q43</f>
        <v>0.99783559986258652</v>
      </c>
      <c r="Q16" s="37">
        <f>Assumptions!R43</f>
        <v>0.99775313289403988</v>
      </c>
      <c r="R16" s="37">
        <f>Assumptions!S43</f>
        <v>0.99767067274104571</v>
      </c>
      <c r="S16" s="37">
        <f>Assumptions!T43</f>
        <v>0.99758821940304077</v>
      </c>
      <c r="T16" s="37">
        <f>Assumptions!U43</f>
        <v>0.99750577287946185</v>
      </c>
      <c r="U16" s="37">
        <f>Assumptions!V43</f>
        <v>0.99742333316974574</v>
      </c>
      <c r="V16" s="37">
        <f>Assumptions!W43</f>
        <v>0.99742333316974574</v>
      </c>
      <c r="W16" s="37">
        <f>Assumptions!X43</f>
        <v>0.99742333316974574</v>
      </c>
      <c r="X16" s="37">
        <f>Assumptions!Y43</f>
        <v>0.99742333316974574</v>
      </c>
      <c r="Y16" s="37">
        <f>Assumptions!Z43</f>
        <v>0.99742333316974574</v>
      </c>
      <c r="Z16" s="37">
        <f>Assumptions!AA43</f>
        <v>0.99742333316974574</v>
      </c>
      <c r="AA16" s="37">
        <f>Assumptions!AB43</f>
        <v>0.99742333316974574</v>
      </c>
      <c r="AB16" s="37">
        <f>Assumptions!AC43</f>
        <v>0.99742333316974574</v>
      </c>
      <c r="AC16" s="37">
        <f>Assumptions!AD43</f>
        <v>0.99742333316974574</v>
      </c>
      <c r="AD16" s="37">
        <f>Assumptions!AE43</f>
        <v>0.99742333316974574</v>
      </c>
      <c r="AE16" s="37">
        <f>Assumptions!AF43</f>
        <v>0.99742333316974574</v>
      </c>
      <c r="AF16" s="37">
        <f>Assumptions!AG43</f>
        <v>0.99742333316974574</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-7025.0684038475156</v>
      </c>
      <c r="H19" s="44">
        <f t="shared" si="3"/>
        <v>-14522.65330222249</v>
      </c>
      <c r="I19" s="44">
        <f t="shared" si="3"/>
        <v>-22516.591493681073</v>
      </c>
      <c r="J19" s="44">
        <f t="shared" si="3"/>
        <v>-31031.788658440113</v>
      </c>
      <c r="K19" s="44">
        <f t="shared" si="3"/>
        <v>-40094.264293529093</v>
      </c>
      <c r="L19" s="44">
        <f t="shared" si="3"/>
        <v>-44765.823943119496</v>
      </c>
      <c r="M19" s="44">
        <f t="shared" si="3"/>
        <v>-49706.888959724456</v>
      </c>
      <c r="N19" s="44">
        <f t="shared" si="3"/>
        <v>-54930.324543770403</v>
      </c>
      <c r="O19" s="44">
        <f t="shared" si="3"/>
        <v>-60449.557137940079</v>
      </c>
      <c r="P19" s="44">
        <f t="shared" si="3"/>
        <v>-66278.597650878131</v>
      </c>
      <c r="Q19" s="44">
        <f t="shared" si="3"/>
        <v>-71128.843840427697</v>
      </c>
      <c r="R19" s="44">
        <f t="shared" si="3"/>
        <v>-76230.975554510951</v>
      </c>
      <c r="S19" s="44">
        <f t="shared" si="3"/>
        <v>-81596.469978585839</v>
      </c>
      <c r="T19" s="44">
        <f t="shared" si="3"/>
        <v>-87237.292082987726</v>
      </c>
      <c r="U19" s="44">
        <f t="shared" si="3"/>
        <v>-93165.914474800229</v>
      </c>
      <c r="V19" s="44">
        <f t="shared" si="3"/>
        <v>-96314.052468769252</v>
      </c>
      <c r="W19" s="44">
        <f t="shared" si="3"/>
        <v>-99568.568131923676</v>
      </c>
      <c r="X19" s="44">
        <f t="shared" si="3"/>
        <v>-102933.0560362041</v>
      </c>
      <c r="Y19" s="44">
        <f t="shared" si="3"/>
        <v>-106411.23221651465</v>
      </c>
      <c r="Z19" s="44">
        <f t="shared" si="3"/>
        <v>-110006.93827504665</v>
      </c>
      <c r="AA19" s="44">
        <f t="shared" si="3"/>
        <v>-113724.14562428743</v>
      </c>
      <c r="AB19" s="44">
        <f t="shared" si="3"/>
        <v>-117566.95987336338</v>
      </c>
      <c r="AC19" s="44">
        <f t="shared" si="3"/>
        <v>-121539.62536266446</v>
      </c>
      <c r="AD19" s="44">
        <f t="shared" si="3"/>
        <v>-125646.52985165268</v>
      </c>
      <c r="AE19" s="44">
        <f t="shared" si="3"/>
        <v>-129892.20936509222</v>
      </c>
      <c r="AF19" s="44">
        <f t="shared" si="3"/>
        <v>-134281.35320302844</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-2188.0456323744729</v>
      </c>
      <c r="H24" s="44">
        <f t="shared" si="6"/>
        <v>-5365.6215950939804</v>
      </c>
      <c r="I24" s="44">
        <f t="shared" si="6"/>
        <v>-9594.1070828735828</v>
      </c>
      <c r="J24" s="44">
        <f t="shared" si="6"/>
        <v>-14937.502751071006</v>
      </c>
      <c r="K24" s="44">
        <f t="shared" si="6"/>
        <v>-21462.524803133681</v>
      </c>
      <c r="L24" s="44">
        <f t="shared" si="6"/>
        <v>-26319.764349224046</v>
      </c>
      <c r="M24" s="44">
        <f t="shared" si="6"/>
        <v>-31778.056054286659</v>
      </c>
      <c r="N24" s="44">
        <f t="shared" si="6"/>
        <v>-37870.110920418054</v>
      </c>
      <c r="O24" s="44">
        <f t="shared" si="6"/>
        <v>-44629.97494956851</v>
      </c>
      <c r="P24" s="44">
        <f t="shared" si="6"/>
        <v>-52093.076093707234</v>
      </c>
      <c r="Q24" s="44">
        <f t="shared" si="6"/>
        <v>-59211.528441898525</v>
      </c>
      <c r="R24" s="44">
        <f t="shared" si="6"/>
        <v>-66913.392655335367</v>
      </c>
      <c r="S24" s="44">
        <f t="shared" si="6"/>
        <v>-75227.326083891094</v>
      </c>
      <c r="T24" s="44">
        <f t="shared" si="6"/>
        <v>-84183.104693830013</v>
      </c>
      <c r="U24" s="44">
        <f t="shared" si="6"/>
        <v>-93811.661466546357</v>
      </c>
      <c r="V24" s="44">
        <f t="shared" si="6"/>
        <v>-100916.91881548613</v>
      </c>
      <c r="W24" s="44">
        <f t="shared" si="6"/>
        <v>-108289.40264362097</v>
      </c>
      <c r="X24" s="44">
        <f t="shared" si="6"/>
        <v>-115937.43197149038</v>
      </c>
      <c r="Y24" s="44">
        <f t="shared" si="6"/>
        <v>-123869.56251890957</v>
      </c>
      <c r="Z24" s="44">
        <f t="shared" si="6"/>
        <v>-132094.59309334308</v>
      </c>
      <c r="AA24" s="44">
        <f t="shared" si="6"/>
        <v>-140621.57214479148</v>
      </c>
      <c r="AB24" s="44">
        <f t="shared" si="6"/>
        <v>-149459.80449143797</v>
      </c>
      <c r="AC24" s="44">
        <f t="shared" si="6"/>
        <v>-158618.85822042823</v>
      </c>
      <c r="AD24" s="44">
        <f t="shared" si="6"/>
        <v>-168108.57176811993</v>
      </c>
      <c r="AE24" s="44">
        <f t="shared" si="6"/>
        <v>-177939.06118452549</v>
      </c>
      <c r="AF24" s="44">
        <f t="shared" si="6"/>
        <v>-188120.7275865227</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21176362.738875579</v>
      </c>
      <c r="D27" s="2">
        <f t="shared" ref="D27:AF27" si="8">D12+D13+D14+D19+D20+D22+D24+D25</f>
        <v>23201731.467623781</v>
      </c>
      <c r="E27" s="2">
        <f t="shared" si="8"/>
        <v>25308730.744480036</v>
      </c>
      <c r="F27" s="2">
        <f t="shared" si="8"/>
        <v>27500065.421797108</v>
      </c>
      <c r="G27" s="2">
        <f t="shared" si="8"/>
        <v>29768970.257846091</v>
      </c>
      <c r="H27" s="2">
        <f t="shared" si="8"/>
        <v>32126046.593651563</v>
      </c>
      <c r="I27" s="2">
        <f t="shared" si="8"/>
        <v>34574146.107699424</v>
      </c>
      <c r="J27" s="2">
        <f t="shared" si="8"/>
        <v>37116205.95103687</v>
      </c>
      <c r="K27" s="2">
        <f t="shared" si="8"/>
        <v>39755251.224196203</v>
      </c>
      <c r="L27" s="2">
        <f t="shared" si="8"/>
        <v>42502508.635065153</v>
      </c>
      <c r="M27" s="2">
        <f t="shared" si="8"/>
        <v>45354373.365709208</v>
      </c>
      <c r="N27" s="2">
        <f t="shared" si="8"/>
        <v>48314225.0204615</v>
      </c>
      <c r="O27" s="2">
        <f t="shared" si="8"/>
        <v>51385545.006471872</v>
      </c>
      <c r="P27" s="2">
        <f t="shared" si="8"/>
        <v>54571919.505982369</v>
      </c>
      <c r="Q27" s="2">
        <f t="shared" si="8"/>
        <v>57879486.704975724</v>
      </c>
      <c r="R27" s="2">
        <f t="shared" si="8"/>
        <v>61309950.15063864</v>
      </c>
      <c r="S27" s="2">
        <f t="shared" si="8"/>
        <v>64867248.567816116</v>
      </c>
      <c r="T27" s="2">
        <f t="shared" si="8"/>
        <v>68555439.064135551</v>
      </c>
      <c r="U27" s="2">
        <f t="shared" si="8"/>
        <v>72378700.588547498</v>
      </c>
      <c r="V27" s="2">
        <f t="shared" si="8"/>
        <v>76347772.429403752</v>
      </c>
      <c r="W27" s="2">
        <f t="shared" si="8"/>
        <v>80461465.798582435</v>
      </c>
      <c r="X27" s="2">
        <f t="shared" si="8"/>
        <v>84724392.427399158</v>
      </c>
      <c r="Y27" s="2">
        <f t="shared" si="8"/>
        <v>89141302.691167399</v>
      </c>
      <c r="Z27" s="2">
        <f t="shared" si="8"/>
        <v>93717089.670895845</v>
      </c>
      <c r="AA27" s="2">
        <f t="shared" si="8"/>
        <v>98456793.333133236</v>
      </c>
      <c r="AB27" s="2">
        <f t="shared" si="8"/>
        <v>103365604.83141395</v>
      </c>
      <c r="AC27" s="2">
        <f t="shared" si="8"/>
        <v>108448870.93286033</v>
      </c>
      <c r="AD27" s="2">
        <f t="shared" si="8"/>
        <v>113712098.57360281</v>
      </c>
      <c r="AE27" s="2">
        <f t="shared" si="8"/>
        <v>119160959.54678711</v>
      </c>
      <c r="AF27" s="2">
        <f t="shared" si="8"/>
        <v>124801295.3270501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3W2DU3RAJ5R2-1900874439-818</_dlc_DocId>
    <_dlc_DocIdUrl xmlns="f54e2983-00ce-40fc-8108-18f351fc47bf">
      <Url>https://dia.cohesion.net.nz/Sites/LGV/TWRP/CAE/_layouts/15/DocIdRedir.aspx?ID=3W2DU3RAJ5R2-1900874439-818</Url>
      <Description>3W2DU3RAJ5R2-1900874439-818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4C04BC2-E712-4257-AB63-50ADC010E6AB}"/>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2006/metadata/properti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08a23fc5-e034-477c-ac83-93bc1440f322"/>
    <ds:schemaRef ds:uri="65b6d800-2dda-48d6-88d8-9e2b35e6f7ea"/>
    <ds:schemaRef ds:uri="http://schemas.microsoft.com/sharepoint/v3"/>
    <ds:schemaRef ds:uri="http://www.w3.org/XML/1998/namespace"/>
  </ds:schemaRefs>
</ds:datastoreItem>
</file>

<file path=customXml/itemProps4.xml><?xml version="1.0" encoding="utf-8"?>
<ds:datastoreItem xmlns:ds="http://schemas.openxmlformats.org/officeDocument/2006/customXml" ds:itemID="{DAABA41F-18AC-46F9-9788-49F0D0E48E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2021-07-01T15:15:51Z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9b35a36c-6663-48c2-a56e-55bcfa6b56be</vt:lpwstr>
  </property>
</Properties>
</file>