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105" documentId="8_{43B607E9-9475-4989-AE05-B6235B797BB7}" xr6:coauthVersionLast="47" xr6:coauthVersionMax="47" xr10:uidLastSave="{3E48DD0E-D7BD-4A3C-9364-DF98A0D0BCFF}"/>
  <bookViews>
    <workbookView xWindow="-110" yWindow="-110" windowWidth="38620" windowHeight="212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<sst xmlns="http://schemas.openxmlformats.org/spreadsheetml/2006/main" count="276" uniqueCount="204">
  <si>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</si>
  <si>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</si>
  <si>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</si>
  <si>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</si>
  <si>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</si>
  <si>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</si>
  <si>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</si>
  <si>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</si>
  <si>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</si>
  <si>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</si>
  <si>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</si>
  <si>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</si>
  <si>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</si>
  <si>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</si>
  <si>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</si>
  <si>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</si>
  <si>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</si>
  <si>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</si>
  <si>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</si>
  <si>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</si>
  <si>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</si>
  <si>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</si>
  <si>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</si>
  <si>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</si>
  <si>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</si>
  <si>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</si>
  <si>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</si>
  <si>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</si>
  <si>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</si>
  <si>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</si>
  <si>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</si>
  <si>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</si>
  <si>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</si>
  <si>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</si>
  <si>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</si>
  <si>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</si>
  <si>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</si>
  <si>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</si>
  <si>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</si>
  <si>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</si>
  <si>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</si>
  <si>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</si>
  <si>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</si>
  <si>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</si>
  <si>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</si>
  <si>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</si>
  <si>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</si>
  <si>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</si>
  <si>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</si>
  <si>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</si>
  <si>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</si>
  <si>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</si>
  <si>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</si>
  <si>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</si>
  <si>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</si>
  <si>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</si>
  <si>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</si>
  <si>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</si>
  <si>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</si>
  <si>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</si>
  <si>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</si>
  <si>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</si>
  <si>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</si>
  <si>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</si>
  <si>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</si>
  <si>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</si>
  <si>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</si>
  <si>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</si>
  <si>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</si>
  <si>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</si>
  <si>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</si>
  <si>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</si>
  <si>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</si>
  <si>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</si>
  <si>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</si>
  <si>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</si>
  <si>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</si>
  <si>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</si>
  <si>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</si>
  <si>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</si>
  <si>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</si>
  <si>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</si>
  <si>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</si>
  <si>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</si>
  <si>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</si>
  <si>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</si>
  <si>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</si>
  <si>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</si>
  <si>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</si>
  <si>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</si>
  <si>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</si>
  <si>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</si>
  <si>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</si>
  <si>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</si>
  <si>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</si>
  <si>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</si>
  <si>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</si>
  <si>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</si>
  <si>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</si>
  <si>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</si>
  <si>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</si>
  <si>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</si>
  <si>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</si>
  <si>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</si>
  <si>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</si>
  <si>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</si>
  <si>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</si>
  <si>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</si>
  <si>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</si>
  <si>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</si>
  <si>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</si>
  <si>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</si>
  <si>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</si>
  <si>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</si>
  <si>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</si>
  <si>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</si>
  <si>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</si>
  <si>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</si>
  <si>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</si>
  <si>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</si>
  <si>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</si>
  <si>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</si>
  <si>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</si>
  <si>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</si>
  <si>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</si>
  <si>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</si>
  <si>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</si>
  <si>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</si>
  <si>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</si>
  <si>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</si>
  <si>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</si>
  <si>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</si>
  <si>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</si>
  <si>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</si>
  <si>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</si>
  <si>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</si>
  <si>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</si>
  <si>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</si>
  <si>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</si>
  <si>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</si>
  <si>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</si>
  <si>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</si>
  <si>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</si>
  <si>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</si>
  <si>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</si>
  <si>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</si>
  <si>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</si>
  <si>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</si>
  <si>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</si>
  <si>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</si>
  <si>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</si>
  <si>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</si>
  <si>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</si>
  <si>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</si>
  <si>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</si>
  <si>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</si>
  <si>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</si>
  <si>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</si>
  <si>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</si>
  <si>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</si>
  <si>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</si>
  <si>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</si>
  <si>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</si>
  <si>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</si>
  <si>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</si>
  <si>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</si>
  <si>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</si>
  <si>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</si>
  <si>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</si>
  <si>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</si>
  <si>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</si>
  <si>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</si>
  <si>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</si>
  <si>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</si>
  <si>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</si>
  <si>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(adjusted for projected inflation in RFI Table G5)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</si>
  <si>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</si>
  <si>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</si>
  <si>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</si>
  <si>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</si>
  <si>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</si>
  <si>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</si>
  <si>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</si>
  <si>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</si>
  <si>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</si>
  <si>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</si>
  <si>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</si>
  <si>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</si>
  <si>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</si>
  <si>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</si>
  <si>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</si>
  <si>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</si>
  <si>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</si>
  <si>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</si>
  <si>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Source / note</t>
  </si>
  <si>
    <t>Matamata-Piako Stand-alone Council</t>
  </si>
  <si>
    <t>RFI Table E1, E2 and E2b; Lines E1.22 + E2.21 + E2b.21 - E1.19 - E2.18 - E2b.18</t>
  </si>
  <si>
    <t>RFI Table J1; Sum of lines J1.1 to J1.30 (Column I) due to Column J being blank</t>
  </si>
  <si>
    <t>RFI Table A1; Line A1.43</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</si>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</sst>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3">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8" fillId="0" borderId="0" xfId="0" applyFont="1" applyAlignment="1">
      <alignment horizontal="left" vertical="center" wrapText="1"/>
    </xf>
    <xf numFmtId="0" fontId="0" fillId="0" borderId="0" xfId="0" applyAlignment="1">
      <alignment horizontal="right"/>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195</v>
      </c>
      <c r="C2" s="171"/>
      <c r="D2" s="60"/>
      <c r="E2" s="14"/>
      <c r="F2" s="60"/>
    </row>
    <row r="3" spans="1:6" x14ac:dyDescent="0.35">
      <c r="C3" s="14"/>
      <c r="D3" s="14"/>
    </row>
    <row r="4" spans="1:6" x14ac:dyDescent="0.35">
      <c r="A4" s="14" t="s">
        <v>157</v>
      </c>
      <c r="B4" s="14"/>
      <c r="D4" s="14"/>
    </row>
    <row r="6" spans="1:6" ht="21" x14ac:dyDescent="0.5">
      <c r="A6" s="15" t="s">
        <v>166</v>
      </c>
    </row>
    <row r="7" spans="1:6" ht="241" customHeight="1" x14ac:dyDescent="0.35">
      <c r="A7" s="107">
        <v>1</v>
      </c>
      <c r="B7" s="104" t="s">
        <v>167</v>
      </c>
    </row>
    <row r="8" spans="1:6" ht="408" customHeight="1" x14ac:dyDescent="0.35">
      <c r="A8" s="107">
        <v>2</v>
      </c>
      <c r="B8" s="104" t="s">
        <v>188</v>
      </c>
    </row>
    <row r="9" spans="1:6" ht="195.5" customHeight="1" x14ac:dyDescent="0.35">
      <c r="A9" s="107">
        <f>A8+1</f>
        <v>3</v>
      </c>
      <c r="B9" s="105" t="s">
        <v>171</v>
      </c>
    </row>
    <row r="10" spans="1:6" ht="236" customHeight="1" x14ac:dyDescent="0.35">
      <c r="A10" s="107">
        <v>4</v>
      </c>
      <c r="B10" s="105" t="s">
        <v>172</v>
      </c>
    </row>
    <row r="11" spans="1:6" ht="21" x14ac:dyDescent="0.35">
      <c r="A11" s="107">
        <f>A10+1</f>
        <v>5</v>
      </c>
      <c r="B11" s="63" t="s">
        <v>186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163</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189</v>
      </c>
      <c r="B6" s="1">
        <f>Assumptions!C17</f>
        <v>307900000.00000006</v>
      </c>
      <c r="C6" s="12">
        <f ca="1">B6+Depreciation!C18+'Cash Flow'!C13</f>
        <v>317632374.14140075</v>
      </c>
      <c r="D6" s="1">
        <f ca="1">C6+Depreciation!D18</f>
        <v>343795919.18264025</v>
      </c>
      <c r="E6" s="1">
        <f ca="1">D6+Depreciation!E18</f>
        <v>371309958.98073596</v>
      </c>
      <c r="F6" s="1">
        <f ca="1">E6+Depreciation!F18</f>
        <v>400234133.73000443</v>
      </c>
      <c r="G6" s="1">
        <f ca="1">F6+Depreciation!G18</f>
        <v>430630517.69056749</v>
      </c>
      <c r="H6" s="1">
        <f ca="1">G6+Depreciation!H18</f>
        <v>462563713.89700472</v>
      </c>
      <c r="I6" s="1">
        <f ca="1">H6+Depreciation!I18</f>
        <v>496100952.43587643</v>
      </c>
      <c r="J6" s="1">
        <f ca="1">I6+Depreciation!J18</f>
        <v>531312192.4235431</v>
      </c>
      <c r="K6" s="1">
        <f ca="1">J6+Depreciation!K18</f>
        <v>568270227.82046378</v>
      </c>
      <c r="L6" s="1">
        <f ca="1">K6+Depreciation!L18</f>
        <v>607050797.22308326</v>
      </c>
      <c r="M6" s="1">
        <f ca="1">L6+Depreciation!M18</f>
        <v>647732697.77951992</v>
      </c>
      <c r="N6" s="1">
        <f ca="1">M6+Depreciation!N18</f>
        <v>690397903.38054979</v>
      </c>
      <c r="O6" s="1">
        <f ca="1">N6+Depreciation!O18</f>
        <v>735131687.28285694</v>
      </c>
      <c r="P6" s="1">
        <f ca="1">O6+Depreciation!P18</f>
        <v>782022749.32718778</v>
      </c>
      <c r="Q6" s="1">
        <f ca="1">P6+Depreciation!Q18</f>
        <v>831163347.9199158</v>
      </c>
      <c r="R6" s="1">
        <f ca="1">Q6+Depreciation!R18</f>
        <v>882649436.95260501</v>
      </c>
      <c r="S6" s="1">
        <f ca="1">R6+Depreciation!S18</f>
        <v>936580807.84045398</v>
      </c>
      <c r="T6" s="1">
        <f ca="1">S6+Depreciation!T18</f>
        <v>993061236.86702347</v>
      </c>
      <c r="U6" s="1">
        <f ca="1">T6+Depreciation!U18</f>
        <v>1052198638.0294025</v>
      </c>
      <c r="V6" s="1">
        <f ca="1">U6+Depreciation!V18</f>
        <v>1114105221.5849595</v>
      </c>
      <c r="W6" s="1">
        <f ca="1">V6+Depreciation!W18</f>
        <v>1178897658.5080678</v>
      </c>
      <c r="X6" s="1">
        <f ca="1">W6+Depreciation!X18</f>
        <v>1246697251.0726898</v>
      </c>
      <c r="Y6" s="1">
        <f ca="1">X6+Depreciation!Y18</f>
        <v>1317630109.7844729</v>
      </c>
      <c r="Z6" s="1">
        <f ca="1">Y6+Depreciation!Z18</f>
        <v>1391827336.8940494</v>
      </c>
      <c r="AA6" s="1">
        <f ca="1">Z6+Depreciation!AA18</f>
        <v>1469425216.7315571</v>
      </c>
      <c r="AB6" s="1">
        <f ca="1">AA6+Depreciation!AB18</f>
        <v>1550565413.1110234</v>
      </c>
      <c r="AC6" s="1">
        <f ca="1">AB6+Depreciation!AC18</f>
        <v>1635395174.06218</v>
      </c>
      <c r="AD6" s="1">
        <f ca="1">AC6+Depreciation!AD18</f>
        <v>1724067544.1565228</v>
      </c>
      <c r="AE6" s="1">
        <f ca="1">AD6+Depreciation!AE18</f>
        <v>1816741584.7040014</v>
      </c>
      <c r="AF6" s="1"/>
      <c r="AG6" s="1"/>
      <c r="AH6" s="1"/>
      <c r="AI6" s="1"/>
      <c r="AJ6" s="1"/>
      <c r="AK6" s="1"/>
      <c r="AL6" s="1"/>
      <c r="AM6" s="1"/>
      <c r="AN6" s="1"/>
      <c r="AO6" s="1"/>
      <c r="AP6" s="1"/>
    </row>
    <row r="7" spans="1:42" x14ac:dyDescent="0.35">
      <c r="A7" t="s">
        <v>12</v>
      </c>
      <c r="B7" s="1">
        <f>Depreciation!C12</f>
        <v>158740154.04316443</v>
      </c>
      <c r="C7" s="1">
        <f>Depreciation!D12</f>
        <v>164180939.25169513</v>
      </c>
      <c r="D7" s="1">
        <f>Depreciation!E12</f>
        <v>170309090.90243533</v>
      </c>
      <c r="E7" s="1">
        <f>Depreciation!F12</f>
        <v>177163029.08363295</v>
      </c>
      <c r="F7" s="1">
        <f>Depreciation!G12</f>
        <v>184782928.90594685</v>
      </c>
      <c r="G7" s="1">
        <f>Depreciation!H12</f>
        <v>193210793.48171094</v>
      </c>
      <c r="H7" s="1">
        <f>Depreciation!I12</f>
        <v>202490529.77772799</v>
      </c>
      <c r="I7" s="1">
        <f>Depreciation!J12</f>
        <v>212668027.45076862</v>
      </c>
      <c r="J7" s="1">
        <f>Depreciation!K12</f>
        <v>223791240.77899519</v>
      </c>
      <c r="K7" s="1">
        <f>Depreciation!L12</f>
        <v>235910273.80672246</v>
      </c>
      <c r="L7" s="1">
        <f>Depreciation!M12</f>
        <v>249077468.82427031</v>
      </c>
      <c r="M7" s="1">
        <f>Depreciation!N12</f>
        <v>263347498.30916688</v>
      </c>
      <c r="N7" s="1">
        <f>Depreciation!O12</f>
        <v>278777460.45962459</v>
      </c>
      <c r="O7" s="1">
        <f>Depreciation!P12</f>
        <v>295426978.4560467</v>
      </c>
      <c r="P7" s="1">
        <f>Depreciation!Q12</f>
        <v>313358303.59133291</v>
      </c>
      <c r="Q7" s="1">
        <f>Depreciation!R12</f>
        <v>332636422.41594219</v>
      </c>
      <c r="R7" s="1">
        <f>Depreciation!S12</f>
        <v>353329168.04905272</v>
      </c>
      <c r="S7" s="1">
        <f>Depreciation!T12</f>
        <v>375507335.81273216</v>
      </c>
      <c r="T7" s="1">
        <f>Depreciation!U12</f>
        <v>399244803.35180855</v>
      </c>
      <c r="U7" s="1">
        <f>Depreciation!V12</f>
        <v>424618655.40811735</v>
      </c>
      <c r="V7" s="1">
        <f>Depreciation!W12</f>
        <v>451709313.42400146</v>
      </c>
      <c r="W7" s="1">
        <f>Depreciation!X12</f>
        <v>480600670.15636796</v>
      </c>
      <c r="X7" s="1">
        <f>Depreciation!Y12</f>
        <v>511380229.48926353</v>
      </c>
      <c r="Y7" s="1">
        <f>Depreciation!Z12</f>
        <v>544139251.63982797</v>
      </c>
      <c r="Z7" s="1">
        <f>Depreciation!AA12</f>
        <v>578972903.95963538</v>
      </c>
      <c r="AA7" s="1">
        <f>Depreciation!AB12</f>
        <v>615980417.54083502</v>
      </c>
      <c r="AB7" s="1">
        <f>Depreciation!AC12</f>
        <v>655265249.84418046</v>
      </c>
      <c r="AC7" s="1">
        <f>Depreciation!AD12</f>
        <v>696935253.57398188</v>
      </c>
      <c r="AD7" s="1">
        <f>Depreciation!AE12</f>
        <v>741102852.03325403</v>
      </c>
      <c r="AE7" s="1">
        <f>Depreciation!AF12</f>
        <v>787885221.20086348</v>
      </c>
      <c r="AF7" s="1"/>
      <c r="AG7" s="1"/>
      <c r="AH7" s="1"/>
      <c r="AI7" s="1"/>
      <c r="AJ7" s="1"/>
      <c r="AK7" s="1"/>
      <c r="AL7" s="1"/>
      <c r="AM7" s="1"/>
      <c r="AN7" s="1"/>
      <c r="AO7" s="1"/>
      <c r="AP7" s="1"/>
    </row>
    <row r="8" spans="1:42" x14ac:dyDescent="0.35">
      <c r="A8" t="s">
        <v>190</v>
      </c>
      <c r="B8" s="1">
        <f t="shared" ref="B8:AE8" si="1">B6-B7</f>
        <v>149159845.95683563</v>
      </c>
      <c r="C8" s="1">
        <f t="shared" ca="1" si="1"/>
        <v>153451434.88970563</v>
      </c>
      <c r="D8" s="1">
        <f ca="1">D6-D7</f>
        <v>173486828.28020492</v>
      </c>
      <c r="E8" s="1">
        <f t="shared" ca="1" si="1"/>
        <v>194146929.89710301</v>
      </c>
      <c r="F8" s="1">
        <f t="shared" ca="1" si="1"/>
        <v>215451204.82405758</v>
      </c>
      <c r="G8" s="1">
        <f t="shared" ca="1" si="1"/>
        <v>237419724.20885655</v>
      </c>
      <c r="H8" s="1">
        <f t="shared" ca="1" si="1"/>
        <v>260073184.11927673</v>
      </c>
      <c r="I8" s="1">
        <f t="shared" ca="1" si="1"/>
        <v>283432924.98510778</v>
      </c>
      <c r="J8" s="1">
        <f t="shared" ca="1" si="1"/>
        <v>307520951.64454794</v>
      </c>
      <c r="K8" s="1">
        <f t="shared" ca="1" si="1"/>
        <v>332359954.01374131</v>
      </c>
      <c r="L8" s="1">
        <f t="shared" ca="1" si="1"/>
        <v>357973328.39881295</v>
      </c>
      <c r="M8" s="1">
        <f t="shared" ca="1" si="1"/>
        <v>384385199.47035301</v>
      </c>
      <c r="N8" s="1">
        <f t="shared" ca="1" si="1"/>
        <v>411620442.9209252</v>
      </c>
      <c r="O8" s="1">
        <f t="shared" ca="1" si="1"/>
        <v>439704708.82681024</v>
      </c>
      <c r="P8" s="1">
        <f t="shared" ca="1" si="1"/>
        <v>468664445.73585486</v>
      </c>
      <c r="Q8" s="1">
        <f t="shared" ca="1" si="1"/>
        <v>498526925.5039736</v>
      </c>
      <c r="R8" s="1">
        <f t="shared" ca="1" si="1"/>
        <v>529320268.90355229</v>
      </c>
      <c r="S8" s="1">
        <f t="shared" ca="1" si="1"/>
        <v>561073472.02772188</v>
      </c>
      <c r="T8" s="1">
        <f t="shared" ca="1" si="1"/>
        <v>593816433.51521492</v>
      </c>
      <c r="U8" s="1">
        <f t="shared" ca="1" si="1"/>
        <v>627579982.6212852</v>
      </c>
      <c r="V8" s="1">
        <f t="shared" ca="1" si="1"/>
        <v>662395908.16095805</v>
      </c>
      <c r="W8" s="1">
        <f t="shared" ca="1" si="1"/>
        <v>698296988.35169983</v>
      </c>
      <c r="X8" s="1">
        <f t="shared" ca="1" si="1"/>
        <v>735317021.58342624</v>
      </c>
      <c r="Y8" s="1">
        <f t="shared" ca="1" si="1"/>
        <v>773490858.14464498</v>
      </c>
      <c r="Z8" s="1">
        <f t="shared" ca="1" si="1"/>
        <v>812854432.93441403</v>
      </c>
      <c r="AA8" s="1">
        <f t="shared" ca="1" si="1"/>
        <v>853444799.19072211</v>
      </c>
      <c r="AB8" s="1">
        <f t="shared" ca="1" si="1"/>
        <v>895300163.26684296</v>
      </c>
      <c r="AC8" s="1">
        <f t="shared" ca="1" si="1"/>
        <v>938459920.48819816</v>
      </c>
      <c r="AD8" s="1">
        <f t="shared" ca="1" si="1"/>
        <v>982964692.12326872</v>
      </c>
      <c r="AE8" s="1">
        <f t="shared" ca="1" si="1"/>
        <v>1028856363.5031379</v>
      </c>
      <c r="AF8" s="1"/>
      <c r="AG8" s="1"/>
      <c r="AH8" s="1"/>
      <c r="AI8" s="1"/>
      <c r="AJ8" s="1"/>
      <c r="AK8" s="1"/>
      <c r="AL8" s="1"/>
      <c r="AM8" s="1"/>
      <c r="AN8" s="1"/>
      <c r="AO8" s="1"/>
      <c r="AP8" s="1"/>
    </row>
    <row r="10" spans="1:42" x14ac:dyDescent="0.35">
      <c r="A10" t="s">
        <v>17</v>
      </c>
      <c r="B10" s="1">
        <f>B8-B11</f>
        <v>135644845.95683563</v>
      </c>
      <c r="C10" s="1">
        <f ca="1">C8-C11</f>
        <v>124798461.35159615</v>
      </c>
      <c r="D10" s="1">
        <f ca="1">D8-D11</f>
        <v>130009935.81233427</v>
      </c>
      <c r="E10" s="1">
        <f t="shared" ref="E10:AE10" ca="1" si="2">E8-E11</f>
        <v>136562149.79592338</v>
      </c>
      <c r="F10" s="1">
        <f t="shared" ca="1" si="2"/>
        <v>144175625.82273832</v>
      </c>
      <c r="G10" s="1">
        <f ca="1">G8-G11</f>
        <v>153208951.95113531</v>
      </c>
      <c r="H10" s="1">
        <f t="shared" ca="1" si="2"/>
        <v>163415775.03177994</v>
      </c>
      <c r="I10" s="1">
        <f t="shared" ca="1" si="2"/>
        <v>175109024.7273964</v>
      </c>
      <c r="J10" s="1">
        <f t="shared" ca="1" si="2"/>
        <v>188649897.50520545</v>
      </c>
      <c r="K10" s="1">
        <f t="shared" ca="1" si="2"/>
        <v>204000174.52980632</v>
      </c>
      <c r="L10" s="1">
        <f t="shared" ca="1" si="2"/>
        <v>221029133.81643426</v>
      </c>
      <c r="M10" s="1">
        <f t="shared" ca="1" si="2"/>
        <v>238961584.49532539</v>
      </c>
      <c r="N10" s="1">
        <f t="shared" ca="1" si="2"/>
        <v>257937719.58640844</v>
      </c>
      <c r="O10" s="1">
        <f t="shared" ca="1" si="2"/>
        <v>278114092.586483</v>
      </c>
      <c r="P10" s="1">
        <f t="shared" ca="1" si="2"/>
        <v>299007358.23278576</v>
      </c>
      <c r="Q10" s="1">
        <f t="shared" ca="1" si="2"/>
        <v>320705900.76635325</v>
      </c>
      <c r="R10" s="1">
        <f t="shared" ca="1" si="2"/>
        <v>343307910.48922133</v>
      </c>
      <c r="S10" s="1">
        <f t="shared" ca="1" si="2"/>
        <v>366922235.20069569</v>
      </c>
      <c r="T10" s="1">
        <f t="shared" ca="1" si="2"/>
        <v>391669295.14365536</v>
      </c>
      <c r="U10" s="1">
        <f t="shared" ca="1" si="2"/>
        <v>417682065.77949923</v>
      </c>
      <c r="V10" s="1">
        <f t="shared" ca="1" si="2"/>
        <v>444648333.19288176</v>
      </c>
      <c r="W10" s="1">
        <f t="shared" ca="1" si="2"/>
        <v>472180076.66386569</v>
      </c>
      <c r="X10" s="1">
        <f t="shared" ca="1" si="2"/>
        <v>500316091.82627845</v>
      </c>
      <c r="Y10" s="1">
        <f t="shared" ca="1" si="2"/>
        <v>529099465.96982205</v>
      </c>
      <c r="Z10" s="1">
        <f t="shared" ca="1" si="2"/>
        <v>558577951.15659988</v>
      </c>
      <c r="AA10" s="1">
        <f t="shared" ca="1" si="2"/>
        <v>588804364.1096164</v>
      </c>
      <c r="AB10" s="1">
        <f t="shared" ca="1" si="2"/>
        <v>617650993.92498326</v>
      </c>
      <c r="AC10" s="1">
        <f t="shared" ca="1" si="2"/>
        <v>644937003.63074255</v>
      </c>
      <c r="AD10" s="1">
        <f t="shared" ca="1" si="2"/>
        <v>670469496.85242462</v>
      </c>
      <c r="AE10" s="1">
        <f t="shared" ca="1" si="2"/>
        <v>694042867.54756796</v>
      </c>
      <c r="AF10" s="1"/>
      <c r="AG10" s="1"/>
      <c r="AH10" s="1"/>
      <c r="AI10" s="1"/>
      <c r="AJ10" s="1"/>
      <c r="AK10" s="1"/>
      <c r="AL10" s="1"/>
      <c r="AM10" s="1"/>
      <c r="AN10" s="1"/>
      <c r="AO10" s="1"/>
    </row>
    <row r="11" spans="1:42" x14ac:dyDescent="0.35">
      <c r="A11" t="s">
        <v>9</v>
      </c>
      <c r="B11" s="1">
        <f>Assumptions!$C$20</f>
        <v>13515000</v>
      </c>
      <c r="C11" s="1">
        <f ca="1">'Debt worksheet'!D5</f>
        <v>28652973.538109489</v>
      </c>
      <c r="D11" s="1">
        <f ca="1">'Debt worksheet'!E5</f>
        <v>43476892.46787066</v>
      </c>
      <c r="E11" s="1">
        <f ca="1">'Debt worksheet'!F5</f>
        <v>57584780.101179637</v>
      </c>
      <c r="F11" s="1">
        <f ca="1">'Debt worksheet'!G5</f>
        <v>71275579.001319259</v>
      </c>
      <c r="G11" s="1">
        <f ca="1">'Debt worksheet'!H5</f>
        <v>84210772.257721245</v>
      </c>
      <c r="H11" s="1">
        <f ca="1">'Debt worksheet'!I5</f>
        <v>96657409.087496787</v>
      </c>
      <c r="I11" s="1">
        <f ca="1">'Debt worksheet'!J5</f>
        <v>108323900.25771138</v>
      </c>
      <c r="J11" s="1">
        <f ca="1">'Debt worksheet'!K5</f>
        <v>118871054.13934247</v>
      </c>
      <c r="K11" s="1">
        <f ca="1">'Debt worksheet'!L5</f>
        <v>128359779.48393498</v>
      </c>
      <c r="L11" s="1">
        <f ca="1">'Debt worksheet'!M5</f>
        <v>136944194.58237869</v>
      </c>
      <c r="M11" s="1">
        <f ca="1">'Debt worksheet'!N5</f>
        <v>145423614.97502762</v>
      </c>
      <c r="N11" s="1">
        <f ca="1">'Debt worksheet'!O5</f>
        <v>153682723.33451676</v>
      </c>
      <c r="O11" s="1">
        <f ca="1">'Debt worksheet'!P5</f>
        <v>161590616.24032721</v>
      </c>
      <c r="P11" s="1">
        <f ca="1">'Debt worksheet'!Q5</f>
        <v>169657087.5030691</v>
      </c>
      <c r="Q11" s="1">
        <f ca="1">'Debt worksheet'!R5</f>
        <v>177821024.73762035</v>
      </c>
      <c r="R11" s="1">
        <f ca="1">'Debt worksheet'!S5</f>
        <v>186012358.41433093</v>
      </c>
      <c r="S11" s="1">
        <f ca="1">'Debt worksheet'!T5</f>
        <v>194151236.82702619</v>
      </c>
      <c r="T11" s="1">
        <f ca="1">'Debt worksheet'!U5</f>
        <v>202147138.37155956</v>
      </c>
      <c r="U11" s="1">
        <f ca="1">'Debt worksheet'!V5</f>
        <v>209897916.84178597</v>
      </c>
      <c r="V11" s="1">
        <f ca="1">'Debt worksheet'!W5</f>
        <v>217747574.96807629</v>
      </c>
      <c r="W11" s="1">
        <f ca="1">'Debt worksheet'!X5</f>
        <v>226116911.68783411</v>
      </c>
      <c r="X11" s="1">
        <f ca="1">'Debt worksheet'!Y5</f>
        <v>235000929.75714779</v>
      </c>
      <c r="Y11" s="1">
        <f ca="1">'Debt worksheet'!Z5</f>
        <v>244391392.1748229</v>
      </c>
      <c r="Z11" s="1">
        <f ca="1">'Debt worksheet'!AA5</f>
        <v>254276481.77781418</v>
      </c>
      <c r="AA11" s="1">
        <f ca="1">'Debt worksheet'!AB5</f>
        <v>264640435.08110571</v>
      </c>
      <c r="AB11" s="1">
        <f ca="1">'Debt worksheet'!AC5</f>
        <v>277649169.34185976</v>
      </c>
      <c r="AC11" s="1">
        <f ca="1">'Debt worksheet'!AD5</f>
        <v>293522916.85745567</v>
      </c>
      <c r="AD11" s="1">
        <f ca="1">'Debt worksheet'!AE5</f>
        <v>312495195.27084416</v>
      </c>
      <c r="AE11" s="1">
        <f ca="1">'Debt worksheet'!AF5</f>
        <v>334813495.95556998</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164</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4942220.0982362814</v>
      </c>
      <c r="D5" s="4">
        <f ca="1">'Profit and Loss'!D9</f>
        <v>5898840.9029476568</v>
      </c>
      <c r="E5" s="4">
        <f ca="1">'Profit and Loss'!E9</f>
        <v>7278000.5140465312</v>
      </c>
      <c r="F5" s="4">
        <f ca="1">'Profit and Loss'!F9</f>
        <v>8379437.6679312605</v>
      </c>
      <c r="G5" s="4">
        <f ca="1">'Profit and Loss'!G9</f>
        <v>9841290.8818471786</v>
      </c>
      <c r="H5" s="4">
        <f ca="1">'Profit and Loss'!H9</f>
        <v>11058694.800897576</v>
      </c>
      <c r="I5" s="4">
        <f ca="1">'Profit and Loss'!I9</f>
        <v>12591011.072640074</v>
      </c>
      <c r="J5" s="4">
        <f ca="1">'Profit and Loss'!J9</f>
        <v>14486588.432994932</v>
      </c>
      <c r="K5" s="4">
        <f ca="1">'Profit and Loss'!K9</f>
        <v>16346096.724101543</v>
      </c>
      <c r="L5" s="4">
        <f ca="1">'Profit and Loss'!L9</f>
        <v>18077121.27644857</v>
      </c>
      <c r="M5" s="4">
        <f ca="1">'Profit and Loss'!M9</f>
        <v>19035285.146239862</v>
      </c>
      <c r="N5" s="4">
        <f ca="1">'Profit and Loss'!N9</f>
        <v>20136067.756644107</v>
      </c>
      <c r="O5" s="4">
        <f ca="1">'Profit and Loss'!O9</f>
        <v>21395928.846039072</v>
      </c>
      <c r="P5" s="4">
        <f ca="1">'Profit and Loss'!P9</f>
        <v>22175072.7851668</v>
      </c>
      <c r="Q5" s="4">
        <f ca="1">'Profit and Loss'!Q9</f>
        <v>23045336.222890526</v>
      </c>
      <c r="R5" s="4">
        <f ca="1">'Profit and Loss'!R9</f>
        <v>24016636.531369328</v>
      </c>
      <c r="S5" s="4">
        <f ca="1">'Profit and Loss'!S9</f>
        <v>25099746.842043225</v>
      </c>
      <c r="T5" s="4">
        <f ca="1">'Profit and Loss'!T9</f>
        <v>26306359.718356736</v>
      </c>
      <c r="U5" s="4">
        <f ca="1">'Profit and Loss'!U9</f>
        <v>27649155.153076179</v>
      </c>
      <c r="V5" s="4">
        <f ca="1">'Profit and Loss'!V9</f>
        <v>28683073.372957949</v>
      </c>
      <c r="W5" s="4">
        <f ca="1">'Profit and Loss'!W9</f>
        <v>29332442.18746639</v>
      </c>
      <c r="X5" s="4">
        <f ca="1">'Profit and Loss'!X9</f>
        <v>30024217.762941703</v>
      </c>
      <c r="Y5" s="4">
        <f ca="1">'Profit and Loss'!Y9</f>
        <v>30762836.961212456</v>
      </c>
      <c r="Z5" s="4">
        <f ca="1">'Profit and Loss'!Z9</f>
        <v>31553115.356020674</v>
      </c>
      <c r="AA5" s="4">
        <f ca="1">'Profit and Loss'!AA9</f>
        <v>32400274.214408807</v>
      </c>
      <c r="AB5" s="4">
        <f ca="1">'Profit and Loss'!AB9</f>
        <v>31123948.537512712</v>
      </c>
      <c r="AC5" s="4">
        <f ca="1">'Profit and Loss'!AC9</f>
        <v>29671181.132215373</v>
      </c>
      <c r="AD5" s="4">
        <f ca="1">'Profit and Loss'!AD9</f>
        <v>28030087.951152779</v>
      </c>
      <c r="AE5" s="4">
        <f ca="1">'Profit and Loss'!AE9</f>
        <v>26188141.403480731</v>
      </c>
      <c r="AF5" s="4">
        <f ca="1">'Profit and Loss'!AF9</f>
        <v>24132139.098464802</v>
      </c>
      <c r="AG5" s="4"/>
      <c r="AH5" s="4"/>
      <c r="AI5" s="4"/>
      <c r="AJ5" s="4"/>
      <c r="AK5" s="4"/>
      <c r="AL5" s="4"/>
      <c r="AM5" s="4"/>
      <c r="AN5" s="4"/>
      <c r="AO5" s="4"/>
      <c r="AP5" s="4"/>
    </row>
    <row r="6" spans="1:42" x14ac:dyDescent="0.35">
      <c r="A6" t="s">
        <v>21</v>
      </c>
      <c r="C6" s="4">
        <f>Depreciation!C8+Depreciation!C9</f>
        <v>4790154.043164419</v>
      </c>
      <c r="D6" s="4">
        <f>Depreciation!D8+Depreciation!D9</f>
        <v>5440785.2085306924</v>
      </c>
      <c r="E6" s="4">
        <f>Depreciation!E8+Depreciation!E9</f>
        <v>6128151.6507402062</v>
      </c>
      <c r="F6" s="4">
        <f>Depreciation!F8+Depreciation!F9</f>
        <v>6853938.1811975949</v>
      </c>
      <c r="G6" s="4">
        <f>Depreciation!G8+Depreciation!G9</f>
        <v>7619899.8223138982</v>
      </c>
      <c r="H6" s="4">
        <f>Depreciation!H8+Depreciation!H9</f>
        <v>8427864.5757640973</v>
      </c>
      <c r="I6" s="4">
        <f>Depreciation!I8+Depreciation!I9</f>
        <v>9279736.2960170582</v>
      </c>
      <c r="J6" s="4">
        <f>Depreciation!J8+Depreciation!J9</f>
        <v>10177497.67304063</v>
      </c>
      <c r="K6" s="4">
        <f>Depreciation!K8+Depreciation!K9</f>
        <v>11123213.328226589</v>
      </c>
      <c r="L6" s="4">
        <f>Depreciation!L8+Depreciation!L9</f>
        <v>12119033.027727254</v>
      </c>
      <c r="M6" s="4">
        <f>Depreciation!M8+Depreciation!M9</f>
        <v>13167195.017547857</v>
      </c>
      <c r="N6" s="4">
        <f>Depreciation!N8+Depreciation!N9</f>
        <v>14270029.484896585</v>
      </c>
      <c r="O6" s="4">
        <f>Depreciation!O8+Depreciation!O9</f>
        <v>15429962.150457669</v>
      </c>
      <c r="P6" s="4">
        <f>Depreciation!P8+Depreciation!P9</f>
        <v>16649517.996422116</v>
      </c>
      <c r="Q6" s="4">
        <f>Depreciation!Q8+Depreciation!Q9</f>
        <v>17931325.135286227</v>
      </c>
      <c r="R6" s="4">
        <f>Depreciation!R8+Depreciation!R9</f>
        <v>19278118.824609306</v>
      </c>
      <c r="S6" s="4">
        <f>Depreciation!S8+Depreciation!S9</f>
        <v>20692745.633110531</v>
      </c>
      <c r="T6" s="4">
        <f>Depreciation!T8+Depreciation!T9</f>
        <v>22178167.763679422</v>
      </c>
      <c r="U6" s="4">
        <f>Depreciation!U8+Depreciation!U9</f>
        <v>23737467.539076421</v>
      </c>
      <c r="V6" s="4">
        <f>Depreciation!V8+Depreciation!V9</f>
        <v>25373852.056308836</v>
      </c>
      <c r="W6" s="4">
        <f>Depreciation!W8+Depreciation!W9</f>
        <v>27090658.015884098</v>
      </c>
      <c r="X6" s="4">
        <f>Depreciation!X8+Depreciation!X9</f>
        <v>28891356.73236651</v>
      </c>
      <c r="Y6" s="4">
        <f>Depreciation!Y8+Depreciation!Y9</f>
        <v>30779559.332895536</v>
      </c>
      <c r="Z6" s="4">
        <f>Depreciation!Z8+Depreciation!Z9</f>
        <v>32759022.150564484</v>
      </c>
      <c r="AA6" s="4">
        <f>Depreciation!AA8+Depreciation!AA9</f>
        <v>34833652.319807366</v>
      </c>
      <c r="AB6" s="4">
        <f>Depreciation!AB8+Depreciation!AB9</f>
        <v>37007513.581199586</v>
      </c>
      <c r="AC6" s="4">
        <f>Depreciation!AC8+Depreciation!AC9</f>
        <v>39284832.303345442</v>
      </c>
      <c r="AD6" s="4">
        <f>Depreciation!AD8+Depreciation!AD9</f>
        <v>41670003.729801491</v>
      </c>
      <c r="AE6" s="4">
        <f>Depreciation!AE8+Depreciation!AE9</f>
        <v>44167598.459272102</v>
      </c>
      <c r="AF6" s="4">
        <f>Depreciation!AF8+Depreciation!AF9</f>
        <v>46782369.167609505</v>
      </c>
      <c r="AG6" s="4"/>
      <c r="AH6" s="4"/>
      <c r="AI6" s="4"/>
      <c r="AJ6" s="4"/>
      <c r="AK6" s="4"/>
      <c r="AL6" s="4"/>
      <c r="AM6" s="4"/>
      <c r="AN6" s="4"/>
      <c r="AO6" s="4"/>
      <c r="AP6" s="4"/>
    </row>
    <row r="7" spans="1:42" x14ac:dyDescent="0.35">
      <c r="A7" t="s">
        <v>23</v>
      </c>
      <c r="C7" s="4">
        <f ca="1">C6+C5</f>
        <v>9732374.1414007004</v>
      </c>
      <c r="D7" s="4">
        <f ca="1">D6+D5</f>
        <v>11339626.111478349</v>
      </c>
      <c r="E7" s="4">
        <f t="shared" ref="E7:AF7" ca="1" si="1">E6+E5</f>
        <v>13406152.164786737</v>
      </c>
      <c r="F7" s="4">
        <f t="shared" ca="1" si="1"/>
        <v>15233375.849128855</v>
      </c>
      <c r="G7" s="4">
        <f ca="1">G6+G5</f>
        <v>17461190.704161078</v>
      </c>
      <c r="H7" s="4">
        <f t="shared" ca="1" si="1"/>
        <v>19486559.376661673</v>
      </c>
      <c r="I7" s="4">
        <f t="shared" ca="1" si="1"/>
        <v>21870747.368657134</v>
      </c>
      <c r="J7" s="4">
        <f t="shared" ca="1" si="1"/>
        <v>24664086.10603556</v>
      </c>
      <c r="K7" s="4">
        <f t="shared" ca="1" si="1"/>
        <v>27469310.052328132</v>
      </c>
      <c r="L7" s="4">
        <f t="shared" ca="1" si="1"/>
        <v>30196154.304175824</v>
      </c>
      <c r="M7" s="4">
        <f t="shared" ca="1" si="1"/>
        <v>32202480.163787719</v>
      </c>
      <c r="N7" s="4">
        <f t="shared" ca="1" si="1"/>
        <v>34406097.241540693</v>
      </c>
      <c r="O7" s="4">
        <f t="shared" ca="1" si="1"/>
        <v>36825890.996496737</v>
      </c>
      <c r="P7" s="4">
        <f t="shared" ca="1" si="1"/>
        <v>38824590.781588912</v>
      </c>
      <c r="Q7" s="4">
        <f t="shared" ca="1" si="1"/>
        <v>40976661.358176753</v>
      </c>
      <c r="R7" s="4">
        <f t="shared" ca="1" si="1"/>
        <v>43294755.355978638</v>
      </c>
      <c r="S7" s="4">
        <f t="shared" ca="1" si="1"/>
        <v>45792492.475153759</v>
      </c>
      <c r="T7" s="4">
        <f t="shared" ca="1" si="1"/>
        <v>48484527.482036158</v>
      </c>
      <c r="U7" s="4">
        <f t="shared" ca="1" si="1"/>
        <v>51386622.692152604</v>
      </c>
      <c r="V7" s="4">
        <f t="shared" ca="1" si="1"/>
        <v>54056925.429266781</v>
      </c>
      <c r="W7" s="4">
        <f t="shared" ca="1" si="1"/>
        <v>56423100.203350484</v>
      </c>
      <c r="X7" s="4">
        <f t="shared" ca="1" si="1"/>
        <v>58915574.495308213</v>
      </c>
      <c r="Y7" s="4">
        <f t="shared" ca="1" si="1"/>
        <v>61542396.294107988</v>
      </c>
      <c r="Z7" s="4">
        <f t="shared" ca="1" si="1"/>
        <v>64312137.506585158</v>
      </c>
      <c r="AA7" s="4">
        <f t="shared" ca="1" si="1"/>
        <v>67233926.534216166</v>
      </c>
      <c r="AB7" s="4">
        <f t="shared" ca="1" si="1"/>
        <v>68131462.118712306</v>
      </c>
      <c r="AC7" s="4">
        <f t="shared" ca="1" si="1"/>
        <v>68956013.435560822</v>
      </c>
      <c r="AD7" s="4">
        <f t="shared" ca="1" si="1"/>
        <v>69700091.680954278</v>
      </c>
      <c r="AE7" s="4">
        <f t="shared" ca="1" si="1"/>
        <v>70355739.862752825</v>
      </c>
      <c r="AF7" s="4">
        <f t="shared" ca="1" si="1"/>
        <v>70914508.2660743</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24870347.679510187</v>
      </c>
      <c r="D10" s="9">
        <f>Investment!D25</f>
        <v>26163545.041239522</v>
      </c>
      <c r="E10" s="9">
        <f>Investment!E25</f>
        <v>27514039.798095714</v>
      </c>
      <c r="F10" s="9">
        <f>Investment!F25</f>
        <v>28924174.74926848</v>
      </c>
      <c r="G10" s="9">
        <f>Investment!G25</f>
        <v>30396383.960563056</v>
      </c>
      <c r="H10" s="9">
        <f>Investment!H25</f>
        <v>31933196.206437223</v>
      </c>
      <c r="I10" s="9">
        <f>Investment!I25</f>
        <v>33537238.538871724</v>
      </c>
      <c r="J10" s="9">
        <f>Investment!J25</f>
        <v>35211239.987666652</v>
      </c>
      <c r="K10" s="9">
        <f>Investment!K25</f>
        <v>36958035.396920644</v>
      </c>
      <c r="L10" s="9">
        <f>Investment!L25</f>
        <v>38780569.402619511</v>
      </c>
      <c r="M10" s="9">
        <f>Investment!M25</f>
        <v>40681900.556436665</v>
      </c>
      <c r="N10" s="9">
        <f>Investment!N25</f>
        <v>42665205.601029843</v>
      </c>
      <c r="O10" s="9">
        <f>Investment!O25</f>
        <v>44733783.90230719</v>
      </c>
      <c r="P10" s="9">
        <f>Investment!P25</f>
        <v>46891062.044330813</v>
      </c>
      <c r="Q10" s="9">
        <f>Investment!Q25</f>
        <v>49140598.592727996</v>
      </c>
      <c r="R10" s="9">
        <f>Investment!R25</f>
        <v>51486089.032689221</v>
      </c>
      <c r="S10" s="9">
        <f>Investment!S25</f>
        <v>53931370.887849003</v>
      </c>
      <c r="T10" s="9">
        <f>Investment!T25</f>
        <v>56480429.02656953</v>
      </c>
      <c r="U10" s="9">
        <f>Investment!U25</f>
        <v>59137401.162378997</v>
      </c>
      <c r="V10" s="9">
        <f>Investment!V25</f>
        <v>61906583.555557102</v>
      </c>
      <c r="W10" s="9">
        <f>Investment!W25</f>
        <v>64792436.92310831</v>
      </c>
      <c r="X10" s="9">
        <f>Investment!X25</f>
        <v>67799592.564621896</v>
      </c>
      <c r="Y10" s="9">
        <f>Investment!Y25</f>
        <v>70932858.711783096</v>
      </c>
      <c r="Z10" s="9">
        <f>Investment!Z25</f>
        <v>74197227.109576434</v>
      </c>
      <c r="AA10" s="9">
        <f>Investment!AA25</f>
        <v>77597879.83750771</v>
      </c>
      <c r="AB10" s="9">
        <f>Investment!AB25</f>
        <v>81140196.37946634</v>
      </c>
      <c r="AC10" s="9">
        <f>Investment!AC25</f>
        <v>84829760.951156721</v>
      </c>
      <c r="AD10" s="9">
        <f>Investment!AD25</f>
        <v>88672370.094342753</v>
      </c>
      <c r="AE10" s="9">
        <f>Investment!AE25</f>
        <v>92674040.547478676</v>
      </c>
      <c r="AF10" s="9">
        <f>Investment!AF25</f>
        <v>96841017.402638674</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-15137973.538109487</v>
      </c>
      <c r="D12" s="1">
        <f t="shared" ref="D12:AF12" ca="1" si="2">D7-D9-D10</f>
        <v>-14823918.929761173</v>
      </c>
      <c r="E12" s="1">
        <f ca="1">E7-E9-E10</f>
        <v>-14107887.633308977</v>
      </c>
      <c r="F12" s="1">
        <f t="shared" ca="1" si="2"/>
        <v>-13690798.900139624</v>
      </c>
      <c r="G12" s="1">
        <f ca="1">G7-G9-G10</f>
        <v>-12935193.256401978</v>
      </c>
      <c r="H12" s="1">
        <f t="shared" ca="1" si="2"/>
        <v>-12446636.829775549</v>
      </c>
      <c r="I12" s="1">
        <f t="shared" ca="1" si="2"/>
        <v>-11666491.17021459</v>
      </c>
      <c r="J12" s="1">
        <f t="shared" ca="1" si="2"/>
        <v>-10547153.881631091</v>
      </c>
      <c r="K12" s="1">
        <f t="shared" ca="1" si="2"/>
        <v>-9488725.3445925117</v>
      </c>
      <c r="L12" s="1">
        <f t="shared" ca="1" si="2"/>
        <v>-8584415.098443687</v>
      </c>
      <c r="M12" s="1">
        <f t="shared" ca="1" si="2"/>
        <v>-8479420.3926489465</v>
      </c>
      <c r="N12" s="1">
        <f t="shared" ca="1" si="2"/>
        <v>-8259108.3594891503</v>
      </c>
      <c r="O12" s="1">
        <f t="shared" ca="1" si="2"/>
        <v>-7907892.905810453</v>
      </c>
      <c r="P12" s="1">
        <f t="shared" ca="1" si="2"/>
        <v>-8066471.262741901</v>
      </c>
      <c r="Q12" s="1">
        <f t="shared" ca="1" si="2"/>
        <v>-8163937.2345512435</v>
      </c>
      <c r="R12" s="1">
        <f t="shared" ca="1" si="2"/>
        <v>-8191333.6767105833</v>
      </c>
      <c r="S12" s="1">
        <f t="shared" ca="1" si="2"/>
        <v>-8138878.412695244</v>
      </c>
      <c r="T12" s="1">
        <f t="shared" ca="1" si="2"/>
        <v>-7995901.5445333719</v>
      </c>
      <c r="U12" s="1">
        <f t="shared" ca="1" si="2"/>
        <v>-7750778.4702263921</v>
      </c>
      <c r="V12" s="1">
        <f t="shared" ca="1" si="2"/>
        <v>-7849658.1262903214</v>
      </c>
      <c r="W12" s="1">
        <f t="shared" ca="1" si="2"/>
        <v>-8369336.7197578251</v>
      </c>
      <c r="X12" s="1">
        <f t="shared" ca="1" si="2"/>
        <v>-8884018.0693136826</v>
      </c>
      <c r="Y12" s="1">
        <f t="shared" ca="1" si="2"/>
        <v>-9390462.4176751077</v>
      </c>
      <c r="Z12" s="1">
        <f t="shared" ca="1" si="2"/>
        <v>-9885089.6029912755</v>
      </c>
      <c r="AA12" s="1">
        <f t="shared" ca="1" si="2"/>
        <v>-10363953.303291544</v>
      </c>
      <c r="AB12" s="1">
        <f t="shared" ca="1" si="2"/>
        <v>-13008734.260754034</v>
      </c>
      <c r="AC12" s="1">
        <f t="shared" ca="1" si="2"/>
        <v>-15873747.515595898</v>
      </c>
      <c r="AD12" s="1">
        <f t="shared" ca="1" si="2"/>
        <v>-18972278.413388476</v>
      </c>
      <c r="AE12" s="1">
        <f t="shared" ca="1" si="2"/>
        <v>-22318300.684725851</v>
      </c>
      <c r="AF12" s="1">
        <f t="shared" ca="1" si="2"/>
        <v>-25926509.136564374</v>
      </c>
      <c r="AG12" s="1"/>
      <c r="AH12" s="1"/>
      <c r="AI12" s="1"/>
      <c r="AJ12" s="1"/>
      <c r="AK12" s="1"/>
      <c r="AL12" s="1"/>
      <c r="AM12" s="1"/>
      <c r="AN12" s="1"/>
      <c r="AO12" s="1"/>
      <c r="AP12" s="1"/>
    </row>
    <row r="13" spans="1:42" x14ac:dyDescent="0.35">
      <c r="A13" t="s">
        <v>19</v>
      </c>
      <c r="C13" s="1">
        <f ca="1">C12</f>
        <v>-15137973.538109487</v>
      </c>
      <c r="D13" s="1">
        <f ca="1">D12</f>
        <v>-14823918.929761173</v>
      </c>
      <c r="E13" s="1">
        <f ca="1">E12</f>
        <v>-14107887.633308977</v>
      </c>
      <c r="F13" s="1">
        <f t="shared" ref="F13:AF13" ca="1" si="3">F12</f>
        <v>-13690798.900139624</v>
      </c>
      <c r="G13" s="1">
        <f ca="1">G12</f>
        <v>-12935193.256401978</v>
      </c>
      <c r="H13" s="1">
        <f t="shared" ca="1" si="3"/>
        <v>-12446636.829775549</v>
      </c>
      <c r="I13" s="1">
        <f t="shared" ca="1" si="3"/>
        <v>-11666491.17021459</v>
      </c>
      <c r="J13" s="1">
        <f t="shared" ca="1" si="3"/>
        <v>-10547153.881631091</v>
      </c>
      <c r="K13" s="1">
        <f t="shared" ca="1" si="3"/>
        <v>-9488725.3445925117</v>
      </c>
      <c r="L13" s="1">
        <f t="shared" ca="1" si="3"/>
        <v>-8584415.098443687</v>
      </c>
      <c r="M13" s="1">
        <f t="shared" ca="1" si="3"/>
        <v>-8479420.3926489465</v>
      </c>
      <c r="N13" s="1">
        <f t="shared" ca="1" si="3"/>
        <v>-8259108.3594891503</v>
      </c>
      <c r="O13" s="1">
        <f t="shared" ca="1" si="3"/>
        <v>-7907892.905810453</v>
      </c>
      <c r="P13" s="1">
        <f t="shared" ca="1" si="3"/>
        <v>-8066471.262741901</v>
      </c>
      <c r="Q13" s="1">
        <f t="shared" ca="1" si="3"/>
        <v>-8163937.2345512435</v>
      </c>
      <c r="R13" s="1">
        <f t="shared" ca="1" si="3"/>
        <v>-8191333.6767105833</v>
      </c>
      <c r="S13" s="1">
        <f t="shared" ca="1" si="3"/>
        <v>-8138878.412695244</v>
      </c>
      <c r="T13" s="1">
        <f t="shared" ca="1" si="3"/>
        <v>-7995901.5445333719</v>
      </c>
      <c r="U13" s="1">
        <f t="shared" ca="1" si="3"/>
        <v>-7750778.4702263921</v>
      </c>
      <c r="V13" s="1">
        <f t="shared" ca="1" si="3"/>
        <v>-7849658.1262903214</v>
      </c>
      <c r="W13" s="1">
        <f t="shared" ca="1" si="3"/>
        <v>-8369336.7197578251</v>
      </c>
      <c r="X13" s="1">
        <f t="shared" ca="1" si="3"/>
        <v>-8884018.0693136826</v>
      </c>
      <c r="Y13" s="1">
        <f t="shared" ca="1" si="3"/>
        <v>-9390462.4176751077</v>
      </c>
      <c r="Z13" s="1">
        <f t="shared" ca="1" si="3"/>
        <v>-9885089.6029912755</v>
      </c>
      <c r="AA13" s="1">
        <f t="shared" ca="1" si="3"/>
        <v>-10363953.303291544</v>
      </c>
      <c r="AB13" s="1">
        <f t="shared" ca="1" si="3"/>
        <v>-13008734.260754034</v>
      </c>
      <c r="AC13" s="1">
        <f t="shared" ca="1" si="3"/>
        <v>-15873747.515595898</v>
      </c>
      <c r="AD13" s="1">
        <f t="shared" ca="1" si="3"/>
        <v>-18972278.413388476</v>
      </c>
      <c r="AE13" s="1">
        <f t="shared" ca="1" si="3"/>
        <v>-22318300.684725851</v>
      </c>
      <c r="AF13" s="1">
        <f t="shared" ca="1" si="3"/>
        <v>-25926509.136564374</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138</v>
      </c>
      <c r="C6" s="9">
        <f>Assumptions!C17</f>
        <v>307900000.00000006</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153950000.00000003</v>
      </c>
      <c r="D7" s="9">
        <f>C12</f>
        <v>158740154.04316443</v>
      </c>
      <c r="E7" s="9">
        <f>D12</f>
        <v>164180939.25169513</v>
      </c>
      <c r="F7" s="9">
        <f t="shared" ref="F7:H7" si="1">E12</f>
        <v>170309090.90243533</v>
      </c>
      <c r="G7" s="9">
        <f t="shared" si="1"/>
        <v>177163029.08363295</v>
      </c>
      <c r="H7" s="9">
        <f t="shared" si="1"/>
        <v>184782928.90594685</v>
      </c>
      <c r="I7" s="9">
        <f t="shared" ref="I7" si="2">H12</f>
        <v>193210793.48171094</v>
      </c>
      <c r="J7" s="9">
        <f t="shared" ref="J7" si="3">I12</f>
        <v>202490529.77772799</v>
      </c>
      <c r="K7" s="9">
        <f t="shared" ref="K7" si="4">J12</f>
        <v>212668027.45076862</v>
      </c>
      <c r="L7" s="9">
        <f t="shared" ref="L7" si="5">K12</f>
        <v>223791240.77899519</v>
      </c>
      <c r="M7" s="9">
        <f t="shared" ref="M7" si="6">L12</f>
        <v>235910273.80672246</v>
      </c>
      <c r="N7" s="9">
        <f t="shared" ref="N7" si="7">M12</f>
        <v>249077468.82427031</v>
      </c>
      <c r="O7" s="9">
        <f t="shared" ref="O7" si="8">N12</f>
        <v>263347498.30916688</v>
      </c>
      <c r="P7" s="9">
        <f t="shared" ref="P7" si="9">O12</f>
        <v>278777460.45962459</v>
      </c>
      <c r="Q7" s="9">
        <f t="shared" ref="Q7" si="10">P12</f>
        <v>295426978.4560467</v>
      </c>
      <c r="R7" s="9">
        <f t="shared" ref="R7" si="11">Q12</f>
        <v>313358303.59133291</v>
      </c>
      <c r="S7" s="9">
        <f t="shared" ref="S7" si="12">R12</f>
        <v>332636422.41594219</v>
      </c>
      <c r="T7" s="9">
        <f t="shared" ref="T7" si="13">S12</f>
        <v>353329168.04905272</v>
      </c>
      <c r="U7" s="9">
        <f t="shared" ref="U7" si="14">T12</f>
        <v>375507335.81273216</v>
      </c>
      <c r="V7" s="9">
        <f t="shared" ref="V7" si="15">U12</f>
        <v>399244803.35180855</v>
      </c>
      <c r="W7" s="9">
        <f t="shared" ref="W7" si="16">V12</f>
        <v>424618655.40811735</v>
      </c>
      <c r="X7" s="9">
        <f t="shared" ref="X7" si="17">W12</f>
        <v>451709313.42400146</v>
      </c>
      <c r="Y7" s="9">
        <f t="shared" ref="Y7" si="18">X12</f>
        <v>480600670.15636796</v>
      </c>
      <c r="Z7" s="9">
        <f t="shared" ref="Z7" si="19">Y12</f>
        <v>511380229.48926353</v>
      </c>
      <c r="AA7" s="9">
        <f t="shared" ref="AA7" si="20">Z12</f>
        <v>544139251.63982797</v>
      </c>
      <c r="AB7" s="9">
        <f t="shared" ref="AB7" si="21">AA12</f>
        <v>578972903.95963538</v>
      </c>
      <c r="AC7" s="9">
        <f t="shared" ref="AC7" si="22">AB12</f>
        <v>615980417.54083502</v>
      </c>
      <c r="AD7" s="9">
        <f t="shared" ref="AD7" si="23">AC12</f>
        <v>655265249.84418046</v>
      </c>
      <c r="AE7" s="9">
        <f t="shared" ref="AE7" si="24">AD12</f>
        <v>696935253.57398188</v>
      </c>
      <c r="AF7" s="9">
        <f t="shared" ref="AF7" si="25">AE12</f>
        <v>741102852.03325403</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139</v>
      </c>
      <c r="C8" s="9">
        <f>Assumptions!D111*Assumptions!D11</f>
        <v>4308229.3958921209</v>
      </c>
      <c r="D8" s="9">
        <f>Assumptions!E111*Assumptions!E11</f>
        <v>4446092.7365606688</v>
      </c>
      <c r="E8" s="9">
        <f>Assumptions!F111*Assumptions!F11</f>
        <v>4588367.7041306095</v>
      </c>
      <c r="F8" s="9">
        <f>Assumptions!G111*Assumptions!G11</f>
        <v>4735195.4706627894</v>
      </c>
      <c r="G8" s="9">
        <f>Assumptions!H111*Assumptions!H11</f>
        <v>4886721.7257239996</v>
      </c>
      <c r="H8" s="9">
        <f>Assumptions!I111*Assumptions!I11</f>
        <v>5043096.8209471665</v>
      </c>
      <c r="I8" s="9">
        <f>Assumptions!J111*Assumptions!J11</f>
        <v>5204475.9192174748</v>
      </c>
      <c r="J8" s="9">
        <f>Assumptions!K111*Assumptions!K11</f>
        <v>5371019.1486324351</v>
      </c>
      <c r="K8" s="9">
        <f>Assumptions!L111*Assumptions!L11</f>
        <v>5542891.7613886734</v>
      </c>
      <c r="L8" s="9">
        <f>Assumptions!M111*Assumptions!M11</f>
        <v>5720264.2977531105</v>
      </c>
      <c r="M8" s="9">
        <f>Assumptions!N111*Assumptions!N11</f>
        <v>5903312.7552812099</v>
      </c>
      <c r="N8" s="9">
        <f>Assumptions!O111*Assumptions!O11</f>
        <v>6092218.7634502091</v>
      </c>
      <c r="O8" s="9">
        <f>Assumptions!P111*Assumptions!P11</f>
        <v>6287169.7638806161</v>
      </c>
      <c r="P8" s="9">
        <f>Assumptions!Q111*Assumptions!Q11</f>
        <v>6488359.1963247946</v>
      </c>
      <c r="Q8" s="9">
        <f>Assumptions!R111*Assumptions!R11</f>
        <v>6695986.6906071864</v>
      </c>
      <c r="R8" s="9">
        <f>Assumptions!S111*Assumptions!S11</f>
        <v>6910258.2647066182</v>
      </c>
      <c r="S8" s="9">
        <f>Assumptions!T111*Assumptions!T11</f>
        <v>7131386.5291772308</v>
      </c>
      <c r="T8" s="9">
        <f>Assumptions!U111*Assumptions!U11</f>
        <v>7359590.898110901</v>
      </c>
      <c r="U8" s="9">
        <f>Assumptions!V111*Assumptions!V11</f>
        <v>7595097.8068504492</v>
      </c>
      <c r="V8" s="9">
        <f>Assumptions!W111*Assumptions!W11</f>
        <v>7838140.9366696645</v>
      </c>
      <c r="W8" s="9">
        <f>Assumptions!X111*Assumptions!X11</f>
        <v>8088961.4466430945</v>
      </c>
      <c r="X8" s="9">
        <f>Assumptions!Y111*Assumptions!Y11</f>
        <v>8347808.2129356721</v>
      </c>
      <c r="Y8" s="9">
        <f>Assumptions!Z111*Assumptions!Z11</f>
        <v>8614938.0757496133</v>
      </c>
      <c r="Z8" s="9">
        <f>Assumptions!AA111*Assumptions!AA11</f>
        <v>8890616.0941736009</v>
      </c>
      <c r="AA8" s="9">
        <f>Assumptions!AB111*Assumptions!AB11</f>
        <v>9175115.8091871589</v>
      </c>
      <c r="AB8" s="9">
        <f>Assumptions!AC111*Assumptions!AC11</f>
        <v>9468719.5150811449</v>
      </c>
      <c r="AC8" s="9">
        <f>Assumptions!AD111*Assumptions!AD11</f>
        <v>9771718.5395637415</v>
      </c>
      <c r="AD8" s="9">
        <f>Assumptions!AE111*Assumptions!AE11</f>
        <v>10084413.532829782</v>
      </c>
      <c r="AE8" s="9">
        <f>Assumptions!AF111*Assumptions!AF11</f>
        <v>10407114.765880335</v>
      </c>
      <c r="AF8" s="9">
        <f>Assumptions!AG111*Assumptions!AG11</f>
        <v>10740142.438388504</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481924.64727229835</v>
      </c>
      <c r="D9" s="9">
        <f>Assumptions!E120*Assumptions!E11</f>
        <v>994692.47197002382</v>
      </c>
      <c r="E9" s="9">
        <f>Assumptions!F120*Assumptions!F11</f>
        <v>1539783.9466095965</v>
      </c>
      <c r="F9" s="9">
        <f>Assumptions!G120*Assumptions!G11</f>
        <v>2118742.710534805</v>
      </c>
      <c r="G9" s="9">
        <f>Assumptions!H120*Assumptions!H11</f>
        <v>2733178.0965898987</v>
      </c>
      <c r="H9" s="9">
        <f>Assumptions!I120*Assumptions!I11</f>
        <v>3384767.7548169298</v>
      </c>
      <c r="I9" s="9">
        <f>Assumptions!J120*Assumptions!J11</f>
        <v>4075260.376799583</v>
      </c>
      <c r="J9" s="9">
        <f>Assumptions!K120*Assumptions!K11</f>
        <v>4806478.5244081952</v>
      </c>
      <c r="K9" s="9">
        <f>Assumptions!L120*Assumptions!L11</f>
        <v>5580321.5668379152</v>
      </c>
      <c r="L9" s="9">
        <f>Assumptions!M120*Assumptions!M11</f>
        <v>6398768.7299741432</v>
      </c>
      <c r="M9" s="9">
        <f>Assumptions!N120*Assumptions!N11</f>
        <v>7263882.2622666461</v>
      </c>
      <c r="N9" s="9">
        <f>Assumptions!O120*Assumptions!O11</f>
        <v>8177810.7214463772</v>
      </c>
      <c r="O9" s="9">
        <f>Assumptions!P120*Assumptions!P11</f>
        <v>9142792.386577053</v>
      </c>
      <c r="P9" s="9">
        <f>Assumptions!Q120*Assumptions!Q11</f>
        <v>10161158.800097322</v>
      </c>
      <c r="Q9" s="9">
        <f>Assumptions!R120*Assumptions!R11</f>
        <v>11235338.444679039</v>
      </c>
      <c r="R9" s="9">
        <f>Assumptions!S120*Assumptions!S11</f>
        <v>12367860.559902688</v>
      </c>
      <c r="S9" s="9">
        <f>Assumptions!T120*Assumptions!T11</f>
        <v>13561359.103933299</v>
      </c>
      <c r="T9" s="9">
        <f>Assumptions!U120*Assumptions!U11</f>
        <v>14818576.865568522</v>
      </c>
      <c r="U9" s="9">
        <f>Assumptions!V120*Assumptions!V11</f>
        <v>16142369.732225973</v>
      </c>
      <c r="V9" s="9">
        <f>Assumptions!W120*Assumptions!W11</f>
        <v>17535711.119639169</v>
      </c>
      <c r="W9" s="9">
        <f>Assumptions!X120*Assumptions!X11</f>
        <v>19001696.569241002</v>
      </c>
      <c r="X9" s="9">
        <f>Assumptions!Y120*Assumptions!Y11</f>
        <v>20543548.519430839</v>
      </c>
      <c r="Y9" s="9">
        <f>Assumptions!Z120*Assumptions!Z11</f>
        <v>22164621.257145923</v>
      </c>
      <c r="Z9" s="9">
        <f>Assumptions!AA120*Assumptions!AA11</f>
        <v>23868406.056390882</v>
      </c>
      <c r="AA9" s="9">
        <f>Assumptions!AB120*Assumptions!AB11</f>
        <v>25658536.510620203</v>
      </c>
      <c r="AB9" s="9">
        <f>Assumptions!AC120*Assumptions!AC11</f>
        <v>27538794.066118442</v>
      </c>
      <c r="AC9" s="9">
        <f>Assumptions!AD120*Assumptions!AD11</f>
        <v>29513113.7637817</v>
      </c>
      <c r="AD9" s="9">
        <f>Assumptions!AE120*Assumptions!AE11</f>
        <v>31585590.196971711</v>
      </c>
      <c r="AE9" s="9">
        <f>Assumptions!AF120*Assumptions!AF11</f>
        <v>33760483.69339177</v>
      </c>
      <c r="AF9" s="9">
        <f>Assumptions!AG120*Assumptions!AG11</f>
        <v>36042226.729221001</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4790154.043164419</v>
      </c>
      <c r="D10" s="9">
        <f>SUM($C$8:D9)</f>
        <v>10230939.251695111</v>
      </c>
      <c r="E10" s="9">
        <f>SUM($C$8:E9)</f>
        <v>16359090.902435316</v>
      </c>
      <c r="F10" s="9">
        <f>SUM($C$8:F9)</f>
        <v>23213029.083632912</v>
      </c>
      <c r="G10" s="9">
        <f>SUM($C$8:G9)</f>
        <v>30832928.905946814</v>
      </c>
      <c r="H10" s="9">
        <f>SUM($C$8:H9)</f>
        <v>39260793.481710903</v>
      </c>
      <c r="I10" s="9">
        <f>SUM($C$8:I9)</f>
        <v>48540529.777727954</v>
      </c>
      <c r="J10" s="9">
        <f>SUM($C$8:J9)</f>
        <v>58718027.45076859</v>
      </c>
      <c r="K10" s="9">
        <f>SUM($C$8:K9)</f>
        <v>69841240.778995186</v>
      </c>
      <c r="L10" s="9">
        <f>SUM($C$8:L9)</f>
        <v>81960273.806722432</v>
      </c>
      <c r="M10" s="9">
        <f>SUM($C$8:M9)</f>
        <v>95127468.824270293</v>
      </c>
      <c r="N10" s="9">
        <f>SUM($C$8:N9)</f>
        <v>109397498.30916688</v>
      </c>
      <c r="O10" s="9">
        <f>SUM($C$8:O9)</f>
        <v>124827460.45962457</v>
      </c>
      <c r="P10" s="9">
        <f>SUM($C$8:P9)</f>
        <v>141476978.4560467</v>
      </c>
      <c r="Q10" s="9">
        <f>SUM($C$8:Q9)</f>
        <v>159408303.59133291</v>
      </c>
      <c r="R10" s="9">
        <f>SUM($C$8:R9)</f>
        <v>178686422.41594222</v>
      </c>
      <c r="S10" s="9">
        <f>SUM($C$8:S9)</f>
        <v>199379168.04905272</v>
      </c>
      <c r="T10" s="9">
        <f>SUM($C$8:T9)</f>
        <v>221557335.81273213</v>
      </c>
      <c r="U10" s="9">
        <f>SUM($C$8:U9)</f>
        <v>245294803.35180858</v>
      </c>
      <c r="V10" s="9">
        <f>SUM($C$8:V9)</f>
        <v>270668655.40811741</v>
      </c>
      <c r="W10" s="9">
        <f>SUM($C$8:W9)</f>
        <v>297759313.42400146</v>
      </c>
      <c r="X10" s="9">
        <f>SUM($C$8:X9)</f>
        <v>326650670.1563679</v>
      </c>
      <c r="Y10" s="9">
        <f>SUM($C$8:Y9)</f>
        <v>357430229.48926347</v>
      </c>
      <c r="Z10" s="9">
        <f>SUM($C$8:Z9)</f>
        <v>390189251.63982797</v>
      </c>
      <c r="AA10" s="9">
        <f>SUM($C$8:AA9)</f>
        <v>425022903.95963526</v>
      </c>
      <c r="AB10" s="9">
        <f>SUM($C$8:AB9)</f>
        <v>462030417.54083478</v>
      </c>
      <c r="AC10" s="9">
        <f>SUM($C$8:AC9)</f>
        <v>501315249.84418023</v>
      </c>
      <c r="AD10" s="9">
        <f>SUM($C$8:AD9)</f>
        <v>542985253.57398164</v>
      </c>
      <c r="AE10" s="9">
        <f>SUM($C$8:AE9)</f>
        <v>587152852.03325379</v>
      </c>
      <c r="AF10" s="9">
        <f>SUM($C$8:AF9)</f>
        <v>633935221.20086336</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158740154.04316443</v>
      </c>
      <c r="D12" s="9">
        <f>D7+D8+D9</f>
        <v>164180939.25169513</v>
      </c>
      <c r="E12" s="9">
        <f>E7+E8+E9</f>
        <v>170309090.90243533</v>
      </c>
      <c r="F12" s="9">
        <f t="shared" ref="F12:H12" si="26">F7+F8+F9</f>
        <v>177163029.08363295</v>
      </c>
      <c r="G12" s="9">
        <f t="shared" si="26"/>
        <v>184782928.90594685</v>
      </c>
      <c r="H12" s="9">
        <f t="shared" si="26"/>
        <v>193210793.48171094</v>
      </c>
      <c r="I12" s="9">
        <f t="shared" ref="I12:AF12" si="27">I7+I8+I9</f>
        <v>202490529.77772799</v>
      </c>
      <c r="J12" s="9">
        <f t="shared" si="27"/>
        <v>212668027.45076862</v>
      </c>
      <c r="K12" s="9">
        <f t="shared" si="27"/>
        <v>223791240.77899519</v>
      </c>
      <c r="L12" s="9">
        <f t="shared" si="27"/>
        <v>235910273.80672246</v>
      </c>
      <c r="M12" s="9">
        <f t="shared" si="27"/>
        <v>249077468.82427031</v>
      </c>
      <c r="N12" s="9">
        <f t="shared" si="27"/>
        <v>263347498.30916688</v>
      </c>
      <c r="O12" s="9">
        <f t="shared" si="27"/>
        <v>278777460.45962459</v>
      </c>
      <c r="P12" s="9">
        <f t="shared" si="27"/>
        <v>295426978.4560467</v>
      </c>
      <c r="Q12" s="9">
        <f t="shared" si="27"/>
        <v>313358303.59133291</v>
      </c>
      <c r="R12" s="9">
        <f t="shared" si="27"/>
        <v>332636422.41594219</v>
      </c>
      <c r="S12" s="9">
        <f t="shared" si="27"/>
        <v>353329168.04905272</v>
      </c>
      <c r="T12" s="9">
        <f t="shared" si="27"/>
        <v>375507335.81273216</v>
      </c>
      <c r="U12" s="9">
        <f t="shared" si="27"/>
        <v>399244803.35180855</v>
      </c>
      <c r="V12" s="9">
        <f t="shared" si="27"/>
        <v>424618655.40811735</v>
      </c>
      <c r="W12" s="9">
        <f t="shared" si="27"/>
        <v>451709313.42400146</v>
      </c>
      <c r="X12" s="9">
        <f t="shared" si="27"/>
        <v>480600670.15636796</v>
      </c>
      <c r="Y12" s="9">
        <f t="shared" si="27"/>
        <v>511380229.48926353</v>
      </c>
      <c r="Z12" s="9">
        <f t="shared" si="27"/>
        <v>544139251.63982797</v>
      </c>
      <c r="AA12" s="9">
        <f t="shared" si="27"/>
        <v>578972903.95963538</v>
      </c>
      <c r="AB12" s="9">
        <f t="shared" si="27"/>
        <v>615980417.54083502</v>
      </c>
      <c r="AC12" s="9">
        <f t="shared" si="27"/>
        <v>655265249.84418046</v>
      </c>
      <c r="AD12" s="9">
        <f t="shared" si="27"/>
        <v>696935253.57398188</v>
      </c>
      <c r="AE12" s="9">
        <f t="shared" si="27"/>
        <v>741102852.03325403</v>
      </c>
      <c r="AF12" s="9">
        <f t="shared" si="27"/>
        <v>787885221.20086348</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24870347.679510187</v>
      </c>
      <c r="D18" s="9">
        <f>Investment!D25</f>
        <v>26163545.041239522</v>
      </c>
      <c r="E18" s="9">
        <f>Investment!E25</f>
        <v>27514039.798095714</v>
      </c>
      <c r="F18" s="9">
        <f>Investment!F25</f>
        <v>28924174.74926848</v>
      </c>
      <c r="G18" s="9">
        <f>Investment!G25</f>
        <v>30396383.960563056</v>
      </c>
      <c r="H18" s="9">
        <f>Investment!H25</f>
        <v>31933196.206437223</v>
      </c>
      <c r="I18" s="9">
        <f>Investment!I25</f>
        <v>33537238.538871724</v>
      </c>
      <c r="J18" s="9">
        <f>Investment!J25</f>
        <v>35211239.987666652</v>
      </c>
      <c r="K18" s="9">
        <f>Investment!K25</f>
        <v>36958035.396920644</v>
      </c>
      <c r="L18" s="9">
        <f>Investment!L25</f>
        <v>38780569.402619511</v>
      </c>
      <c r="M18" s="9">
        <f>Investment!M25</f>
        <v>40681900.556436665</v>
      </c>
      <c r="N18" s="9">
        <f>Investment!N25</f>
        <v>42665205.601029843</v>
      </c>
      <c r="O18" s="9">
        <f>Investment!O25</f>
        <v>44733783.90230719</v>
      </c>
      <c r="P18" s="9">
        <f>Investment!P25</f>
        <v>46891062.044330813</v>
      </c>
      <c r="Q18" s="9">
        <f>Investment!Q25</f>
        <v>49140598.592727996</v>
      </c>
      <c r="R18" s="9">
        <f>Investment!R25</f>
        <v>51486089.032689221</v>
      </c>
      <c r="S18" s="9">
        <f>Investment!S25</f>
        <v>53931370.887849003</v>
      </c>
      <c r="T18" s="9">
        <f>Investment!T25</f>
        <v>56480429.02656953</v>
      </c>
      <c r="U18" s="9">
        <f>Investment!U25</f>
        <v>59137401.162378997</v>
      </c>
      <c r="V18" s="9">
        <f>Investment!V25</f>
        <v>61906583.555557102</v>
      </c>
      <c r="W18" s="9">
        <f>Investment!W25</f>
        <v>64792436.92310831</v>
      </c>
      <c r="X18" s="9">
        <f>Investment!X25</f>
        <v>67799592.564621896</v>
      </c>
      <c r="Y18" s="9">
        <f>Investment!Y25</f>
        <v>70932858.711783096</v>
      </c>
      <c r="Z18" s="9">
        <f>Investment!Z25</f>
        <v>74197227.109576434</v>
      </c>
      <c r="AA18" s="9">
        <f>Investment!AA25</f>
        <v>77597879.83750771</v>
      </c>
      <c r="AB18" s="9">
        <f>Investment!AB25</f>
        <v>81140196.37946634</v>
      </c>
      <c r="AC18" s="9">
        <f>Investment!AC25</f>
        <v>84829760.951156721</v>
      </c>
      <c r="AD18" s="9">
        <f>Investment!AD25</f>
        <v>88672370.094342753</v>
      </c>
      <c r="AE18" s="9">
        <f>Investment!AE25</f>
        <v>92674040.547478676</v>
      </c>
      <c r="AF18" s="9">
        <f>Investment!AF25</f>
        <v>96841017.402638674</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178820347.67951021</v>
      </c>
      <c r="D19" s="9">
        <f>D18+C20</f>
        <v>200193738.67758533</v>
      </c>
      <c r="E19" s="9">
        <f>E18+D20</f>
        <v>222266993.26715034</v>
      </c>
      <c r="F19" s="9">
        <f t="shared" ref="F19:AF19" si="28">F18+E20</f>
        <v>245063016.36567861</v>
      </c>
      <c r="G19" s="9">
        <f t="shared" si="28"/>
        <v>268605462.14504403</v>
      </c>
      <c r="H19" s="9">
        <f t="shared" si="28"/>
        <v>292918758.52916735</v>
      </c>
      <c r="I19" s="9">
        <f t="shared" si="28"/>
        <v>318028132.49227494</v>
      </c>
      <c r="J19" s="9">
        <f t="shared" si="28"/>
        <v>343959636.18392456</v>
      </c>
      <c r="K19" s="9">
        <f t="shared" si="28"/>
        <v>370740173.90780455</v>
      </c>
      <c r="L19" s="9">
        <f t="shared" si="28"/>
        <v>398397529.98219752</v>
      </c>
      <c r="M19" s="9">
        <f t="shared" si="28"/>
        <v>426960397.51090693</v>
      </c>
      <c r="N19" s="9">
        <f t="shared" si="28"/>
        <v>456458408.09438896</v>
      </c>
      <c r="O19" s="9">
        <f t="shared" si="28"/>
        <v>486922162.51179957</v>
      </c>
      <c r="P19" s="9">
        <f t="shared" si="28"/>
        <v>518383262.40567273</v>
      </c>
      <c r="Q19" s="9">
        <f t="shared" si="28"/>
        <v>550874343.00197864</v>
      </c>
      <c r="R19" s="9">
        <f t="shared" si="28"/>
        <v>584429106.89938164</v>
      </c>
      <c r="S19" s="9">
        <f t="shared" si="28"/>
        <v>619082358.96262133</v>
      </c>
      <c r="T19" s="9">
        <f t="shared" si="28"/>
        <v>654870042.35608029</v>
      </c>
      <c r="U19" s="9">
        <f t="shared" si="28"/>
        <v>691829275.75477993</v>
      </c>
      <c r="V19" s="9">
        <f t="shared" si="28"/>
        <v>729998391.77126062</v>
      </c>
      <c r="W19" s="9">
        <f t="shared" si="28"/>
        <v>769416976.63806009</v>
      </c>
      <c r="X19" s="9">
        <f t="shared" si="28"/>
        <v>810125911.18679786</v>
      </c>
      <c r="Y19" s="9">
        <f t="shared" si="28"/>
        <v>852167413.16621435</v>
      </c>
      <c r="Z19" s="9">
        <f t="shared" si="28"/>
        <v>895585080.94289529</v>
      </c>
      <c r="AA19" s="9">
        <f t="shared" si="28"/>
        <v>940423938.62983859</v>
      </c>
      <c r="AB19" s="9">
        <f t="shared" si="28"/>
        <v>986730482.68949747</v>
      </c>
      <c r="AC19" s="9">
        <f t="shared" si="28"/>
        <v>1034552730.0594546</v>
      </c>
      <c r="AD19" s="9">
        <f t="shared" si="28"/>
        <v>1083940267.8504519</v>
      </c>
      <c r="AE19" s="9">
        <f t="shared" si="28"/>
        <v>1134944304.6681292</v>
      </c>
      <c r="AF19" s="9">
        <f t="shared" si="28"/>
        <v>1187617723.6114957</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174030193.6363458</v>
      </c>
      <c r="D20" s="9">
        <f>D19-D8-D9</f>
        <v>194752953.46905464</v>
      </c>
      <c r="E20" s="9">
        <f t="shared" ref="E20:AF20" si="29">E19-E8-E9</f>
        <v>216138841.61641014</v>
      </c>
      <c r="F20" s="9">
        <f t="shared" si="29"/>
        <v>238209078.18448099</v>
      </c>
      <c r="G20" s="9">
        <f t="shared" si="29"/>
        <v>260985562.32273012</v>
      </c>
      <c r="H20" s="9">
        <f t="shared" si="29"/>
        <v>284490893.95340323</v>
      </c>
      <c r="I20" s="9">
        <f t="shared" si="29"/>
        <v>308748396.19625789</v>
      </c>
      <c r="J20" s="9">
        <f t="shared" si="29"/>
        <v>333782138.51088393</v>
      </c>
      <c r="K20" s="9">
        <f t="shared" si="29"/>
        <v>359616960.57957798</v>
      </c>
      <c r="L20" s="9">
        <f t="shared" si="29"/>
        <v>386278496.95447028</v>
      </c>
      <c r="M20" s="9">
        <f t="shared" si="29"/>
        <v>413793202.49335909</v>
      </c>
      <c r="N20" s="9">
        <f t="shared" si="29"/>
        <v>442188378.60949236</v>
      </c>
      <c r="O20" s="9">
        <f t="shared" si="29"/>
        <v>471492200.36134189</v>
      </c>
      <c r="P20" s="9">
        <f t="shared" si="29"/>
        <v>501733744.40925062</v>
      </c>
      <c r="Q20" s="9">
        <f t="shared" si="29"/>
        <v>532943017.86669242</v>
      </c>
      <c r="R20" s="9">
        <f t="shared" si="29"/>
        <v>565150988.07477236</v>
      </c>
      <c r="S20" s="9">
        <f t="shared" si="29"/>
        <v>598389613.32951081</v>
      </c>
      <c r="T20" s="9">
        <f t="shared" si="29"/>
        <v>632691874.59240091</v>
      </c>
      <c r="U20" s="9">
        <f t="shared" si="29"/>
        <v>668091808.21570349</v>
      </c>
      <c r="V20" s="9">
        <f t="shared" si="29"/>
        <v>704624539.71495175</v>
      </c>
      <c r="W20" s="9">
        <f t="shared" si="29"/>
        <v>742326318.62217593</v>
      </c>
      <c r="X20" s="9">
        <f t="shared" si="29"/>
        <v>781234554.4544313</v>
      </c>
      <c r="Y20" s="9">
        <f t="shared" si="29"/>
        <v>821387853.83331883</v>
      </c>
      <c r="Z20" s="9">
        <f t="shared" si="29"/>
        <v>862826058.79233086</v>
      </c>
      <c r="AA20" s="9">
        <f t="shared" si="29"/>
        <v>905590286.31003118</v>
      </c>
      <c r="AB20" s="9">
        <f t="shared" si="29"/>
        <v>949722969.10829782</v>
      </c>
      <c r="AC20" s="9">
        <f t="shared" si="29"/>
        <v>995267897.75610912</v>
      </c>
      <c r="AD20" s="9">
        <f t="shared" si="29"/>
        <v>1042270264.1206505</v>
      </c>
      <c r="AE20" s="9">
        <f t="shared" si="29"/>
        <v>1090776706.2088571</v>
      </c>
      <c r="AF20" s="9">
        <f t="shared" si="29"/>
        <v>1140835354.443886</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13515000</v>
      </c>
      <c r="D22" s="9">
        <f ca="1">'Balance Sheet'!C11</f>
        <v>28652973.538109489</v>
      </c>
      <c r="E22" s="9">
        <f ca="1">'Balance Sheet'!D11</f>
        <v>43476892.46787066</v>
      </c>
      <c r="F22" s="9">
        <f ca="1">'Balance Sheet'!E11</f>
        <v>57584780.101179637</v>
      </c>
      <c r="G22" s="9">
        <f ca="1">'Balance Sheet'!F11</f>
        <v>71275579.001319259</v>
      </c>
      <c r="H22" s="9">
        <f ca="1">'Balance Sheet'!G11</f>
        <v>84210772.257721245</v>
      </c>
      <c r="I22" s="9">
        <f ca="1">'Balance Sheet'!H11</f>
        <v>96657409.087496787</v>
      </c>
      <c r="J22" s="9">
        <f ca="1">'Balance Sheet'!I11</f>
        <v>108323900.25771138</v>
      </c>
      <c r="K22" s="9">
        <f ca="1">'Balance Sheet'!J11</f>
        <v>118871054.13934247</v>
      </c>
      <c r="L22" s="9">
        <f ca="1">'Balance Sheet'!K11</f>
        <v>128359779.48393498</v>
      </c>
      <c r="M22" s="9">
        <f ca="1">'Balance Sheet'!L11</f>
        <v>136944194.58237869</v>
      </c>
      <c r="N22" s="9">
        <f ca="1">'Balance Sheet'!M11</f>
        <v>145423614.97502762</v>
      </c>
      <c r="O22" s="9">
        <f ca="1">'Balance Sheet'!N11</f>
        <v>153682723.33451676</v>
      </c>
      <c r="P22" s="9">
        <f ca="1">'Balance Sheet'!O11</f>
        <v>161590616.24032721</v>
      </c>
      <c r="Q22" s="9">
        <f ca="1">'Balance Sheet'!P11</f>
        <v>169657087.5030691</v>
      </c>
      <c r="R22" s="9">
        <f ca="1">'Balance Sheet'!Q11</f>
        <v>177821024.73762035</v>
      </c>
      <c r="S22" s="9">
        <f ca="1">'Balance Sheet'!R11</f>
        <v>186012358.41433093</v>
      </c>
      <c r="T22" s="9">
        <f ca="1">'Balance Sheet'!S11</f>
        <v>194151236.82702619</v>
      </c>
      <c r="U22" s="9">
        <f ca="1">'Balance Sheet'!T11</f>
        <v>202147138.37155956</v>
      </c>
      <c r="V22" s="9">
        <f ca="1">'Balance Sheet'!U11</f>
        <v>209897916.84178597</v>
      </c>
      <c r="W22" s="9">
        <f ca="1">'Balance Sheet'!V11</f>
        <v>217747574.96807629</v>
      </c>
      <c r="X22" s="9">
        <f ca="1">'Balance Sheet'!W11</f>
        <v>226116911.68783411</v>
      </c>
      <c r="Y22" s="9">
        <f ca="1">'Balance Sheet'!X11</f>
        <v>235000929.75714779</v>
      </c>
      <c r="Z22" s="9">
        <f ca="1">'Balance Sheet'!Y11</f>
        <v>244391392.1748229</v>
      </c>
      <c r="AA22" s="9">
        <f ca="1">'Balance Sheet'!Z11</f>
        <v>254276481.77781418</v>
      </c>
      <c r="AB22" s="9">
        <f ca="1">'Balance Sheet'!AA11</f>
        <v>264640435.08110571</v>
      </c>
      <c r="AC22" s="9">
        <f ca="1">'Balance Sheet'!AB11</f>
        <v>277649169.34185976</v>
      </c>
      <c r="AD22" s="9">
        <f ca="1">'Balance Sheet'!AC11</f>
        <v>293522916.85745567</v>
      </c>
      <c r="AE22" s="9">
        <f ca="1">'Balance Sheet'!AD11</f>
        <v>312495195.27084416</v>
      </c>
      <c r="AF22" s="9">
        <f ca="1">'Balance Sheet'!AE11</f>
        <v>334813495.95556998</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160515193.6363458</v>
      </c>
      <c r="D23" s="9">
        <f t="shared" ref="D23:AF23" ca="1" si="30">D20-D22</f>
        <v>166099979.93094516</v>
      </c>
      <c r="E23" s="9">
        <f t="shared" ca="1" si="30"/>
        <v>172661949.14853948</v>
      </c>
      <c r="F23" s="9">
        <f t="shared" ca="1" si="30"/>
        <v>180624298.08330137</v>
      </c>
      <c r="G23" s="9">
        <f t="shared" ca="1" si="30"/>
        <v>189709983.32141086</v>
      </c>
      <c r="H23" s="9">
        <f t="shared" ca="1" si="30"/>
        <v>200280121.69568199</v>
      </c>
      <c r="I23" s="9">
        <f t="shared" ca="1" si="30"/>
        <v>212090987.1087611</v>
      </c>
      <c r="J23" s="9">
        <f ca="1">J20-J22</f>
        <v>225458238.25317255</v>
      </c>
      <c r="K23" s="9">
        <f t="shared" ca="1" si="30"/>
        <v>240745906.4402355</v>
      </c>
      <c r="L23" s="9">
        <f t="shared" ca="1" si="30"/>
        <v>257918717.47053528</v>
      </c>
      <c r="M23" s="9">
        <f t="shared" ca="1" si="30"/>
        <v>276849007.9109804</v>
      </c>
      <c r="N23" s="9">
        <f t="shared" ca="1" si="30"/>
        <v>296764763.63446474</v>
      </c>
      <c r="O23" s="9">
        <f t="shared" ca="1" si="30"/>
        <v>317809477.02682513</v>
      </c>
      <c r="P23" s="9">
        <f t="shared" ca="1" si="30"/>
        <v>340143128.16892338</v>
      </c>
      <c r="Q23" s="9">
        <f t="shared" ca="1" si="30"/>
        <v>363285930.36362332</v>
      </c>
      <c r="R23" s="9">
        <f t="shared" ca="1" si="30"/>
        <v>387329963.337152</v>
      </c>
      <c r="S23" s="9">
        <f t="shared" ca="1" si="30"/>
        <v>412377254.91517985</v>
      </c>
      <c r="T23" s="9">
        <f t="shared" ca="1" si="30"/>
        <v>438540637.76537472</v>
      </c>
      <c r="U23" s="9">
        <f t="shared" ca="1" si="30"/>
        <v>465944669.84414393</v>
      </c>
      <c r="V23" s="9">
        <f t="shared" ca="1" si="30"/>
        <v>494726622.87316579</v>
      </c>
      <c r="W23" s="9">
        <f t="shared" ca="1" si="30"/>
        <v>524578743.65409964</v>
      </c>
      <c r="X23" s="9">
        <f t="shared" ca="1" si="30"/>
        <v>555117642.76659715</v>
      </c>
      <c r="Y23" s="9">
        <f t="shared" ca="1" si="30"/>
        <v>586386924.07617104</v>
      </c>
      <c r="Z23" s="9">
        <f t="shared" ca="1" si="30"/>
        <v>618434666.61750793</v>
      </c>
      <c r="AA23" s="9">
        <f t="shared" ca="1" si="30"/>
        <v>651313804.53221703</v>
      </c>
      <c r="AB23" s="9">
        <f t="shared" ca="1" si="30"/>
        <v>685082534.02719212</v>
      </c>
      <c r="AC23" s="9">
        <f t="shared" ca="1" si="30"/>
        <v>717618728.41424942</v>
      </c>
      <c r="AD23" s="9">
        <f t="shared" ca="1" si="30"/>
        <v>748747347.2631948</v>
      </c>
      <c r="AE23" s="9">
        <f t="shared" ca="1" si="30"/>
        <v>778281510.93801284</v>
      </c>
      <c r="AF23" s="9">
        <f t="shared" ca="1" si="30"/>
        <v>806021858.48831606</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165</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13515000</v>
      </c>
      <c r="D5" s="1">
        <f ca="1">C5+C6</f>
        <v>28652973.538109489</v>
      </c>
      <c r="E5" s="1">
        <f t="shared" ref="E5:AF5" ca="1" si="1">D5+D6</f>
        <v>43476892.46787066</v>
      </c>
      <c r="F5" s="1">
        <f t="shared" ca="1" si="1"/>
        <v>57584780.101179637</v>
      </c>
      <c r="G5" s="1">
        <f t="shared" ca="1" si="1"/>
        <v>71275579.001319259</v>
      </c>
      <c r="H5" s="1">
        <f t="shared" ca="1" si="1"/>
        <v>84210772.257721245</v>
      </c>
      <c r="I5" s="1">
        <f t="shared" ca="1" si="1"/>
        <v>96657409.087496787</v>
      </c>
      <c r="J5" s="1">
        <f t="shared" ca="1" si="1"/>
        <v>108323900.25771138</v>
      </c>
      <c r="K5" s="1">
        <f t="shared" ca="1" si="1"/>
        <v>118871054.13934247</v>
      </c>
      <c r="L5" s="1">
        <f t="shared" ca="1" si="1"/>
        <v>128359779.48393498</v>
      </c>
      <c r="M5" s="1">
        <f t="shared" ca="1" si="1"/>
        <v>136944194.58237869</v>
      </c>
      <c r="N5" s="1">
        <f t="shared" ca="1" si="1"/>
        <v>145423614.97502762</v>
      </c>
      <c r="O5" s="1">
        <f t="shared" ca="1" si="1"/>
        <v>153682723.33451676</v>
      </c>
      <c r="P5" s="1">
        <f t="shared" ca="1" si="1"/>
        <v>161590616.24032721</v>
      </c>
      <c r="Q5" s="1">
        <f t="shared" ca="1" si="1"/>
        <v>169657087.5030691</v>
      </c>
      <c r="R5" s="1">
        <f t="shared" ca="1" si="1"/>
        <v>177821024.73762035</v>
      </c>
      <c r="S5" s="1">
        <f t="shared" ca="1" si="1"/>
        <v>186012358.41433093</v>
      </c>
      <c r="T5" s="1">
        <f t="shared" ca="1" si="1"/>
        <v>194151236.82702619</v>
      </c>
      <c r="U5" s="1">
        <f t="shared" ca="1" si="1"/>
        <v>202147138.37155956</v>
      </c>
      <c r="V5" s="1">
        <f t="shared" ca="1" si="1"/>
        <v>209897916.84178597</v>
      </c>
      <c r="W5" s="1">
        <f t="shared" ca="1" si="1"/>
        <v>217747574.96807629</v>
      </c>
      <c r="X5" s="1">
        <f t="shared" ca="1" si="1"/>
        <v>226116911.68783411</v>
      </c>
      <c r="Y5" s="1">
        <f t="shared" ca="1" si="1"/>
        <v>235000929.75714779</v>
      </c>
      <c r="Z5" s="1">
        <f t="shared" ca="1" si="1"/>
        <v>244391392.1748229</v>
      </c>
      <c r="AA5" s="1">
        <f t="shared" ca="1" si="1"/>
        <v>254276481.77781418</v>
      </c>
      <c r="AB5" s="1">
        <f t="shared" ca="1" si="1"/>
        <v>264640435.08110571</v>
      </c>
      <c r="AC5" s="1">
        <f t="shared" ca="1" si="1"/>
        <v>277649169.34185976</v>
      </c>
      <c r="AD5" s="1">
        <f t="shared" ca="1" si="1"/>
        <v>293522916.85745567</v>
      </c>
      <c r="AE5" s="1">
        <f t="shared" ca="1" si="1"/>
        <v>312495195.27084416</v>
      </c>
      <c r="AF5" s="1">
        <f t="shared" ca="1" si="1"/>
        <v>334813495.95556998</v>
      </c>
      <c r="AG5" s="1"/>
      <c r="AH5" s="1"/>
      <c r="AI5" s="1"/>
      <c r="AJ5" s="1"/>
      <c r="AK5" s="1"/>
      <c r="AL5" s="1"/>
      <c r="AM5" s="1"/>
      <c r="AN5" s="1"/>
      <c r="AO5" s="1"/>
      <c r="AP5" s="1"/>
    </row>
    <row r="6" spans="1:42" x14ac:dyDescent="0.35">
      <c r="A6" s="63" t="s">
        <v>3</v>
      </c>
      <c r="C6" s="1">
        <f ca="1">-'Cash Flow'!C13</f>
        <v>15137973.538109487</v>
      </c>
      <c r="D6" s="1">
        <f ca="1">-'Cash Flow'!D13</f>
        <v>14823918.929761173</v>
      </c>
      <c r="E6" s="1">
        <f ca="1">-'Cash Flow'!E13</f>
        <v>14107887.633308977</v>
      </c>
      <c r="F6" s="1">
        <f ca="1">-'Cash Flow'!F13</f>
        <v>13690798.900139624</v>
      </c>
      <c r="G6" s="1">
        <f ca="1">-'Cash Flow'!G13</f>
        <v>12935193.256401978</v>
      </c>
      <c r="H6" s="1">
        <f ca="1">-'Cash Flow'!H13</f>
        <v>12446636.829775549</v>
      </c>
      <c r="I6" s="1">
        <f ca="1">-'Cash Flow'!I13</f>
        <v>11666491.17021459</v>
      </c>
      <c r="J6" s="1">
        <f ca="1">-'Cash Flow'!J13</f>
        <v>10547153.881631091</v>
      </c>
      <c r="K6" s="1">
        <f ca="1">-'Cash Flow'!K13</f>
        <v>9488725.3445925117</v>
      </c>
      <c r="L6" s="1">
        <f ca="1">-'Cash Flow'!L13</f>
        <v>8584415.098443687</v>
      </c>
      <c r="M6" s="1">
        <f ca="1">-'Cash Flow'!M13</f>
        <v>8479420.3926489465</v>
      </c>
      <c r="N6" s="1">
        <f ca="1">-'Cash Flow'!N13</f>
        <v>8259108.3594891503</v>
      </c>
      <c r="O6" s="1">
        <f ca="1">-'Cash Flow'!O13</f>
        <v>7907892.905810453</v>
      </c>
      <c r="P6" s="1">
        <f ca="1">-'Cash Flow'!P13</f>
        <v>8066471.262741901</v>
      </c>
      <c r="Q6" s="1">
        <f ca="1">-'Cash Flow'!Q13</f>
        <v>8163937.2345512435</v>
      </c>
      <c r="R6" s="1">
        <f ca="1">-'Cash Flow'!R13</f>
        <v>8191333.6767105833</v>
      </c>
      <c r="S6" s="1">
        <f ca="1">-'Cash Flow'!S13</f>
        <v>8138878.412695244</v>
      </c>
      <c r="T6" s="1">
        <f ca="1">-'Cash Flow'!T13</f>
        <v>7995901.5445333719</v>
      </c>
      <c r="U6" s="1">
        <f ca="1">-'Cash Flow'!U13</f>
        <v>7750778.4702263921</v>
      </c>
      <c r="V6" s="1">
        <f ca="1">-'Cash Flow'!V13</f>
        <v>7849658.1262903214</v>
      </c>
      <c r="W6" s="1">
        <f ca="1">-'Cash Flow'!W13</f>
        <v>8369336.7197578251</v>
      </c>
      <c r="X6" s="1">
        <f ca="1">-'Cash Flow'!X13</f>
        <v>8884018.0693136826</v>
      </c>
      <c r="Y6" s="1">
        <f ca="1">-'Cash Flow'!Y13</f>
        <v>9390462.4176751077</v>
      </c>
      <c r="Z6" s="1">
        <f ca="1">-'Cash Flow'!Z13</f>
        <v>9885089.6029912755</v>
      </c>
      <c r="AA6" s="1">
        <f ca="1">-'Cash Flow'!AA13</f>
        <v>10363953.303291544</v>
      </c>
      <c r="AB6" s="1">
        <f ca="1">-'Cash Flow'!AB13</f>
        <v>13008734.260754034</v>
      </c>
      <c r="AC6" s="1">
        <f ca="1">-'Cash Flow'!AC13</f>
        <v>15873747.515595898</v>
      </c>
      <c r="AD6" s="1">
        <f ca="1">-'Cash Flow'!AD13</f>
        <v>18972278.413388476</v>
      </c>
      <c r="AE6" s="1">
        <f ca="1">-'Cash Flow'!AE13</f>
        <v>22318300.684725851</v>
      </c>
      <c r="AF6" s="1">
        <f ca="1">-'Cash Flow'!AF13</f>
        <v>25926509.136564374</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1002854.0738338322</v>
      </c>
      <c r="D8" s="1">
        <f ca="1">IF(SUM(D5:D6)&gt;0,Assumptions!$C$26*SUM(D5:D6),Assumptions!$C$27*(SUM(D5:D6)))</f>
        <v>1521691.2363754732</v>
      </c>
      <c r="E8" s="1">
        <f ca="1">IF(SUM(E5:E6)&gt;0,Assumptions!$C$26*SUM(E5:E6),Assumptions!$C$27*(SUM(E5:E6)))</f>
        <v>2015467.3035412875</v>
      </c>
      <c r="F8" s="1">
        <f ca="1">IF(SUM(F5:F6)&gt;0,Assumptions!$C$26*SUM(F5:F6),Assumptions!$C$27*(SUM(F5:F6)))</f>
        <v>2494645.2650461742</v>
      </c>
      <c r="G8" s="1">
        <f ca="1">IF(SUM(G5:G6)&gt;0,Assumptions!$C$26*SUM(G5:G6),Assumptions!$C$27*(SUM(G5:G6)))</f>
        <v>2947377.0290202438</v>
      </c>
      <c r="H8" s="1">
        <f ca="1">IF(SUM(H5:H6)&gt;0,Assumptions!$C$26*SUM(H5:H6),Assumptions!$C$27*(SUM(H5:H6)))</f>
        <v>3383009.3180623879</v>
      </c>
      <c r="I8" s="1">
        <f ca="1">IF(SUM(I5:I6)&gt;0,Assumptions!$C$26*SUM(I5:I6),Assumptions!$C$27*(SUM(I5:I6)))</f>
        <v>3791336.5090198987</v>
      </c>
      <c r="J8" s="1">
        <f ca="1">IF(SUM(J5:J6)&gt;0,Assumptions!$C$26*SUM(J5:J6),Assumptions!$C$27*(SUM(J5:J6)))</f>
        <v>4160486.8948769867</v>
      </c>
      <c r="K8" s="1">
        <f ca="1">IF(SUM(K5:K6)&gt;0,Assumptions!$C$26*SUM(K5:K6),Assumptions!$C$27*(SUM(K5:K6)))</f>
        <v>4492592.2819377249</v>
      </c>
      <c r="L8" s="1">
        <f ca="1">IF(SUM(L5:L6)&gt;0,Assumptions!$C$26*SUM(L5:L6),Assumptions!$C$27*(SUM(L5:L6)))</f>
        <v>4793046.8103832547</v>
      </c>
      <c r="M8" s="1">
        <f ca="1">IF(SUM(M5:M6)&gt;0,Assumptions!$C$26*SUM(M5:M6),Assumptions!$C$27*(SUM(M5:M6)))</f>
        <v>5089826.5241259672</v>
      </c>
      <c r="N8" s="1">
        <f ca="1">IF(SUM(N5:N6)&gt;0,Assumptions!$C$26*SUM(N5:N6),Assumptions!$C$27*(SUM(N5:N6)))</f>
        <v>5378895.316708087</v>
      </c>
      <c r="O8" s="1">
        <f ca="1">IF(SUM(O5:O6)&gt;0,Assumptions!$C$26*SUM(O5:O6),Assumptions!$C$27*(SUM(O5:O6)))</f>
        <v>5655671.5684114527</v>
      </c>
      <c r="P8" s="1">
        <f ca="1">IF(SUM(P5:P6)&gt;0,Assumptions!$C$26*SUM(P5:P6),Assumptions!$C$27*(SUM(P5:P6)))</f>
        <v>5937998.0626074187</v>
      </c>
      <c r="Q8" s="1">
        <f ca="1">IF(SUM(Q5:Q6)&gt;0,Assumptions!$C$26*SUM(Q5:Q6),Assumptions!$C$27*(SUM(Q5:Q6)))</f>
        <v>6223735.8658167133</v>
      </c>
      <c r="R8" s="1">
        <f ca="1">IF(SUM(R5:R6)&gt;0,Assumptions!$C$26*SUM(R5:R6),Assumptions!$C$27*(SUM(R5:R6)))</f>
        <v>6510432.5445015831</v>
      </c>
      <c r="S8" s="1">
        <f ca="1">IF(SUM(S5:S6)&gt;0,Assumptions!$C$26*SUM(S5:S6),Assumptions!$C$27*(SUM(S5:S6)))</f>
        <v>6795293.288945917</v>
      </c>
      <c r="T8" s="1">
        <f ca="1">IF(SUM(T5:T6)&gt;0,Assumptions!$C$26*SUM(T5:T6),Assumptions!$C$27*(SUM(T5:T6)))</f>
        <v>7075149.8430045852</v>
      </c>
      <c r="U8" s="1">
        <f ca="1">IF(SUM(U5:U6)&gt;0,Assumptions!$C$26*SUM(U5:U6),Assumptions!$C$27*(SUM(U5:U6)))</f>
        <v>7346427.0894625094</v>
      </c>
      <c r="V8" s="1">
        <f ca="1">IF(SUM(V5:V6)&gt;0,Assumptions!$C$26*SUM(V5:V6),Assumptions!$C$27*(SUM(V5:V6)))</f>
        <v>7621165.1238826709</v>
      </c>
      <c r="W8" s="1">
        <f ca="1">IF(SUM(W5:W6)&gt;0,Assumptions!$C$26*SUM(W5:W6),Assumptions!$C$27*(SUM(W5:W6)))</f>
        <v>7914091.9090741947</v>
      </c>
      <c r="X8" s="1">
        <f ca="1">IF(SUM(X5:X6)&gt;0,Assumptions!$C$26*SUM(X5:X6),Assumptions!$C$27*(SUM(X5:X6)))</f>
        <v>8225032.5415001735</v>
      </c>
      <c r="Y8" s="1">
        <f ca="1">IF(SUM(Y5:Y6)&gt;0,Assumptions!$C$26*SUM(Y5:Y6),Assumptions!$C$27*(SUM(Y5:Y6)))</f>
        <v>8553698.726118803</v>
      </c>
      <c r="Z8" s="1">
        <f ca="1">IF(SUM(Z5:Z6)&gt;0,Assumptions!$C$26*SUM(Z5:Z6),Assumptions!$C$27*(SUM(Z5:Z6)))</f>
        <v>8899676.8622234967</v>
      </c>
      <c r="AA8" s="1">
        <f ca="1">IF(SUM(AA5:AA6)&gt;0,Assumptions!$C$26*SUM(AA5:AA6),Assumptions!$C$27*(SUM(AA5:AA6)))</f>
        <v>9262415.2278387006</v>
      </c>
      <c r="AB8" s="1">
        <f ca="1">IF(SUM(AB5:AB6)&gt;0,Assumptions!$C$26*SUM(AB5:AB6),Assumptions!$C$27*(SUM(AB5:AB6)))</f>
        <v>9717720.9269650932</v>
      </c>
      <c r="AC8" s="1">
        <f ca="1">IF(SUM(AC5:AC6)&gt;0,Assumptions!$C$26*SUM(AC5:AC6),Assumptions!$C$27*(SUM(AC5:AC6)))</f>
        <v>10273302.09001095</v>
      </c>
      <c r="AD8" s="1">
        <f ca="1">IF(SUM(AD5:AD6)&gt;0,Assumptions!$C$26*SUM(AD5:AD6),Assumptions!$C$27*(SUM(AD5:AD6)))</f>
        <v>10937331.834479546</v>
      </c>
      <c r="AE8" s="1">
        <f ca="1">IF(SUM(AE5:AE6)&gt;0,Assumptions!$C$26*SUM(AE5:AE6),Assumptions!$C$27*(SUM(AE5:AE6)))</f>
        <v>11718472.35844495</v>
      </c>
      <c r="AF8" s="1">
        <f ca="1">IF(SUM(AF5:AF6)&gt;0,Assumptions!$C$26*SUM(AF5:AF6),Assumptions!$C$27*(SUM(AF5:AF6)))</f>
        <v>12625900.178224703</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topLeftCell="A4" zoomScaleNormal="100" workbookViewId="0">
      <selection sqref="A1:XFD1048576"/>
    </sheetView>
  </sheetViews>
  <sheetFormatPr defaultRowHeight="15.5" x14ac:dyDescent="0.35"/>
  <cols>
    <col min="1" max="1" width="107.9140625" style="63" customWidth="1"/>
    <col min="2" max="2" width="18.1640625" style="180" bestFit="1" customWidth="1"/>
    <col min="3" max="3" width="52.08203125" style="63" customWidth="1"/>
    <col min="4" max="16384" width="8.6640625" style="63"/>
  </cols>
  <sheetData>
    <row r="1" spans="1:3" ht="26" x14ac:dyDescent="0.6">
      <c r="A1" s="13" t="s">
        <v>184</v>
      </c>
    </row>
    <row r="2" spans="1:3" ht="26" x14ac:dyDescent="0.6">
      <c r="A2" s="13"/>
    </row>
    <row r="3" spans="1:3" ht="186" x14ac:dyDescent="0.35">
      <c r="A3" s="173" t="s">
        <v>187</v>
      </c>
    </row>
    <row r="4" spans="1:3" ht="26" x14ac:dyDescent="0.6">
      <c r="A4" s="13"/>
    </row>
    <row r="5" spans="1:3" ht="18.5" x14ac:dyDescent="0.45">
      <c r="A5" s="89" t="s">
        <v>176</v>
      </c>
      <c r="B5" s="181"/>
    </row>
    <row r="6" spans="1:3" ht="18.5" x14ac:dyDescent="0.45">
      <c r="A6" s="90"/>
      <c r="B6" s="181"/>
    </row>
    <row r="7" spans="1:3" ht="18.5" x14ac:dyDescent="0.45">
      <c r="A7" s="90" t="s">
        <v>96</v>
      </c>
      <c r="B7" s="182">
        <f>Assumptions!C24</f>
        <v>14935000</v>
      </c>
      <c r="C7" s="179" t="str">
        <f>Assumptions!B24</f>
        <v>RFI Table F10; Lines F10.62 + F10.70</v>
      </c>
    </row>
    <row r="8" spans="1:3" ht="34" x14ac:dyDescent="0.45">
      <c r="A8" s="90" t="s">
        <v>173</v>
      </c>
      <c r="B8" s="183">
        <f>Assumptions!$C$133</f>
        <v>0.7</v>
      </c>
      <c r="C8" s="179" t="s">
        <v>199</v>
      </c>
    </row>
    <row r="9" spans="1:3" ht="18.5" x14ac:dyDescent="0.45">
      <c r="A9" s="90"/>
      <c r="B9" s="184"/>
      <c r="C9" s="179"/>
    </row>
    <row r="10" spans="1:3" ht="68" x14ac:dyDescent="0.45">
      <c r="A10" s="94" t="s">
        <v>102</v>
      </c>
      <c r="B10" s="185">
        <f>Assumptions!C135</f>
        <v>7870.3703703703695</v>
      </c>
      <c r="C10" s="179" t="s">
        <v>200</v>
      </c>
    </row>
    <row r="11" spans="1:3" ht="18.5" x14ac:dyDescent="0.45">
      <c r="A11" s="94"/>
      <c r="B11" s="186"/>
      <c r="C11" s="179"/>
    </row>
    <row r="12" spans="1:3" ht="18.5" x14ac:dyDescent="0.45">
      <c r="A12" s="94" t="s">
        <v>183</v>
      </c>
      <c r="B12" s="182">
        <f>(B7*B8)/B10</f>
        <v>1328.3364705882354</v>
      </c>
      <c r="C12" s="179"/>
    </row>
    <row r="13" spans="1:3" ht="18.5" x14ac:dyDescent="0.45">
      <c r="A13" s="96"/>
      <c r="B13" s="187"/>
      <c r="C13" s="179"/>
    </row>
    <row r="14" spans="1:3" ht="18.5" x14ac:dyDescent="0.45">
      <c r="A14" s="94" t="s">
        <v>103</v>
      </c>
      <c r="B14" s="103">
        <v>1</v>
      </c>
      <c r="C14" s="179"/>
    </row>
    <row r="15" spans="1:3" ht="18.5" x14ac:dyDescent="0.45">
      <c r="A15" s="96"/>
      <c r="B15" s="99"/>
      <c r="C15" s="179"/>
    </row>
    <row r="16" spans="1:3" ht="18.5" x14ac:dyDescent="0.45">
      <c r="A16" s="96" t="s">
        <v>178</v>
      </c>
      <c r="B16" s="188">
        <f>B12/B14</f>
        <v>1328.3364705882354</v>
      </c>
      <c r="C16" s="179"/>
    </row>
    <row r="17" spans="1:3" ht="18.5" x14ac:dyDescent="0.45">
      <c r="A17" s="94"/>
      <c r="B17" s="189"/>
      <c r="C17" s="179"/>
    </row>
    <row r="18" spans="1:3" ht="18.5" x14ac:dyDescent="0.45">
      <c r="A18" s="102" t="s">
        <v>177</v>
      </c>
      <c r="B18" s="189"/>
      <c r="C18" s="179"/>
    </row>
    <row r="19" spans="1:3" ht="18.5" x14ac:dyDescent="0.45">
      <c r="A19" s="94"/>
      <c r="B19" s="189"/>
      <c r="C19" s="179"/>
    </row>
    <row r="20" spans="1:3" ht="34" x14ac:dyDescent="0.45">
      <c r="A20" s="94" t="s">
        <v>65</v>
      </c>
      <c r="B20" s="182">
        <f>'Profit and Loss'!L5</f>
        <v>51886121.006560259</v>
      </c>
      <c r="C20" s="179" t="s">
        <v>201</v>
      </c>
    </row>
    <row r="21" spans="1:3" ht="34" x14ac:dyDescent="0.45">
      <c r="A21" s="94" t="str">
        <f>A8</f>
        <v>Assumed revenue from households</v>
      </c>
      <c r="B21" s="183">
        <f>B8</f>
        <v>0.7</v>
      </c>
      <c r="C21" s="179" t="s">
        <v>199</v>
      </c>
    </row>
    <row r="22" spans="1:3" ht="18.5" x14ac:dyDescent="0.45">
      <c r="A22" s="94"/>
      <c r="B22" s="186"/>
      <c r="C22" s="179"/>
    </row>
    <row r="23" spans="1:3" ht="34" x14ac:dyDescent="0.45">
      <c r="A23" s="94" t="s">
        <v>101</v>
      </c>
      <c r="B23" s="185">
        <f>Assumptions!M135</f>
        <v>8415.3289993094149</v>
      </c>
      <c r="C23" s="179" t="s">
        <v>202</v>
      </c>
    </row>
    <row r="24" spans="1:3" ht="18.5" x14ac:dyDescent="0.45">
      <c r="A24" s="94"/>
      <c r="B24" s="186"/>
      <c r="C24" s="179"/>
    </row>
    <row r="25" spans="1:3" ht="18.5" x14ac:dyDescent="0.45">
      <c r="A25" s="94" t="s">
        <v>182</v>
      </c>
      <c r="B25" s="182">
        <f>(B20*B21)/B23</f>
        <v>4315.9672910676127</v>
      </c>
      <c r="C25" s="179"/>
    </row>
    <row r="26" spans="1:3" ht="18.5" x14ac:dyDescent="0.45">
      <c r="A26" s="94"/>
      <c r="B26" s="182"/>
      <c r="C26" s="179"/>
    </row>
    <row r="27" spans="1:3" ht="34" x14ac:dyDescent="0.45">
      <c r="A27" s="94" t="s">
        <v>103</v>
      </c>
      <c r="B27" s="103">
        <f>1.022^11</f>
        <v>1.2704566586717592</v>
      </c>
      <c r="C27" s="179" t="s">
        <v>203</v>
      </c>
    </row>
    <row r="28" spans="1:3" ht="18.5" x14ac:dyDescent="0.45">
      <c r="A28" s="96"/>
      <c r="B28" s="187"/>
      <c r="C28" s="179"/>
    </row>
    <row r="29" spans="1:3" ht="18.5" x14ac:dyDescent="0.45">
      <c r="A29" s="96" t="s">
        <v>179</v>
      </c>
      <c r="B29" s="182">
        <f>B25/B27</f>
        <v>3397.1779057617623</v>
      </c>
      <c r="C29" s="179"/>
    </row>
    <row r="30" spans="1:3" ht="18.5" x14ac:dyDescent="0.45">
      <c r="A30" s="96"/>
      <c r="B30" s="187"/>
      <c r="C30" s="179"/>
    </row>
    <row r="31" spans="1:3" ht="18.5" x14ac:dyDescent="0.45">
      <c r="A31" s="102" t="s">
        <v>185</v>
      </c>
      <c r="B31" s="190"/>
      <c r="C31" s="179"/>
    </row>
    <row r="32" spans="1:3" ht="18.5" x14ac:dyDescent="0.45">
      <c r="A32" s="94"/>
      <c r="B32" s="182"/>
      <c r="C32" s="179"/>
    </row>
    <row r="33" spans="1:3" ht="34" x14ac:dyDescent="0.45">
      <c r="A33" s="94" t="s">
        <v>66</v>
      </c>
      <c r="B33" s="182">
        <f>'Profit and Loss'!AF5</f>
        <v>134212794.42460126</v>
      </c>
      <c r="C33" s="179" t="s">
        <v>201</v>
      </c>
    </row>
    <row r="34" spans="1:3" ht="34" x14ac:dyDescent="0.45">
      <c r="A34" s="94" t="str">
        <f>A21</f>
        <v>Assumed revenue from households</v>
      </c>
      <c r="B34" s="183">
        <f>B21</f>
        <v>0.7</v>
      </c>
      <c r="C34" s="179" t="s">
        <v>199</v>
      </c>
    </row>
    <row r="35" spans="1:3" ht="18.5" x14ac:dyDescent="0.45">
      <c r="A35" s="94"/>
      <c r="B35" s="186"/>
      <c r="C35" s="179"/>
    </row>
    <row r="36" spans="1:3" ht="34" x14ac:dyDescent="0.45">
      <c r="A36" s="94" t="s">
        <v>100</v>
      </c>
      <c r="B36" s="185">
        <f>Assumptions!AG135</f>
        <v>9621.0607745337056</v>
      </c>
      <c r="C36" s="179" t="s">
        <v>202</v>
      </c>
    </row>
    <row r="37" spans="1:3" ht="18.5" x14ac:dyDescent="0.45">
      <c r="A37" s="94"/>
      <c r="B37" s="186"/>
      <c r="C37" s="179"/>
    </row>
    <row r="38" spans="1:3" ht="18.5" x14ac:dyDescent="0.45">
      <c r="A38" s="94" t="s">
        <v>181</v>
      </c>
      <c r="B38" s="182">
        <f>(B33*B34)/B36</f>
        <v>9764.9269970206788</v>
      </c>
      <c r="C38" s="179"/>
    </row>
    <row r="39" spans="1:3" ht="18.5" x14ac:dyDescent="0.45">
      <c r="A39" s="94"/>
      <c r="B39" s="186"/>
      <c r="C39" s="179"/>
    </row>
    <row r="40" spans="1:3" ht="34" x14ac:dyDescent="0.45">
      <c r="A40" s="94" t="s">
        <v>103</v>
      </c>
      <c r="B40" s="103">
        <f>1.022^31</f>
        <v>1.9632597808456462</v>
      </c>
      <c r="C40" s="179" t="s">
        <v>203</v>
      </c>
    </row>
    <row r="41" spans="1:3" ht="18.5" x14ac:dyDescent="0.45">
      <c r="A41" s="96"/>
      <c r="B41" s="187"/>
    </row>
    <row r="42" spans="1:3" ht="18.5" x14ac:dyDescent="0.45">
      <c r="A42" s="96" t="s">
        <v>180</v>
      </c>
      <c r="B42" s="182">
        <f>B38/B40</f>
        <v>4973.8333623961753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160</v>
      </c>
    </row>
    <row r="2" spans="1:33" ht="26.5" thickBot="1" x14ac:dyDescent="0.4">
      <c r="A2" s="111"/>
      <c r="B2" s="111"/>
      <c r="D2" s="112"/>
    </row>
    <row r="3" spans="1:33" s="114" customFormat="1" ht="21.5" thickBot="1" x14ac:dyDescent="0.4">
      <c r="A3" s="84"/>
      <c r="B3" s="84"/>
      <c r="C3" s="113"/>
      <c r="D3" s="191" t="s">
        <v>27</v>
      </c>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row>
    <row r="4" spans="1:33" s="120" customFormat="1" ht="16" thickBot="1" x14ac:dyDescent="0.4">
      <c r="A4" s="115" t="s">
        <v>25</v>
      </c>
      <c r="B4" s="115" t="s">
        <v>194</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137</v>
      </c>
      <c r="C13" s="127">
        <v>6.7174416065822751E-3</v>
      </c>
      <c r="D13" s="128">
        <f t="shared" ref="D13:AG13" si="3">(1+$C$13)^D8</f>
        <v>1.0067174416065823</v>
      </c>
      <c r="E13" s="128">
        <f t="shared" si="3"/>
        <v>1.0134800072349024</v>
      </c>
      <c r="F13" s="128">
        <f t="shared" si="3"/>
        <v>1.0202880000029415</v>
      </c>
      <c r="G13" s="128">
        <f t="shared" si="3"/>
        <v>1.0271417250648578</v>
      </c>
      <c r="H13" s="128">
        <f t="shared" si="3"/>
        <v>1.0340414896246652</v>
      </c>
      <c r="I13" s="128">
        <f t="shared" si="3"/>
        <v>1.0409876029500023</v>
      </c>
      <c r="J13" s="128">
        <f t="shared" si="3"/>
        <v>1.0479803763859949</v>
      </c>
      <c r="K13" s="128">
        <f t="shared" si="3"/>
        <v>1.0550201233692118</v>
      </c>
      <c r="L13" s="128">
        <f t="shared" si="3"/>
        <v>1.0621071594417137</v>
      </c>
      <c r="M13" s="128">
        <f t="shared" si="3"/>
        <v>1.0692418022651964</v>
      </c>
      <c r="N13" s="128">
        <f t="shared" si="3"/>
        <v>1.0764243716352297</v>
      </c>
      <c r="O13" s="128">
        <f t="shared" si="3"/>
        <v>1.0836551894955913</v>
      </c>
      <c r="P13" s="128">
        <f t="shared" si="3"/>
        <v>1.0909345799526979</v>
      </c>
      <c r="Q13" s="128">
        <f t="shared" si="3"/>
        <v>1.0982628692901315</v>
      </c>
      <c r="R13" s="128">
        <f t="shared" si="3"/>
        <v>1.1056403859832653</v>
      </c>
      <c r="S13" s="128">
        <f t="shared" si="3"/>
        <v>1.113067460713987</v>
      </c>
      <c r="T13" s="128">
        <f t="shared" si="3"/>
        <v>1.12054442638552</v>
      </c>
      <c r="U13" s="128">
        <f t="shared" si="3"/>
        <v>1.128071618137346</v>
      </c>
      <c r="V13" s="128">
        <f t="shared" si="3"/>
        <v>1.1356493733602264</v>
      </c>
      <c r="W13" s="128">
        <f t="shared" si="3"/>
        <v>1.1432780317113254</v>
      </c>
      <c r="X13" s="128">
        <f t="shared" si="3"/>
        <v>1.1509579351294346</v>
      </c>
      <c r="Y13" s="128">
        <f t="shared" si="3"/>
        <v>1.158689427850299</v>
      </c>
      <c r="Z13" s="128">
        <f t="shared" si="3"/>
        <v>1.1664728564220477</v>
      </c>
      <c r="AA13" s="128">
        <f t="shared" si="3"/>
        <v>1.1743085697207258</v>
      </c>
      <c r="AB13" s="128">
        <f t="shared" si="3"/>
        <v>1.182196918965934</v>
      </c>
      <c r="AC13" s="128">
        <f t="shared" si="3"/>
        <v>1.1901382577365691</v>
      </c>
      <c r="AD13" s="128">
        <f t="shared" si="3"/>
        <v>1.1981329419866742</v>
      </c>
      <c r="AE13" s="128">
        <f t="shared" si="3"/>
        <v>1.2061813300613922</v>
      </c>
      <c r="AF13" s="128">
        <f t="shared" si="3"/>
        <v>1.2142837827130295</v>
      </c>
      <c r="AG13" s="128">
        <f t="shared" si="3"/>
        <v>1.222440663117224</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191</v>
      </c>
      <c r="B15" s="178" t="s">
        <v>192</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169</v>
      </c>
      <c r="C17" s="136">
        <f>AVERAGE(C49:C50)</f>
        <v>307900000.00000006</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153950000.00000003</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136</v>
      </c>
      <c r="C20" s="137">
        <v>13515000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158</v>
      </c>
      <c r="B22" s="178" t="s">
        <v>192</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135</v>
      </c>
      <c r="C24" s="136">
        <v>14935000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196</v>
      </c>
      <c r="C25" s="136">
        <v>7253000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159</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307900000.00000006</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197</v>
      </c>
      <c r="C50" s="71">
        <v>307900000.00000006</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170</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170</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909396.16989327967</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1286148.7458055655</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1097772.4578494225</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2478760.1209566975</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3298224.1624169019</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2888492.1416867999</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4174640.8874923652</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140</v>
      </c>
      <c r="B77" s="70" t="s">
        <v>175</v>
      </c>
      <c r="C77" s="87">
        <v>35484479.706164703</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141</v>
      </c>
      <c r="B79" s="69" t="s">
        <v>154</v>
      </c>
      <c r="C79" s="87">
        <v>530745767.2262423</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142</v>
      </c>
      <c r="B80" s="69" t="s">
        <v>154</v>
      </c>
      <c r="C80" s="87">
        <v>565738391.75362408</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143</v>
      </c>
      <c r="B82" s="69" t="s">
        <v>86</v>
      </c>
      <c r="C82" s="87">
        <f>C79+$C$77</f>
        <v>566230246.93240702</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144</v>
      </c>
      <c r="B83" s="69" t="s">
        <v>86</v>
      </c>
      <c r="C83" s="87">
        <f>C80+$C$77</f>
        <v>601222871.4597888</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149</v>
      </c>
      <c r="B85" s="69" t="s">
        <v>198</v>
      </c>
      <c r="C85" s="150">
        <v>22500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150</v>
      </c>
      <c r="B86" s="69" t="s">
        <v>133</v>
      </c>
      <c r="C86" s="150">
        <v>20000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21250</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145</v>
      </c>
      <c r="B89" s="69" t="s">
        <v>86</v>
      </c>
      <c r="C89" s="150">
        <f>C82/$C$87</f>
        <v>26646.129267407388</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145</v>
      </c>
      <c r="B90" s="69" t="s">
        <v>86</v>
      </c>
      <c r="C90" s="150">
        <f>C83/$C$87</f>
        <v>28292.841009872413</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146</v>
      </c>
      <c r="B92" s="69" t="s">
        <v>153</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147</v>
      </c>
      <c r="B94" s="69" t="s">
        <v>86</v>
      </c>
      <c r="C94" s="87">
        <f>IF(C89&lt;$C$92,C89*$C$87,$C$92*$C$87)</f>
        <v>566230246.93240702</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148</v>
      </c>
      <c r="B95" s="69" t="s">
        <v>86</v>
      </c>
      <c r="C95" s="87">
        <f>IF(C90&lt;$C$92,C90*$C$87,$C$92*$C$87)</f>
        <v>601222871.4597888</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152</v>
      </c>
      <c r="B96" s="69" t="s">
        <v>86</v>
      </c>
      <c r="C96" s="87">
        <f>AVERAGE(C94:C95)</f>
        <v>583726559.19609785</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583726559.19609785</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19457551.97320326</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168</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168</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4174640.8874923652</v>
      </c>
      <c r="E111" s="149">
        <f t="shared" si="9"/>
        <v>4174640.8874923652</v>
      </c>
      <c r="F111" s="149">
        <f t="shared" si="9"/>
        <v>4174640.8874923652</v>
      </c>
      <c r="G111" s="149">
        <f t="shared" si="9"/>
        <v>4174640.8874923652</v>
      </c>
      <c r="H111" s="149">
        <f t="shared" si="9"/>
        <v>4174640.8874923652</v>
      </c>
      <c r="I111" s="149">
        <f t="shared" si="9"/>
        <v>4174640.8874923652</v>
      </c>
      <c r="J111" s="149">
        <f t="shared" si="9"/>
        <v>4174640.8874923652</v>
      </c>
      <c r="K111" s="149">
        <f t="shared" si="9"/>
        <v>4174640.8874923652</v>
      </c>
      <c r="L111" s="149">
        <f t="shared" si="9"/>
        <v>4174640.8874923652</v>
      </c>
      <c r="M111" s="149">
        <f t="shared" si="9"/>
        <v>4174640.8874923652</v>
      </c>
      <c r="N111" s="149">
        <f t="shared" si="9"/>
        <v>4174640.8874923652</v>
      </c>
      <c r="O111" s="149">
        <f t="shared" si="9"/>
        <v>4174640.8874923652</v>
      </c>
      <c r="P111" s="149">
        <f t="shared" si="9"/>
        <v>4174640.8874923652</v>
      </c>
      <c r="Q111" s="149">
        <f t="shared" si="9"/>
        <v>4174640.8874923652</v>
      </c>
      <c r="R111" s="149">
        <f t="shared" si="9"/>
        <v>4174640.8874923652</v>
      </c>
      <c r="S111" s="149">
        <f t="shared" si="9"/>
        <v>4174640.8874923652</v>
      </c>
      <c r="T111" s="149">
        <f t="shared" si="9"/>
        <v>4174640.8874923652</v>
      </c>
      <c r="U111" s="149">
        <f t="shared" si="9"/>
        <v>4174640.8874923652</v>
      </c>
      <c r="V111" s="149">
        <f t="shared" si="9"/>
        <v>4174640.8874923652</v>
      </c>
      <c r="W111" s="149">
        <f t="shared" si="9"/>
        <v>4174640.8874923652</v>
      </c>
      <c r="X111" s="149">
        <f t="shared" si="9"/>
        <v>4174640.8874923652</v>
      </c>
      <c r="Y111" s="149">
        <f t="shared" si="9"/>
        <v>4174640.8874923652</v>
      </c>
      <c r="Z111" s="149">
        <f t="shared" si="9"/>
        <v>4174640.8874923652</v>
      </c>
      <c r="AA111" s="149">
        <f t="shared" si="9"/>
        <v>4174640.8874923652</v>
      </c>
      <c r="AB111" s="149">
        <f t="shared" si="9"/>
        <v>4174640.8874923652</v>
      </c>
      <c r="AC111" s="149">
        <f t="shared" si="9"/>
        <v>4174640.8874923652</v>
      </c>
      <c r="AD111" s="149">
        <f t="shared" si="9"/>
        <v>4174640.8874923652</v>
      </c>
      <c r="AE111" s="149">
        <f t="shared" si="9"/>
        <v>4174640.8874923652</v>
      </c>
      <c r="AF111" s="149">
        <f t="shared" si="9"/>
        <v>4174640.8874923652</v>
      </c>
      <c r="AG111" s="149">
        <f t="shared" si="9"/>
        <v>4174640.8874923652</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583726559.19609773</v>
      </c>
      <c r="D113" s="149">
        <f t="shared" ref="D113:AG113" si="10">$C$102</f>
        <v>19457551.97320326</v>
      </c>
      <c r="E113" s="149">
        <f t="shared" si="10"/>
        <v>19457551.97320326</v>
      </c>
      <c r="F113" s="149">
        <f t="shared" si="10"/>
        <v>19457551.97320326</v>
      </c>
      <c r="G113" s="149">
        <f t="shared" si="10"/>
        <v>19457551.97320326</v>
      </c>
      <c r="H113" s="149">
        <f t="shared" si="10"/>
        <v>19457551.97320326</v>
      </c>
      <c r="I113" s="149">
        <f t="shared" si="10"/>
        <v>19457551.97320326</v>
      </c>
      <c r="J113" s="149">
        <f t="shared" si="10"/>
        <v>19457551.97320326</v>
      </c>
      <c r="K113" s="149">
        <f t="shared" si="10"/>
        <v>19457551.97320326</v>
      </c>
      <c r="L113" s="149">
        <f t="shared" si="10"/>
        <v>19457551.97320326</v>
      </c>
      <c r="M113" s="149">
        <f t="shared" si="10"/>
        <v>19457551.97320326</v>
      </c>
      <c r="N113" s="149">
        <f t="shared" si="10"/>
        <v>19457551.97320326</v>
      </c>
      <c r="O113" s="149">
        <f t="shared" si="10"/>
        <v>19457551.97320326</v>
      </c>
      <c r="P113" s="149">
        <f t="shared" si="10"/>
        <v>19457551.97320326</v>
      </c>
      <c r="Q113" s="149">
        <f t="shared" si="10"/>
        <v>19457551.97320326</v>
      </c>
      <c r="R113" s="149">
        <f t="shared" si="10"/>
        <v>19457551.97320326</v>
      </c>
      <c r="S113" s="149">
        <f t="shared" si="10"/>
        <v>19457551.97320326</v>
      </c>
      <c r="T113" s="149">
        <f t="shared" si="10"/>
        <v>19457551.97320326</v>
      </c>
      <c r="U113" s="149">
        <f t="shared" si="10"/>
        <v>19457551.97320326</v>
      </c>
      <c r="V113" s="149">
        <f t="shared" si="10"/>
        <v>19457551.97320326</v>
      </c>
      <c r="W113" s="149">
        <f t="shared" si="10"/>
        <v>19457551.97320326</v>
      </c>
      <c r="X113" s="149">
        <f t="shared" si="10"/>
        <v>19457551.97320326</v>
      </c>
      <c r="Y113" s="149">
        <f t="shared" si="10"/>
        <v>19457551.97320326</v>
      </c>
      <c r="Z113" s="149">
        <f t="shared" si="10"/>
        <v>19457551.97320326</v>
      </c>
      <c r="AA113" s="149">
        <f t="shared" si="10"/>
        <v>19457551.97320326</v>
      </c>
      <c r="AB113" s="149">
        <f t="shared" si="10"/>
        <v>19457551.97320326</v>
      </c>
      <c r="AC113" s="149">
        <f t="shared" si="10"/>
        <v>19457551.97320326</v>
      </c>
      <c r="AD113" s="149">
        <f t="shared" si="10"/>
        <v>19457551.97320326</v>
      </c>
      <c r="AE113" s="149">
        <f t="shared" si="10"/>
        <v>19457551.97320326</v>
      </c>
      <c r="AF113" s="149">
        <f t="shared" si="10"/>
        <v>19457551.97320326</v>
      </c>
      <c r="AG113" s="149">
        <f t="shared" si="10"/>
        <v>19457551.97320326</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19457551.97320326</v>
      </c>
      <c r="E118" s="149">
        <f t="shared" ref="E118:AG118" si="13">E113+E115+E116</f>
        <v>19457551.97320326</v>
      </c>
      <c r="F118" s="149">
        <f>F113+F115+F116</f>
        <v>19457551.97320326</v>
      </c>
      <c r="G118" s="149">
        <f t="shared" si="13"/>
        <v>19457551.97320326</v>
      </c>
      <c r="H118" s="149">
        <f t="shared" si="13"/>
        <v>19457551.97320326</v>
      </c>
      <c r="I118" s="149">
        <f t="shared" si="13"/>
        <v>19457551.97320326</v>
      </c>
      <c r="J118" s="149">
        <f t="shared" si="13"/>
        <v>19457551.97320326</v>
      </c>
      <c r="K118" s="149">
        <f t="shared" si="13"/>
        <v>19457551.97320326</v>
      </c>
      <c r="L118" s="149">
        <f t="shared" si="13"/>
        <v>19457551.97320326</v>
      </c>
      <c r="M118" s="149">
        <f t="shared" si="13"/>
        <v>19457551.97320326</v>
      </c>
      <c r="N118" s="149">
        <f t="shared" si="13"/>
        <v>19457551.97320326</v>
      </c>
      <c r="O118" s="149">
        <f t="shared" si="13"/>
        <v>19457551.97320326</v>
      </c>
      <c r="P118" s="149">
        <f t="shared" si="13"/>
        <v>19457551.97320326</v>
      </c>
      <c r="Q118" s="149">
        <f t="shared" si="13"/>
        <v>19457551.97320326</v>
      </c>
      <c r="R118" s="149">
        <f t="shared" si="13"/>
        <v>19457551.97320326</v>
      </c>
      <c r="S118" s="149">
        <f t="shared" si="13"/>
        <v>19457551.97320326</v>
      </c>
      <c r="T118" s="149">
        <f t="shared" si="13"/>
        <v>19457551.97320326</v>
      </c>
      <c r="U118" s="149">
        <f t="shared" si="13"/>
        <v>19457551.97320326</v>
      </c>
      <c r="V118" s="149">
        <f t="shared" si="13"/>
        <v>19457551.97320326</v>
      </c>
      <c r="W118" s="149">
        <f t="shared" si="13"/>
        <v>19457551.97320326</v>
      </c>
      <c r="X118" s="149">
        <f t="shared" si="13"/>
        <v>19457551.97320326</v>
      </c>
      <c r="Y118" s="149">
        <f t="shared" si="13"/>
        <v>19457551.97320326</v>
      </c>
      <c r="Z118" s="149">
        <f t="shared" si="13"/>
        <v>19457551.97320326</v>
      </c>
      <c r="AA118" s="149">
        <f t="shared" si="13"/>
        <v>19457551.97320326</v>
      </c>
      <c r="AB118" s="149">
        <f t="shared" si="13"/>
        <v>19457551.97320326</v>
      </c>
      <c r="AC118" s="149">
        <f t="shared" si="13"/>
        <v>19457551.97320326</v>
      </c>
      <c r="AD118" s="149">
        <f t="shared" si="13"/>
        <v>19457551.97320326</v>
      </c>
      <c r="AE118" s="149">
        <f t="shared" si="13"/>
        <v>19457551.97320326</v>
      </c>
      <c r="AF118" s="149">
        <f t="shared" si="13"/>
        <v>19457551.97320326</v>
      </c>
      <c r="AG118" s="149">
        <f t="shared" si="13"/>
        <v>19457551.97320326</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466981.24735687824</v>
      </c>
      <c r="E120" s="149">
        <f>(SUM($D$118:E118)*$C$104/$C$106)+(SUM($D$118:E118)*$C$105/$C$107)</f>
        <v>933962.49471375649</v>
      </c>
      <c r="F120" s="149">
        <f>(SUM($D$118:F118)*$C$104/$C$106)+(SUM($D$118:F118)*$C$105/$C$107)</f>
        <v>1400943.7420706346</v>
      </c>
      <c r="G120" s="149">
        <f>(SUM($D$118:G118)*$C$104/$C$106)+(SUM($D$118:G118)*$C$105/$C$107)</f>
        <v>1867924.989427513</v>
      </c>
      <c r="H120" s="149">
        <f>(SUM($D$118:H118)*$C$104/$C$106)+(SUM($D$118:H118)*$C$105/$C$107)</f>
        <v>2334906.2367843911</v>
      </c>
      <c r="I120" s="149">
        <f>(SUM($D$118:I118)*$C$104/$C$106)+(SUM($D$118:I118)*$C$105/$C$107)</f>
        <v>2801887.4841412692</v>
      </c>
      <c r="J120" s="149">
        <f>(SUM($D$118:J118)*$C$104/$C$106)+(SUM($D$118:J118)*$C$105/$C$107)</f>
        <v>3268868.7314981474</v>
      </c>
      <c r="K120" s="149">
        <f>(SUM($D$118:K118)*$C$104/$C$106)+(SUM($D$118:K118)*$C$105/$C$107)</f>
        <v>3735849.978855026</v>
      </c>
      <c r="L120" s="149">
        <f>(SUM($D$118:L118)*$C$104/$C$106)+(SUM($D$118:L118)*$C$105/$C$107)</f>
        <v>4202831.2262119045</v>
      </c>
      <c r="M120" s="149">
        <f>(SUM($D$118:M118)*$C$104/$C$106)+(SUM($D$118:M118)*$C$105/$C$107)</f>
        <v>4669812.4735687831</v>
      </c>
      <c r="N120" s="149">
        <f>(SUM($D$118:N118)*$C$104/$C$106)+(SUM($D$118:N118)*$C$105/$C$107)</f>
        <v>5136793.7209256608</v>
      </c>
      <c r="O120" s="149">
        <f>(SUM($D$118:O118)*$C$104/$C$106)+(SUM($D$118:O118)*$C$105/$C$107)</f>
        <v>5603774.9682825394</v>
      </c>
      <c r="P120" s="149">
        <f>(SUM($D$118:P118)*$C$104/$C$106)+(SUM($D$118:P118)*$C$105/$C$107)</f>
        <v>6070756.2156394189</v>
      </c>
      <c r="Q120" s="149">
        <f>(SUM($D$118:Q118)*$C$104/$C$106)+(SUM($D$118:Q118)*$C$105/$C$107)</f>
        <v>6537737.4629962957</v>
      </c>
      <c r="R120" s="149">
        <f>(SUM($D$118:R118)*$C$104/$C$106)+(SUM($D$118:R118)*$C$105/$C$107)</f>
        <v>7004718.7103531742</v>
      </c>
      <c r="S120" s="149">
        <f>(SUM($D$118:S118)*$C$104/$C$106)+(SUM($D$118:S118)*$C$105/$C$107)</f>
        <v>7471699.9577100519</v>
      </c>
      <c r="T120" s="149">
        <f>(SUM($D$118:T118)*$C$104/$C$106)+(SUM($D$118:T118)*$C$105/$C$107)</f>
        <v>7938681.2050669305</v>
      </c>
      <c r="U120" s="149">
        <f>(SUM($D$118:U118)*$C$104/$C$106)+(SUM($D$118:U118)*$C$105/$C$107)</f>
        <v>8405662.4524238072</v>
      </c>
      <c r="V120" s="149">
        <f>(SUM($D$118:V118)*$C$104/$C$106)+(SUM($D$118:V118)*$C$105/$C$107)</f>
        <v>8872643.699780684</v>
      </c>
      <c r="W120" s="149">
        <f>(SUM($D$118:W118)*$C$104/$C$106)+(SUM($D$118:W118)*$C$105/$C$107)</f>
        <v>9339624.9471375644</v>
      </c>
      <c r="X120" s="149">
        <f>(SUM($D$118:X118)*$C$104/$C$106)+(SUM($D$118:X118)*$C$105/$C$107)</f>
        <v>9806606.1944944412</v>
      </c>
      <c r="Y120" s="149">
        <f>(SUM($D$118:Y118)*$C$104/$C$106)+(SUM($D$118:Y118)*$C$105/$C$107)</f>
        <v>10273587.441851318</v>
      </c>
      <c r="Z120" s="149">
        <f>(SUM($D$118:Z118)*$C$104/$C$106)+(SUM($D$118:Z118)*$C$105/$C$107)</f>
        <v>10740568.689208196</v>
      </c>
      <c r="AA120" s="149">
        <f>(SUM($D$118:AA118)*$C$104/$C$106)+(SUM($D$118:AA118)*$C$105/$C$107)</f>
        <v>11207549.936565075</v>
      </c>
      <c r="AB120" s="149">
        <f>(SUM($D$118:AB118)*$C$104/$C$106)+(SUM($D$118:AB118)*$C$105/$C$107)</f>
        <v>11674531.183921952</v>
      </c>
      <c r="AC120" s="149">
        <f>(SUM($D$118:AC118)*$C$104/$C$106)+(SUM($D$118:AC118)*$C$105/$C$107)</f>
        <v>12141512.431278829</v>
      </c>
      <c r="AD120" s="149">
        <f>(SUM($D$118:AD118)*$C$104/$C$106)+(SUM($D$118:AD118)*$C$105/$C$107)</f>
        <v>12608493.678635707</v>
      </c>
      <c r="AE120" s="149">
        <f>(SUM($D$118:AE118)*$C$104/$C$106)+(SUM($D$118:AE118)*$C$105/$C$107)</f>
        <v>13075474.925992586</v>
      </c>
      <c r="AF120" s="149">
        <f>(SUM($D$118:AF118)*$C$104/$C$106)+(SUM($D$118:AF118)*$C$105/$C$107)</f>
        <v>13542456.173349466</v>
      </c>
      <c r="AG120" s="149">
        <f>(SUM($D$118:AG118)*$C$104/$C$106)+(SUM($D$118:AG118)*$C$105/$C$107)</f>
        <v>14009437.420706347</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583726.55919609778</v>
      </c>
      <c r="E122" s="72">
        <f>(SUM($D$118:E118)*$C$109)</f>
        <v>1167453.1183921956</v>
      </c>
      <c r="F122" s="72">
        <f>(SUM($D$118:F118)*$C$109)</f>
        <v>1751179.6775882936</v>
      </c>
      <c r="G122" s="72">
        <f>(SUM($D$118:G118)*$C$109)</f>
        <v>2334906.2367843911</v>
      </c>
      <c r="H122" s="72">
        <f>(SUM($D$118:H118)*$C$109)</f>
        <v>2918632.7959804889</v>
      </c>
      <c r="I122" s="72">
        <f>(SUM($D$118:I118)*$C$109)</f>
        <v>3502359.3551765867</v>
      </c>
      <c r="J122" s="72">
        <f>(SUM($D$118:J118)*$C$109)</f>
        <v>4086085.9143726844</v>
      </c>
      <c r="K122" s="72">
        <f>(SUM($D$118:K118)*$C$109)</f>
        <v>4669812.4735687822</v>
      </c>
      <c r="L122" s="72">
        <f>(SUM($D$118:L118)*$C$109)</f>
        <v>5253539.0327648809</v>
      </c>
      <c r="M122" s="72">
        <f>(SUM($D$118:M118)*$C$109)</f>
        <v>5837265.5919609787</v>
      </c>
      <c r="N122" s="72">
        <f>(SUM($D$118:N118)*$C$109)</f>
        <v>6420992.1511570765</v>
      </c>
      <c r="O122" s="72">
        <f>(SUM($D$118:O118)*$C$109)</f>
        <v>7004718.7103531752</v>
      </c>
      <c r="P122" s="72">
        <f>(SUM($D$118:P118)*$C$109)</f>
        <v>7588445.269549273</v>
      </c>
      <c r="Q122" s="72">
        <f>(SUM($D$118:Q118)*$C$109)</f>
        <v>8172171.8287453698</v>
      </c>
      <c r="R122" s="72">
        <f>(SUM($D$118:R118)*$C$109)</f>
        <v>8755898.3879414666</v>
      </c>
      <c r="S122" s="72">
        <f>(SUM($D$118:S118)*$C$109)</f>
        <v>9339624.9471375644</v>
      </c>
      <c r="T122" s="72">
        <f>(SUM($D$118:T118)*$C$109)</f>
        <v>9923351.5063336622</v>
      </c>
      <c r="U122" s="72">
        <f>(SUM($D$118:U118)*$C$109)</f>
        <v>10507078.06552976</v>
      </c>
      <c r="V122" s="72">
        <f>(SUM($D$118:V118)*$C$109)</f>
        <v>11090804.624725856</v>
      </c>
      <c r="W122" s="72">
        <f>(SUM($D$118:W118)*$C$109)</f>
        <v>11674531.183921954</v>
      </c>
      <c r="X122" s="72">
        <f>(SUM($D$118:X118)*$C$109)</f>
        <v>12258257.743118051</v>
      </c>
      <c r="Y122" s="72">
        <f>(SUM($D$118:Y118)*$C$109)</f>
        <v>12841984.302314147</v>
      </c>
      <c r="Z122" s="72">
        <f>(SUM($D$118:Z118)*$C$109)</f>
        <v>13425710.861510245</v>
      </c>
      <c r="AA122" s="72">
        <f>(SUM($D$118:AA118)*$C$109)</f>
        <v>14009437.420706343</v>
      </c>
      <c r="AB122" s="72">
        <f>(SUM($D$118:AB118)*$C$109)</f>
        <v>14593163.979902441</v>
      </c>
      <c r="AC122" s="72">
        <f>(SUM($D$118:AC118)*$C$109)</f>
        <v>15176890.539098537</v>
      </c>
      <c r="AD122" s="72">
        <f>(SUM($D$118:AD118)*$C$109)</f>
        <v>15760617.098294634</v>
      </c>
      <c r="AE122" s="72">
        <f>(SUM($D$118:AE118)*$C$109)</f>
        <v>16344343.657490734</v>
      </c>
      <c r="AF122" s="72">
        <f>(SUM($D$118:AF118)*$C$109)</f>
        <v>16928070.216686834</v>
      </c>
      <c r="AG122" s="72">
        <f>(SUM($D$118:AG118)*$C$109)</f>
        <v>17511796.77588293</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151</v>
      </c>
      <c r="B126" s="77" t="s">
        <v>198</v>
      </c>
      <c r="C126" s="126">
        <v>22500</v>
      </c>
      <c r="D126" s="140"/>
    </row>
    <row r="127" spans="1:33" x14ac:dyDescent="0.35">
      <c r="A127" s="77" t="s">
        <v>150</v>
      </c>
      <c r="B127" s="77" t="s">
        <v>133</v>
      </c>
      <c r="C127" s="126">
        <v>20000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21250</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155</v>
      </c>
      <c r="B133" s="77" t="s">
        <v>156</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7870.3703703703695</v>
      </c>
      <c r="D135" s="157">
        <f t="shared" ref="D135:AG135" si="14">$C$135*D13</f>
        <v>7923.2391237555075</v>
      </c>
      <c r="E135" s="157">
        <f t="shared" si="14"/>
        <v>7976.4630199043231</v>
      </c>
      <c r="F135" s="157">
        <f t="shared" si="14"/>
        <v>8030.0444444675941</v>
      </c>
      <c r="G135" s="157">
        <f t="shared" si="14"/>
        <v>8083.9857991215649</v>
      </c>
      <c r="H135" s="157">
        <f t="shared" si="14"/>
        <v>8138.2895016756056</v>
      </c>
      <c r="I135" s="157">
        <f t="shared" si="14"/>
        <v>8192.9579861805723</v>
      </c>
      <c r="J135" s="157">
        <f t="shared" si="14"/>
        <v>8247.9937030379224</v>
      </c>
      <c r="K135" s="157">
        <f t="shared" si="14"/>
        <v>8303.3991191095356</v>
      </c>
      <c r="L135" s="157">
        <f t="shared" si="14"/>
        <v>8359.1767178283026</v>
      </c>
      <c r="M135" s="157">
        <f t="shared" si="14"/>
        <v>8415.3289993094149</v>
      </c>
      <c r="N135" s="157">
        <f t="shared" si="14"/>
        <v>8471.8584804624552</v>
      </c>
      <c r="O135" s="157">
        <f t="shared" si="14"/>
        <v>8528.7676951041904</v>
      </c>
      <c r="P135" s="157">
        <f t="shared" si="14"/>
        <v>8586.0591940721588</v>
      </c>
      <c r="Q135" s="157">
        <f t="shared" si="14"/>
        <v>8643.7355453389973</v>
      </c>
      <c r="R135" s="157">
        <f t="shared" si="14"/>
        <v>8701.7993341275505</v>
      </c>
      <c r="S135" s="157">
        <f t="shared" si="14"/>
        <v>8760.2531630267476</v>
      </c>
      <c r="T135" s="157">
        <f t="shared" si="14"/>
        <v>8819.0996521082579</v>
      </c>
      <c r="U135" s="157">
        <f t="shared" si="14"/>
        <v>8878.3414390439266</v>
      </c>
      <c r="V135" s="157">
        <f t="shared" si="14"/>
        <v>8937.9811792240034</v>
      </c>
      <c r="W135" s="157">
        <f t="shared" si="14"/>
        <v>8998.0215458761704</v>
      </c>
      <c r="X135" s="157">
        <f t="shared" si="14"/>
        <v>9058.4652301853639</v>
      </c>
      <c r="Y135" s="157">
        <f t="shared" si="14"/>
        <v>9119.31494141439</v>
      </c>
      <c r="Z135" s="157">
        <f t="shared" si="14"/>
        <v>9180.5734070253748</v>
      </c>
      <c r="AA135" s="157">
        <f t="shared" si="14"/>
        <v>9242.2433728020078</v>
      </c>
      <c r="AB135" s="157">
        <f t="shared" si="14"/>
        <v>9304.3276029726276</v>
      </c>
      <c r="AC135" s="157">
        <f t="shared" si="14"/>
        <v>9366.8288803341075</v>
      </c>
      <c r="AD135" s="157">
        <f t="shared" si="14"/>
        <v>9429.750006376602</v>
      </c>
      <c r="AE135" s="157">
        <f t="shared" si="14"/>
        <v>9493.0938014091043</v>
      </c>
      <c r="AF135" s="157">
        <f t="shared" si="14"/>
        <v>9556.8631046858791</v>
      </c>
      <c r="AG135" s="157">
        <f t="shared" si="14"/>
        <v>9621.0607745337056</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0.25</v>
      </c>
      <c r="F4" s="65">
        <v>0.15</v>
      </c>
      <c r="G4" s="65">
        <v>0.15</v>
      </c>
      <c r="H4" s="65">
        <v>0.12</v>
      </c>
      <c r="I4" s="65">
        <v>0.12</v>
      </c>
      <c r="J4" s="65">
        <v>0.1</v>
      </c>
      <c r="K4" s="65">
        <v>0.1</v>
      </c>
      <c r="L4" s="65">
        <v>0.1</v>
      </c>
      <c r="M4" s="65">
        <v>0.09</v>
      </c>
      <c r="N4" s="65">
        <v>0.08</v>
      </c>
      <c r="O4" s="65">
        <v>0.06</v>
      </c>
      <c r="P4" s="65">
        <v>0.06</v>
      </c>
      <c r="Q4" s="65">
        <v>0.06</v>
      </c>
      <c r="R4" s="65">
        <v>0.05</v>
      </c>
      <c r="S4" s="65">
        <v>0.05</v>
      </c>
      <c r="T4" s="65">
        <v>0.05</v>
      </c>
      <c r="U4" s="65">
        <v>0.05</v>
      </c>
      <c r="V4" s="65">
        <v>0.05</v>
      </c>
      <c r="W4" s="65">
        <v>0.05</v>
      </c>
      <c r="X4" s="65">
        <v>4.4999999999999998E-2</v>
      </c>
      <c r="Y4" s="65">
        <v>0.04</v>
      </c>
      <c r="Z4" s="65">
        <v>0.04</v>
      </c>
      <c r="AA4" s="65">
        <v>0.04</v>
      </c>
      <c r="AB4" s="65">
        <v>0.04</v>
      </c>
      <c r="AC4" s="65">
        <v>0.04</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2.4946466347786478</v>
      </c>
      <c r="C6" s="25"/>
      <c r="D6" s="25"/>
      <c r="E6" s="27">
        <f>'Debt worksheet'!C5/'Profit and Loss'!C5</f>
        <v>0.71910650464206904</v>
      </c>
      <c r="F6" s="28">
        <f ca="1">'Debt worksheet'!D5/'Profit and Loss'!D5</f>
        <v>1.3168655382865919</v>
      </c>
      <c r="G6" s="28">
        <f ca="1">'Debt worksheet'!E5/'Profit and Loss'!E5</f>
        <v>1.7259364300685494</v>
      </c>
      <c r="H6" s="28">
        <f ca="1">'Debt worksheet'!F5/'Profit and Loss'!F5</f>
        <v>2.0274418072652947</v>
      </c>
      <c r="I6" s="28">
        <f ca="1">'Debt worksheet'!G5/'Profit and Loss'!G5</f>
        <v>2.2256446394681575</v>
      </c>
      <c r="J6" s="28">
        <f ca="1">'Debt worksheet'!H5/'Profit and Loss'!H5</f>
        <v>2.3745561378501776</v>
      </c>
      <c r="K6" s="28">
        <f ca="1">'Debt worksheet'!I5/'Profit and Loss'!I5</f>
        <v>2.4612156211026361</v>
      </c>
      <c r="L6" s="28">
        <f ca="1">'Debt worksheet'!J5/'Profit and Loss'!J5</f>
        <v>2.490798088363404</v>
      </c>
      <c r="M6" s="28">
        <f ca="1">'Debt worksheet'!K5/'Profit and Loss'!K5</f>
        <v>2.4908998028246199</v>
      </c>
      <c r="N6" s="28">
        <f ca="1">'Debt worksheet'!L5/'Profit and Loss'!L5</f>
        <v>2.4738750362106607</v>
      </c>
      <c r="O6" s="28">
        <f ca="1">'Debt worksheet'!M5/'Profit and Loss'!M5</f>
        <v>2.4733123369014938</v>
      </c>
      <c r="P6" s="28">
        <f ca="1">'Debt worksheet'!N5/'Profit and Loss'!N5</f>
        <v>2.4612561577345491</v>
      </c>
      <c r="Q6" s="28">
        <f ca="1">'Debt worksheet'!O5/'Profit and Loss'!O5</f>
        <v>2.4374373912869656</v>
      </c>
      <c r="R6" s="28">
        <f ca="1">'Debt worksheet'!P5/'Profit and Loss'!P5</f>
        <v>2.4245305817153047</v>
      </c>
      <c r="S6" s="28">
        <f ca="1">'Debt worksheet'!Q5/'Profit and Loss'!Q5</f>
        <v>2.4081672422240996</v>
      </c>
      <c r="T6" s="28">
        <f ca="1">'Debt worksheet'!R5/'Profit and Loss'!R5</f>
        <v>2.3878159779007366</v>
      </c>
      <c r="U6" s="28">
        <f ca="1">'Debt worksheet'!S5/'Profit and Loss'!S5</f>
        <v>2.3629941823351661</v>
      </c>
      <c r="V6" s="28">
        <f ca="1">'Debt worksheet'!T5/'Profit and Loss'!T5</f>
        <v>2.3332653026524359</v>
      </c>
      <c r="W6" s="28">
        <f ca="1">'Debt worksheet'!U5/'Profit and Loss'!U5</f>
        <v>2.2982362318882843</v>
      </c>
      <c r="X6" s="28">
        <f ca="1">'Debt worksheet'!V5/'Profit and Loss'!V5</f>
        <v>2.2683565210326218</v>
      </c>
      <c r="Y6" s="28">
        <f ca="1">'Debt worksheet'!W5/'Profit and Loss'!W5</f>
        <v>2.2475821829973412</v>
      </c>
      <c r="Z6" s="28">
        <f ca="1">'Debt worksheet'!X5/'Profit and Loss'!X5</f>
        <v>2.2292273704507486</v>
      </c>
      <c r="AA6" s="28">
        <f ca="1">'Debt worksheet'!Y5/'Profit and Loss'!Y5</f>
        <v>2.2128397782234317</v>
      </c>
      <c r="AB6" s="28">
        <f ca="1">'Debt worksheet'!Z5/'Profit and Loss'!Z5</f>
        <v>2.19798822934025</v>
      </c>
      <c r="AC6" s="28">
        <f ca="1">'Debt worksheet'!AA5/'Profit and Loss'!AA5</f>
        <v>2.1842619409645927</v>
      </c>
      <c r="AD6" s="28">
        <f ca="1">'Debt worksheet'!AB5/'Profit and Loss'!AB5</f>
        <v>2.2095113556608235</v>
      </c>
      <c r="AE6" s="28">
        <f ca="1">'Debt worksheet'!AC5/'Profit and Loss'!AC5</f>
        <v>2.2530868136843165</v>
      </c>
      <c r="AF6" s="28">
        <f ca="1">'Debt worksheet'!AD5/'Profit and Loss'!AD5</f>
        <v>2.3150750426606659</v>
      </c>
      <c r="AG6" s="28">
        <f ca="1">'Debt worksheet'!AE5/'Profit and Loss'!AE5</f>
        <v>2.3955647512799478</v>
      </c>
      <c r="AH6" s="28">
        <f ca="1">'Debt worksheet'!AF5/'Profit and Loss'!AF5</f>
        <v>2.4946466347786478</v>
      </c>
      <c r="AI6" s="31"/>
    </row>
    <row r="7" spans="1:35" ht="21" x14ac:dyDescent="0.5">
      <c r="A7" s="19" t="s">
        <v>38</v>
      </c>
      <c r="B7" s="26">
        <f ca="1">MIN('Price and Financial ratios'!E7:AH7)</f>
        <v>0.21180301607520838</v>
      </c>
      <c r="C7" s="26"/>
      <c r="D7" s="26"/>
      <c r="E7" s="56">
        <f ca="1">'Cash Flow'!C7/'Debt worksheet'!C5</f>
        <v>0.72011647365155018</v>
      </c>
      <c r="F7" s="32">
        <f ca="1">'Cash Flow'!D7/'Debt worksheet'!D5</f>
        <v>0.3957573930816024</v>
      </c>
      <c r="G7" s="32">
        <f ca="1">'Cash Flow'!E7/'Debt worksheet'!E5</f>
        <v>0.30835120460124554</v>
      </c>
      <c r="H7" s="32">
        <f ca="1">'Cash Flow'!F7/'Debt worksheet'!F5</f>
        <v>0.26453823080270472</v>
      </c>
      <c r="I7" s="32">
        <f ca="1">'Cash Flow'!G7/'Debt worksheet'!G5</f>
        <v>0.24498139403171854</v>
      </c>
      <c r="J7" s="32">
        <f ca="1">'Cash Flow'!H7/'Debt worksheet'!H5</f>
        <v>0.23140221677369738</v>
      </c>
      <c r="K7" s="32">
        <f ca="1">'Cash Flow'!I7/'Debt worksheet'!I5</f>
        <v>0.2262707802239885</v>
      </c>
      <c r="L7" s="32">
        <f ca="1">'Cash Flow'!J7/'Debt worksheet'!J5</f>
        <v>0.2276883129887097</v>
      </c>
      <c r="M7" s="17">
        <f ca="1">'Cash Flow'!K7/'Debt worksheet'!K5</f>
        <v>0.23108493696142532</v>
      </c>
      <c r="N7" s="17">
        <f ca="1">'Cash Flow'!L7/'Debt worksheet'!L5</f>
        <v>0.23524623075528933</v>
      </c>
      <c r="O7" s="17">
        <f ca="1">'Cash Flow'!M7/'Debt worksheet'!M5</f>
        <v>0.23515038561504217</v>
      </c>
      <c r="P7" s="17">
        <f ca="1">'Cash Flow'!N7/'Debt worksheet'!N5</f>
        <v>0.23659222917439485</v>
      </c>
      <c r="Q7" s="17">
        <f ca="1">'Cash Flow'!O7/'Debt worksheet'!O5</f>
        <v>0.23962284242151852</v>
      </c>
      <c r="R7" s="17">
        <f ca="1">'Cash Flow'!P7/'Debt worksheet'!P5</f>
        <v>0.24026513225153287</v>
      </c>
      <c r="S7" s="17">
        <f ca="1">'Cash Flow'!Q7/'Debt worksheet'!Q5</f>
        <v>0.24152637512084771</v>
      </c>
      <c r="T7" s="17">
        <f ca="1">'Cash Flow'!R7/'Debt worksheet'!R5</f>
        <v>0.24347377043778259</v>
      </c>
      <c r="U7" s="17">
        <f ca="1">'Cash Flow'!S7/'Debt worksheet'!S5</f>
        <v>0.24617983915430952</v>
      </c>
      <c r="V7" s="17">
        <f ca="1">'Cash Flow'!T7/'Debt worksheet'!T5</f>
        <v>0.24972556587539096</v>
      </c>
      <c r="W7" s="17">
        <f ca="1">'Cash Flow'!U7/'Debt worksheet'!U5</f>
        <v>0.25420405703542859</v>
      </c>
      <c r="X7" s="17">
        <f ca="1">'Cash Flow'!V7/'Debt worksheet'!V5</f>
        <v>0.25753912303004456</v>
      </c>
      <c r="Y7" s="17">
        <f ca="1">'Cash Flow'!W7/'Debt worksheet'!W5</f>
        <v>0.25912160083354596</v>
      </c>
      <c r="Z7" s="17">
        <f ca="1">'Cash Flow'!X7/'Debt worksheet'!X5</f>
        <v>0.26055359617083468</v>
      </c>
      <c r="AA7" s="17">
        <f ca="1">'Cash Flow'!Y7/'Debt worksheet'!Y5</f>
        <v>0.26188150131025645</v>
      </c>
      <c r="AB7" s="17">
        <f ca="1">'Cash Flow'!Z7/'Debt worksheet'!Z5</f>
        <v>0.26315222043737174</v>
      </c>
      <c r="AC7" s="17">
        <f ca="1">'Cash Flow'!AA7/'Debt worksheet'!AA5</f>
        <v>0.26441268207008195</v>
      </c>
      <c r="AD7" s="17">
        <f ca="1">'Cash Flow'!AB7/'Debt worksheet'!AB5</f>
        <v>0.25744917664540456</v>
      </c>
      <c r="AE7" s="17">
        <f ca="1">'Cash Flow'!AC7/'Debt worksheet'!AC5</f>
        <v>0.24835663509822239</v>
      </c>
      <c r="AF7" s="17">
        <f ca="1">'Cash Flow'!AD7/'Debt worksheet'!AD5</f>
        <v>0.23746047643292847</v>
      </c>
      <c r="AG7" s="17">
        <f ca="1">'Cash Flow'!AE7/'Debt worksheet'!AE5</f>
        <v>0.22514182914644329</v>
      </c>
      <c r="AH7" s="17">
        <f ca="1">'Cash Flow'!AF7/'Debt worksheet'!AF5</f>
        <v>0.21180301607520838</v>
      </c>
      <c r="AI7" s="29"/>
    </row>
    <row r="8" spans="1:35" ht="21" x14ac:dyDescent="0.5">
      <c r="A8" s="19" t="s">
        <v>33</v>
      </c>
      <c r="B8" s="26">
        <f ca="1">MAX('Price and Financial ratios'!E8:AH8)</f>
        <v>0.38654619629540271</v>
      </c>
      <c r="C8" s="26"/>
      <c r="D8" s="176"/>
      <c r="E8" s="17">
        <f>'Balance Sheet'!B11/'Balance Sheet'!B8</f>
        <v>9.0607495021890916E-2</v>
      </c>
      <c r="F8" s="17">
        <f ca="1">'Balance Sheet'!C11/'Balance Sheet'!C8</f>
        <v>0.18672339922206677</v>
      </c>
      <c r="G8" s="17">
        <f ca="1">'Balance Sheet'!D11/'Balance Sheet'!D8</f>
        <v>0.25060630192425642</v>
      </c>
      <c r="H8" s="17">
        <f ca="1">'Balance Sheet'!E11/'Balance Sheet'!E8</f>
        <v>0.29660412416358739</v>
      </c>
      <c r="I8" s="17">
        <f ca="1">'Balance Sheet'!F11/'Balance Sheet'!F8</f>
        <v>0.33082005301165313</v>
      </c>
      <c r="J8" s="17">
        <f ca="1">'Balance Sheet'!G11/'Balance Sheet'!G8</f>
        <v>0.35469155959275561</v>
      </c>
      <c r="K8" s="17">
        <f ca="1">'Balance Sheet'!H11/'Balance Sheet'!H8</f>
        <v>0.37165465334237241</v>
      </c>
      <c r="L8" s="17">
        <f ca="1">'Balance Sheet'!I11/'Balance Sheet'!I8</f>
        <v>0.38218530985206806</v>
      </c>
      <c r="M8" s="17">
        <f ca="1">'Balance Sheet'!J11/'Balance Sheet'!J8</f>
        <v>0.38654619629540271</v>
      </c>
      <c r="N8" s="17">
        <f ca="1">'Balance Sheet'!K11/'Balance Sheet'!K8</f>
        <v>0.38620711651268308</v>
      </c>
      <c r="O8" s="17">
        <f ca="1">'Balance Sheet'!L11/'Balance Sheet'!L8</f>
        <v>0.38255418412013958</v>
      </c>
      <c r="P8" s="17">
        <f ca="1">'Balance Sheet'!M11/'Balance Sheet'!M8</f>
        <v>0.37832782109042651</v>
      </c>
      <c r="Q8" s="17">
        <f ca="1">'Balance Sheet'!N11/'Balance Sheet'!N8</f>
        <v>0.37336027881404366</v>
      </c>
      <c r="R8" s="17">
        <f ca="1">'Balance Sheet'!O11/'Balance Sheet'!O8</f>
        <v>0.36749803446834156</v>
      </c>
      <c r="S8" s="17">
        <f ca="1">'Balance Sheet'!P11/'Balance Sheet'!P8</f>
        <v>0.36200119093030148</v>
      </c>
      <c r="T8" s="17">
        <f ca="1">'Balance Sheet'!Q11/'Balance Sheet'!Q8</f>
        <v>0.3566929199618587</v>
      </c>
      <c r="U8" s="17">
        <f ca="1">'Balance Sheet'!R11/'Balance Sheet'!R8</f>
        <v>0.35141741086099298</v>
      </c>
      <c r="V8" s="17">
        <f ca="1">'Balance Sheet'!S11/'Balance Sheet'!S8</f>
        <v>0.34603531713121777</v>
      </c>
      <c r="W8" s="17">
        <f ca="1">'Balance Sheet'!T11/'Balance Sheet'!T8</f>
        <v>0.34042024936041132</v>
      </c>
      <c r="X8" s="17">
        <f ca="1">'Balance Sheet'!U11/'Balance Sheet'!U8</f>
        <v>0.33445604170655874</v>
      </c>
      <c r="Y8" s="17">
        <f ca="1">'Balance Sheet'!V11/'Balance Sheet'!V8</f>
        <v>0.32872723440067658</v>
      </c>
      <c r="Z8" s="17">
        <f ca="1">'Balance Sheet'!W11/'Balance Sheet'!W8</f>
        <v>0.32381195316562</v>
      </c>
      <c r="AA8" s="17">
        <f ca="1">'Balance Sheet'!X11/'Balance Sheet'!X8</f>
        <v>0.31959130940706165</v>
      </c>
      <c r="AB8" s="17">
        <f ca="1">'Balance Sheet'!Y11/'Balance Sheet'!Y8</f>
        <v>0.31595899240624381</v>
      </c>
      <c r="AC8" s="17">
        <f ca="1">'Balance Sheet'!Z11/'Balance Sheet'!Z8</f>
        <v>0.31281921027344722</v>
      </c>
      <c r="AD8" s="17">
        <f ca="1">'Balance Sheet'!AA11/'Balance Sheet'!AA8</f>
        <v>0.31008500530092942</v>
      </c>
      <c r="AE8" s="17">
        <f ca="1">'Balance Sheet'!AB11/'Balance Sheet'!AB8</f>
        <v>0.31011852866054579</v>
      </c>
      <c r="AF8" s="17">
        <f ca="1">'Balance Sheet'!AC11/'Balance Sheet'!AC8</f>
        <v>0.31277086048039376</v>
      </c>
      <c r="AG8" s="17">
        <f ca="1">'Balance Sheet'!AD11/'Balance Sheet'!AD8</f>
        <v>0.31791090542207967</v>
      </c>
      <c r="AH8" s="17">
        <f ca="1">'Balance Sheet'!AE11/'Balance Sheet'!AE8</f>
        <v>0.32542297237251699</v>
      </c>
      <c r="AI8" s="29"/>
    </row>
    <row r="9" spans="1:35" ht="21.5" thickBot="1" x14ac:dyDescent="0.55000000000000004">
      <c r="A9" s="20" t="s">
        <v>32</v>
      </c>
      <c r="B9" s="21">
        <f ca="1">MIN('Price and Financial ratios'!E9:AH9)</f>
        <v>6.6165902838656381</v>
      </c>
      <c r="C9" s="21"/>
      <c r="D9" s="177"/>
      <c r="E9" s="21">
        <f ca="1">('Cash Flow'!C7+'Profit and Loss'!C8)/('Profit and Loss'!C8)</f>
        <v>10.704676278767659</v>
      </c>
      <c r="F9" s="21">
        <f ca="1">('Cash Flow'!D7+'Profit and Loss'!D8)/('Profit and Loss'!D8)</f>
        <v>8.4519888400542307</v>
      </c>
      <c r="G9" s="21">
        <f ca="1">('Cash Flow'!E7+'Profit and Loss'!E8)/('Profit and Loss'!E8)</f>
        <v>7.6516346562563369</v>
      </c>
      <c r="H9" s="21">
        <f ca="1">('Cash Flow'!F7+'Profit and Loss'!F8)/('Profit and Loss'!F8)</f>
        <v>7.1064296645987843</v>
      </c>
      <c r="I9" s="21">
        <f ca="1">('Cash Flow'!G7+'Profit and Loss'!G8)/('Profit and Loss'!G8)</f>
        <v>6.9243152580195897</v>
      </c>
      <c r="J9" s="21">
        <f ca="1">('Cash Flow'!H7+'Profit and Loss'!H8)/('Profit and Loss'!H8)</f>
        <v>6.7601258360773784</v>
      </c>
      <c r="K9" s="21">
        <f ca="1">('Cash Flow'!I7+'Profit and Loss'!I8)/('Profit and Loss'!I8)</f>
        <v>6.7686114953459935</v>
      </c>
      <c r="L9" s="21">
        <f ca="1">('Cash Flow'!J7+'Profit and Loss'!J8)/('Profit and Loss'!J8)</f>
        <v>6.9281730069636005</v>
      </c>
      <c r="M9" s="21">
        <f ca="1">('Cash Flow'!K7+'Profit and Loss'!K8)/('Profit and Loss'!K8)</f>
        <v>7.1143563289211258</v>
      </c>
      <c r="N9" s="21">
        <f ca="1">('Cash Flow'!L7+'Profit and Loss'!L8)/('Profit and Loss'!L8)</f>
        <v>7.2999915291378761</v>
      </c>
      <c r="O9" s="21">
        <f ca="1">('Cash Flow'!M7+'Profit and Loss'!M8)/('Profit and Loss'!M8)</f>
        <v>7.3268325572879087</v>
      </c>
      <c r="P9" s="21">
        <f ca="1">('Cash Flow'!N7+'Profit and Loss'!N8)/('Profit and Loss'!N8)</f>
        <v>7.3964987633552628</v>
      </c>
      <c r="Q9" s="21">
        <f ca="1">('Cash Flow'!O7+'Profit and Loss'!O8)/('Profit and Loss'!O8)</f>
        <v>7.511320636470459</v>
      </c>
      <c r="R9" s="21">
        <f ca="1">('Cash Flow'!P7+'Profit and Loss'!P8)/('Profit and Loss'!P8)</f>
        <v>7.5383299846582892</v>
      </c>
      <c r="S9" s="21">
        <f ca="1">('Cash Flow'!Q7+'Profit and Loss'!Q8)/('Profit and Loss'!Q8)</f>
        <v>7.5839332262214452</v>
      </c>
      <c r="T9" s="21">
        <f ca="1">('Cash Flow'!R7+'Profit and Loss'!R8)/('Profit and Loss'!R8)</f>
        <v>7.6500582042806711</v>
      </c>
      <c r="U9" s="21">
        <f ca="1">('Cash Flow'!S7+'Profit and Loss'!S8)/('Profit and Loss'!S8)</f>
        <v>7.7388544582241376</v>
      </c>
      <c r="V9" s="21">
        <f ca="1">('Cash Flow'!T7+'Profit and Loss'!T8)/('Profit and Loss'!T8)</f>
        <v>7.8527916097740711</v>
      </c>
      <c r="W9" s="21">
        <f ca="1">('Cash Flow'!U7+'Profit and Loss'!U8)/('Profit and Loss'!U8)</f>
        <v>7.9947774702426448</v>
      </c>
      <c r="X9" s="21">
        <f ca="1">('Cash Flow'!V7+'Profit and Loss'!V8)/('Profit and Loss'!V8)</f>
        <v>8.0930001581867046</v>
      </c>
      <c r="Y9" s="21">
        <f ca="1">('Cash Flow'!W7+'Profit and Loss'!W8)/('Profit and Loss'!W8)</f>
        <v>8.1294471749382247</v>
      </c>
      <c r="Z9" s="21">
        <f ca="1">('Cash Flow'!X7+'Profit and Loss'!X8)/('Profit and Loss'!X8)</f>
        <v>8.1629594409559054</v>
      </c>
      <c r="AA9" s="21">
        <f ca="1">('Cash Flow'!Y7+'Profit and Loss'!Y8)/('Profit and Loss'!Y8)</f>
        <v>8.1948286074406234</v>
      </c>
      <c r="AB9" s="21">
        <f ca="1">('Cash Flow'!Z7+'Profit and Loss'!Z8)/('Profit and Loss'!Z8)</f>
        <v>8.2263452372716159</v>
      </c>
      <c r="AC9" s="21">
        <f ca="1">('Cash Flow'!AA7+'Profit and Loss'!AA8)/('Profit and Loss'!AA8)</f>
        <v>8.2587899462918575</v>
      </c>
      <c r="AD9" s="21">
        <f ca="1">('Cash Flow'!AB7+'Profit and Loss'!AB8)/('Profit and Loss'!AB8)</f>
        <v>8.0110535824977838</v>
      </c>
      <c r="AE9" s="21">
        <f ca="1">('Cash Flow'!AC7+'Profit and Loss'!AC8)/('Profit and Loss'!AC8)</f>
        <v>7.7121566981476084</v>
      </c>
      <c r="AF9" s="21">
        <f ca="1">('Cash Flow'!AD7+'Profit and Loss'!AD8)/('Profit and Loss'!AD8)</f>
        <v>7.3726777916006201</v>
      </c>
      <c r="AG9" s="21">
        <f ca="1">('Cash Flow'!AE7+'Profit and Loss'!AE8)/('Profit and Loss'!AE8)</f>
        <v>7.0038320448868712</v>
      </c>
      <c r="AH9" s="21">
        <f ca="1">('Cash Flow'!AF7+'Profit and Loss'!AF8)/('Profit and Loss'!AF8)</f>
        <v>6.6165902838656381</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161</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4174640.8874923652</v>
      </c>
      <c r="D5" s="1">
        <f>Assumptions!E111</f>
        <v>4174640.8874923652</v>
      </c>
      <c r="E5" s="1">
        <f>Assumptions!F111</f>
        <v>4174640.8874923652</v>
      </c>
      <c r="F5" s="1">
        <f>Assumptions!G111</f>
        <v>4174640.8874923652</v>
      </c>
      <c r="G5" s="1">
        <f>Assumptions!H111</f>
        <v>4174640.8874923652</v>
      </c>
      <c r="H5" s="1">
        <f>Assumptions!I111</f>
        <v>4174640.8874923652</v>
      </c>
      <c r="I5" s="1">
        <f>Assumptions!J111</f>
        <v>4174640.8874923652</v>
      </c>
      <c r="J5" s="1">
        <f>Assumptions!K111</f>
        <v>4174640.8874923652</v>
      </c>
      <c r="K5" s="1">
        <f>Assumptions!L111</f>
        <v>4174640.8874923652</v>
      </c>
      <c r="L5" s="1">
        <f>Assumptions!M111</f>
        <v>4174640.8874923652</v>
      </c>
      <c r="M5" s="1">
        <f>Assumptions!N111</f>
        <v>4174640.8874923652</v>
      </c>
      <c r="N5" s="1">
        <f>Assumptions!O111</f>
        <v>4174640.8874923652</v>
      </c>
      <c r="O5" s="1">
        <f>Assumptions!P111</f>
        <v>4174640.8874923652</v>
      </c>
      <c r="P5" s="1">
        <f>Assumptions!Q111</f>
        <v>4174640.8874923652</v>
      </c>
      <c r="Q5" s="1">
        <f>Assumptions!R111</f>
        <v>4174640.8874923652</v>
      </c>
      <c r="R5" s="1">
        <f>Assumptions!S111</f>
        <v>4174640.8874923652</v>
      </c>
      <c r="S5" s="1">
        <f>Assumptions!T111</f>
        <v>4174640.8874923652</v>
      </c>
      <c r="T5" s="1">
        <f>Assumptions!U111</f>
        <v>4174640.8874923652</v>
      </c>
      <c r="U5" s="1">
        <f>Assumptions!V111</f>
        <v>4174640.8874923652</v>
      </c>
      <c r="V5" s="1">
        <f>Assumptions!W111</f>
        <v>4174640.8874923652</v>
      </c>
      <c r="W5" s="1">
        <f>Assumptions!X111</f>
        <v>4174640.8874923652</v>
      </c>
      <c r="X5" s="1">
        <f>Assumptions!Y111</f>
        <v>4174640.8874923652</v>
      </c>
      <c r="Y5" s="1">
        <f>Assumptions!Z111</f>
        <v>4174640.8874923652</v>
      </c>
      <c r="Z5" s="1">
        <f>Assumptions!AA111</f>
        <v>4174640.8874923652</v>
      </c>
      <c r="AA5" s="1">
        <f>Assumptions!AB111</f>
        <v>4174640.8874923652</v>
      </c>
      <c r="AB5" s="1">
        <f>Assumptions!AC111</f>
        <v>4174640.8874923652</v>
      </c>
      <c r="AC5" s="1">
        <f>Assumptions!AD111</f>
        <v>4174640.8874923652</v>
      </c>
      <c r="AD5" s="1">
        <f>Assumptions!AE111</f>
        <v>4174640.8874923652</v>
      </c>
      <c r="AE5" s="1">
        <f>Assumptions!AF111</f>
        <v>4174640.8874923652</v>
      </c>
      <c r="AF5" s="1">
        <f>Assumptions!AG111</f>
        <v>4174640.8874923652</v>
      </c>
    </row>
    <row r="6" spans="1:32" x14ac:dyDescent="0.35">
      <c r="A6" t="s">
        <v>68</v>
      </c>
      <c r="C6" s="1">
        <f>Assumptions!D113</f>
        <v>19457551.97320326</v>
      </c>
      <c r="D6" s="1">
        <f>Assumptions!E113</f>
        <v>19457551.97320326</v>
      </c>
      <c r="E6" s="1">
        <f>Assumptions!F113</f>
        <v>19457551.97320326</v>
      </c>
      <c r="F6" s="1">
        <f>Assumptions!G113</f>
        <v>19457551.97320326</v>
      </c>
      <c r="G6" s="1">
        <f>Assumptions!H113</f>
        <v>19457551.97320326</v>
      </c>
      <c r="H6" s="1">
        <f>Assumptions!I113</f>
        <v>19457551.97320326</v>
      </c>
      <c r="I6" s="1">
        <f>Assumptions!J113</f>
        <v>19457551.97320326</v>
      </c>
      <c r="J6" s="1">
        <f>Assumptions!K113</f>
        <v>19457551.97320326</v>
      </c>
      <c r="K6" s="1">
        <f>Assumptions!L113</f>
        <v>19457551.97320326</v>
      </c>
      <c r="L6" s="1">
        <f>Assumptions!M113</f>
        <v>19457551.97320326</v>
      </c>
      <c r="M6" s="1">
        <f>Assumptions!N113</f>
        <v>19457551.97320326</v>
      </c>
      <c r="N6" s="1">
        <f>Assumptions!O113</f>
        <v>19457551.97320326</v>
      </c>
      <c r="O6" s="1">
        <f>Assumptions!P113</f>
        <v>19457551.97320326</v>
      </c>
      <c r="P6" s="1">
        <f>Assumptions!Q113</f>
        <v>19457551.97320326</v>
      </c>
      <c r="Q6" s="1">
        <f>Assumptions!R113</f>
        <v>19457551.97320326</v>
      </c>
      <c r="R6" s="1">
        <f>Assumptions!S113</f>
        <v>19457551.97320326</v>
      </c>
      <c r="S6" s="1">
        <f>Assumptions!T113</f>
        <v>19457551.97320326</v>
      </c>
      <c r="T6" s="1">
        <f>Assumptions!U113</f>
        <v>19457551.97320326</v>
      </c>
      <c r="U6" s="1">
        <f>Assumptions!V113</f>
        <v>19457551.97320326</v>
      </c>
      <c r="V6" s="1">
        <f>Assumptions!W113</f>
        <v>19457551.97320326</v>
      </c>
      <c r="W6" s="1">
        <f>Assumptions!X113</f>
        <v>19457551.97320326</v>
      </c>
      <c r="X6" s="1">
        <f>Assumptions!Y113</f>
        <v>19457551.97320326</v>
      </c>
      <c r="Y6" s="1">
        <f>Assumptions!Z113</f>
        <v>19457551.97320326</v>
      </c>
      <c r="Z6" s="1">
        <f>Assumptions!AA113</f>
        <v>19457551.97320326</v>
      </c>
      <c r="AA6" s="1">
        <f>Assumptions!AB113</f>
        <v>19457551.97320326</v>
      </c>
      <c r="AB6" s="1">
        <f>Assumptions!AC113</f>
        <v>19457551.97320326</v>
      </c>
      <c r="AC6" s="1">
        <f>Assumptions!AD113</f>
        <v>19457551.97320326</v>
      </c>
      <c r="AD6" s="1">
        <f>Assumptions!AE113</f>
        <v>19457551.97320326</v>
      </c>
      <c r="AE6" s="1">
        <f>Assumptions!AF113</f>
        <v>19457551.97320326</v>
      </c>
      <c r="AF6" s="1">
        <f>Assumptions!AG113</f>
        <v>19457551.97320326</v>
      </c>
    </row>
    <row r="7" spans="1:32" x14ac:dyDescent="0.35">
      <c r="A7" t="s">
        <v>73</v>
      </c>
      <c r="C7" s="1">
        <f>Assumptions!D120</f>
        <v>466981.24735687824</v>
      </c>
      <c r="D7" s="1">
        <f>Assumptions!E120</f>
        <v>933962.49471375649</v>
      </c>
      <c r="E7" s="1">
        <f>Assumptions!F120</f>
        <v>1400943.7420706346</v>
      </c>
      <c r="F7" s="1">
        <f>Assumptions!G120</f>
        <v>1867924.989427513</v>
      </c>
      <c r="G7" s="1">
        <f>Assumptions!H120</f>
        <v>2334906.2367843911</v>
      </c>
      <c r="H7" s="1">
        <f>Assumptions!I120</f>
        <v>2801887.4841412692</v>
      </c>
      <c r="I7" s="1">
        <f>Assumptions!J120</f>
        <v>3268868.7314981474</v>
      </c>
      <c r="J7" s="1">
        <f>Assumptions!K120</f>
        <v>3735849.978855026</v>
      </c>
      <c r="K7" s="1">
        <f>Assumptions!L120</f>
        <v>4202831.2262119045</v>
      </c>
      <c r="L7" s="1">
        <f>Assumptions!M120</f>
        <v>4669812.4735687831</v>
      </c>
      <c r="M7" s="1">
        <f>Assumptions!N120</f>
        <v>5136793.7209256608</v>
      </c>
      <c r="N7" s="1">
        <f>Assumptions!O120</f>
        <v>5603774.9682825394</v>
      </c>
      <c r="O7" s="1">
        <f>Assumptions!P120</f>
        <v>6070756.2156394189</v>
      </c>
      <c r="P7" s="1">
        <f>Assumptions!Q120</f>
        <v>6537737.4629962957</v>
      </c>
      <c r="Q7" s="1">
        <f>Assumptions!R120</f>
        <v>7004718.7103531742</v>
      </c>
      <c r="R7" s="1">
        <f>Assumptions!S120</f>
        <v>7471699.9577100519</v>
      </c>
      <c r="S7" s="1">
        <f>Assumptions!T120</f>
        <v>7938681.2050669305</v>
      </c>
      <c r="T7" s="1">
        <f>Assumptions!U120</f>
        <v>8405662.4524238072</v>
      </c>
      <c r="U7" s="1">
        <f>Assumptions!V120</f>
        <v>8872643.699780684</v>
      </c>
      <c r="V7" s="1">
        <f>Assumptions!W120</f>
        <v>9339624.9471375644</v>
      </c>
      <c r="W7" s="1">
        <f>Assumptions!X120</f>
        <v>9806606.1944944412</v>
      </c>
      <c r="X7" s="1">
        <f>Assumptions!Y120</f>
        <v>10273587.441851318</v>
      </c>
      <c r="Y7" s="1">
        <f>Assumptions!Z120</f>
        <v>10740568.689208196</v>
      </c>
      <c r="Z7" s="1">
        <f>Assumptions!AA120</f>
        <v>11207549.936565075</v>
      </c>
      <c r="AA7" s="1">
        <f>Assumptions!AB120</f>
        <v>11674531.183921952</v>
      </c>
      <c r="AB7" s="1">
        <f>Assumptions!AC120</f>
        <v>12141512.431278829</v>
      </c>
      <c r="AC7" s="1">
        <f>Assumptions!AD120</f>
        <v>12608493.678635707</v>
      </c>
      <c r="AD7" s="1">
        <f>Assumptions!AE120</f>
        <v>13075474.925992586</v>
      </c>
      <c r="AE7" s="1">
        <f>Assumptions!AF120</f>
        <v>13542456.173349466</v>
      </c>
      <c r="AF7" s="1">
        <f>Assumptions!AG120</f>
        <v>14009437.420706347</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4308229.3958921209</v>
      </c>
      <c r="D11" s="1">
        <f>D5*D$9</f>
        <v>4446092.7365606688</v>
      </c>
      <c r="E11" s="1">
        <f t="shared" ref="D11:AF13" si="1">E5*E$9</f>
        <v>4588367.7041306095</v>
      </c>
      <c r="F11" s="1">
        <f t="shared" si="1"/>
        <v>4735195.4706627894</v>
      </c>
      <c r="G11" s="1">
        <f t="shared" si="1"/>
        <v>4886721.7257239996</v>
      </c>
      <c r="H11" s="1">
        <f t="shared" si="1"/>
        <v>5043096.8209471665</v>
      </c>
      <c r="I11" s="1">
        <f t="shared" si="1"/>
        <v>5204475.9192174748</v>
      </c>
      <c r="J11" s="1">
        <f t="shared" si="1"/>
        <v>5371019.1486324351</v>
      </c>
      <c r="K11" s="1">
        <f t="shared" si="1"/>
        <v>5542891.7613886734</v>
      </c>
      <c r="L11" s="1">
        <f t="shared" si="1"/>
        <v>5720264.2977531105</v>
      </c>
      <c r="M11" s="1">
        <f t="shared" si="1"/>
        <v>5903312.7552812099</v>
      </c>
      <c r="N11" s="1">
        <f t="shared" si="1"/>
        <v>6092218.7634502091</v>
      </c>
      <c r="O11" s="1">
        <f t="shared" si="1"/>
        <v>6287169.7638806161</v>
      </c>
      <c r="P11" s="1">
        <f t="shared" si="1"/>
        <v>6488359.1963247946</v>
      </c>
      <c r="Q11" s="1">
        <f t="shared" si="1"/>
        <v>6695986.6906071864</v>
      </c>
      <c r="R11" s="1">
        <f t="shared" si="1"/>
        <v>6910258.2647066182</v>
      </c>
      <c r="S11" s="1">
        <f t="shared" si="1"/>
        <v>7131386.5291772308</v>
      </c>
      <c r="T11" s="1">
        <f t="shared" si="1"/>
        <v>7359590.898110901</v>
      </c>
      <c r="U11" s="1">
        <f t="shared" si="1"/>
        <v>7595097.8068504492</v>
      </c>
      <c r="V11" s="1">
        <f t="shared" si="1"/>
        <v>7838140.9366696645</v>
      </c>
      <c r="W11" s="1">
        <f t="shared" si="1"/>
        <v>8088961.4466430945</v>
      </c>
      <c r="X11" s="1">
        <f t="shared" si="1"/>
        <v>8347808.2129356721</v>
      </c>
      <c r="Y11" s="1">
        <f t="shared" si="1"/>
        <v>8614938.0757496133</v>
      </c>
      <c r="Z11" s="1">
        <f t="shared" si="1"/>
        <v>8890616.0941736009</v>
      </c>
      <c r="AA11" s="1">
        <f t="shared" si="1"/>
        <v>9175115.8091871589</v>
      </c>
      <c r="AB11" s="1">
        <f t="shared" si="1"/>
        <v>9468719.5150811449</v>
      </c>
      <c r="AC11" s="1">
        <f t="shared" si="1"/>
        <v>9771718.5395637415</v>
      </c>
      <c r="AD11" s="1">
        <f t="shared" si="1"/>
        <v>10084413.532829782</v>
      </c>
      <c r="AE11" s="1">
        <f t="shared" si="1"/>
        <v>10407114.765880335</v>
      </c>
      <c r="AF11" s="1">
        <f t="shared" si="1"/>
        <v>10740142.438388504</v>
      </c>
    </row>
    <row r="12" spans="1:32" x14ac:dyDescent="0.35">
      <c r="A12" t="s">
        <v>71</v>
      </c>
      <c r="C12" s="1">
        <f t="shared" ref="C12:R12" si="2">C6*C$9</f>
        <v>20080193.636345766</v>
      </c>
      <c r="D12" s="1">
        <f t="shared" si="2"/>
        <v>20722759.832708828</v>
      </c>
      <c r="E12" s="1">
        <f t="shared" si="2"/>
        <v>21385888.147355508</v>
      </c>
      <c r="F12" s="1">
        <f t="shared" si="2"/>
        <v>22070236.568070885</v>
      </c>
      <c r="G12" s="1">
        <f t="shared" si="2"/>
        <v>22776484.138249159</v>
      </c>
      <c r="H12" s="1">
        <f t="shared" si="2"/>
        <v>23505331.630673125</v>
      </c>
      <c r="I12" s="1">
        <f t="shared" si="2"/>
        <v>24257502.242854666</v>
      </c>
      <c r="J12" s="1">
        <f t="shared" si="2"/>
        <v>25033742.314626016</v>
      </c>
      <c r="K12" s="1">
        <f t="shared" si="2"/>
        <v>25834822.068694051</v>
      </c>
      <c r="L12" s="1">
        <f t="shared" si="2"/>
        <v>26661536.374892257</v>
      </c>
      <c r="M12" s="1">
        <f t="shared" si="2"/>
        <v>27514705.538888808</v>
      </c>
      <c r="N12" s="1">
        <f t="shared" si="2"/>
        <v>28395176.116133254</v>
      </c>
      <c r="O12" s="1">
        <f t="shared" si="2"/>
        <v>29303821.751849521</v>
      </c>
      <c r="P12" s="1">
        <f t="shared" si="2"/>
        <v>30241544.047908697</v>
      </c>
      <c r="Q12" s="1">
        <f t="shared" si="2"/>
        <v>31209273.457441773</v>
      </c>
      <c r="R12" s="1">
        <f t="shared" si="2"/>
        <v>32207970.208079915</v>
      </c>
      <c r="S12" s="1">
        <f t="shared" si="1"/>
        <v>33238625.254738476</v>
      </c>
      <c r="T12" s="1">
        <f t="shared" si="1"/>
        <v>34302261.2628901</v>
      </c>
      <c r="U12" s="1">
        <f t="shared" si="1"/>
        <v>35399933.623302579</v>
      </c>
      <c r="V12" s="1">
        <f t="shared" si="1"/>
        <v>36532731.499248266</v>
      </c>
      <c r="W12" s="1">
        <f t="shared" si="1"/>
        <v>37701778.907224216</v>
      </c>
      <c r="X12" s="1">
        <f t="shared" si="1"/>
        <v>38908235.832255386</v>
      </c>
      <c r="Y12" s="1">
        <f t="shared" si="1"/>
        <v>40153299.378887556</v>
      </c>
      <c r="Z12" s="1">
        <f t="shared" si="1"/>
        <v>41438204.959011957</v>
      </c>
      <c r="AA12" s="1">
        <f t="shared" si="1"/>
        <v>42764227.517700352</v>
      </c>
      <c r="AB12" s="1">
        <f t="shared" si="1"/>
        <v>44132682.798266754</v>
      </c>
      <c r="AC12" s="1">
        <f t="shared" si="1"/>
        <v>45544928.647811286</v>
      </c>
      <c r="AD12" s="1">
        <f t="shared" si="1"/>
        <v>47002366.364541255</v>
      </c>
      <c r="AE12" s="1">
        <f t="shared" si="1"/>
        <v>48506442.088206574</v>
      </c>
      <c r="AF12" s="1">
        <f t="shared" si="1"/>
        <v>50058648.235029176</v>
      </c>
    </row>
    <row r="13" spans="1:32" x14ac:dyDescent="0.35">
      <c r="A13" t="s">
        <v>74</v>
      </c>
      <c r="C13" s="1">
        <f>C7*C$9</f>
        <v>481924.64727229835</v>
      </c>
      <c r="D13" s="1">
        <f t="shared" si="1"/>
        <v>994692.47197002382</v>
      </c>
      <c r="E13" s="1">
        <f t="shared" si="1"/>
        <v>1539783.9466095965</v>
      </c>
      <c r="F13" s="1">
        <f t="shared" si="1"/>
        <v>2118742.710534805</v>
      </c>
      <c r="G13" s="1">
        <f t="shared" si="1"/>
        <v>2733178.0965898987</v>
      </c>
      <c r="H13" s="1">
        <f t="shared" si="1"/>
        <v>3384767.7548169298</v>
      </c>
      <c r="I13" s="1">
        <f t="shared" si="1"/>
        <v>4075260.376799583</v>
      </c>
      <c r="J13" s="1">
        <f t="shared" si="1"/>
        <v>4806478.5244081952</v>
      </c>
      <c r="K13" s="1">
        <f t="shared" si="1"/>
        <v>5580321.5668379152</v>
      </c>
      <c r="L13" s="1">
        <f t="shared" si="1"/>
        <v>6398768.7299741432</v>
      </c>
      <c r="M13" s="1">
        <f t="shared" si="1"/>
        <v>7263882.2622666461</v>
      </c>
      <c r="N13" s="1">
        <f t="shared" si="1"/>
        <v>8177810.7214463772</v>
      </c>
      <c r="O13" s="1">
        <f t="shared" si="1"/>
        <v>9142792.386577053</v>
      </c>
      <c r="P13" s="1">
        <f t="shared" si="1"/>
        <v>10161158.800097322</v>
      </c>
      <c r="Q13" s="1">
        <f t="shared" si="1"/>
        <v>11235338.444679039</v>
      </c>
      <c r="R13" s="1">
        <f t="shared" si="1"/>
        <v>12367860.559902688</v>
      </c>
      <c r="S13" s="1">
        <f t="shared" si="1"/>
        <v>13561359.103933299</v>
      </c>
      <c r="T13" s="1">
        <f t="shared" si="1"/>
        <v>14818576.865568522</v>
      </c>
      <c r="U13" s="1">
        <f t="shared" si="1"/>
        <v>16142369.732225973</v>
      </c>
      <c r="V13" s="1">
        <f t="shared" si="1"/>
        <v>17535711.119639169</v>
      </c>
      <c r="W13" s="1">
        <f t="shared" si="1"/>
        <v>19001696.569241002</v>
      </c>
      <c r="X13" s="1">
        <f t="shared" si="1"/>
        <v>20543548.519430839</v>
      </c>
      <c r="Y13" s="1">
        <f t="shared" si="1"/>
        <v>22164621.257145923</v>
      </c>
      <c r="Z13" s="1">
        <f t="shared" si="1"/>
        <v>23868406.056390882</v>
      </c>
      <c r="AA13" s="1">
        <f t="shared" si="1"/>
        <v>25658536.510620203</v>
      </c>
      <c r="AB13" s="1">
        <f t="shared" si="1"/>
        <v>27538794.066118442</v>
      </c>
      <c r="AC13" s="1">
        <f t="shared" si="1"/>
        <v>29513113.7637817</v>
      </c>
      <c r="AD13" s="1">
        <f t="shared" si="1"/>
        <v>31585590.196971711</v>
      </c>
      <c r="AE13" s="1">
        <f t="shared" si="1"/>
        <v>33760483.69339177</v>
      </c>
      <c r="AF13" s="1">
        <f t="shared" si="1"/>
        <v>36042226.729221001</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24870347.679510187</v>
      </c>
      <c r="D25" s="40">
        <f>SUM(D11:D13,D18:D23)</f>
        <v>26163545.041239522</v>
      </c>
      <c r="E25" s="40">
        <f t="shared" ref="E25:AF25" si="7">SUM(E11:E13,E18:E23)</f>
        <v>27514039.798095714</v>
      </c>
      <c r="F25" s="40">
        <f t="shared" si="7"/>
        <v>28924174.74926848</v>
      </c>
      <c r="G25" s="40">
        <f t="shared" si="7"/>
        <v>30396383.960563056</v>
      </c>
      <c r="H25" s="40">
        <f t="shared" si="7"/>
        <v>31933196.206437223</v>
      </c>
      <c r="I25" s="40">
        <f t="shared" si="7"/>
        <v>33537238.538871724</v>
      </c>
      <c r="J25" s="40">
        <f t="shared" si="7"/>
        <v>35211239.987666652</v>
      </c>
      <c r="K25" s="40">
        <f t="shared" si="7"/>
        <v>36958035.396920644</v>
      </c>
      <c r="L25" s="40">
        <f t="shared" si="7"/>
        <v>38780569.402619511</v>
      </c>
      <c r="M25" s="40">
        <f t="shared" si="7"/>
        <v>40681900.556436665</v>
      </c>
      <c r="N25" s="40">
        <f t="shared" si="7"/>
        <v>42665205.601029843</v>
      </c>
      <c r="O25" s="40">
        <f t="shared" si="7"/>
        <v>44733783.90230719</v>
      </c>
      <c r="P25" s="40">
        <f t="shared" si="7"/>
        <v>46891062.044330813</v>
      </c>
      <c r="Q25" s="40">
        <f t="shared" si="7"/>
        <v>49140598.592727996</v>
      </c>
      <c r="R25" s="40">
        <f t="shared" si="7"/>
        <v>51486089.032689221</v>
      </c>
      <c r="S25" s="40">
        <f t="shared" si="7"/>
        <v>53931370.887849003</v>
      </c>
      <c r="T25" s="40">
        <f t="shared" si="7"/>
        <v>56480429.02656953</v>
      </c>
      <c r="U25" s="40">
        <f t="shared" si="7"/>
        <v>59137401.162378997</v>
      </c>
      <c r="V25" s="40">
        <f t="shared" si="7"/>
        <v>61906583.555557102</v>
      </c>
      <c r="W25" s="40">
        <f t="shared" si="7"/>
        <v>64792436.92310831</v>
      </c>
      <c r="X25" s="40">
        <f t="shared" si="7"/>
        <v>67799592.564621896</v>
      </c>
      <c r="Y25" s="40">
        <f t="shared" si="7"/>
        <v>70932858.711783096</v>
      </c>
      <c r="Z25" s="40">
        <f t="shared" si="7"/>
        <v>74197227.109576434</v>
      </c>
      <c r="AA25" s="40">
        <f t="shared" si="7"/>
        <v>77597879.83750771</v>
      </c>
      <c r="AB25" s="40">
        <f t="shared" si="7"/>
        <v>81140196.37946634</v>
      </c>
      <c r="AC25" s="40">
        <f t="shared" si="7"/>
        <v>84829760.951156721</v>
      </c>
      <c r="AD25" s="40">
        <f t="shared" si="7"/>
        <v>88672370.094342753</v>
      </c>
      <c r="AE25" s="40">
        <f t="shared" si="7"/>
        <v>92674040.547478676</v>
      </c>
      <c r="AF25" s="40">
        <f t="shared" si="7"/>
        <v>96841017.402638674</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18794156.237992883</v>
      </c>
      <c r="D5" s="59">
        <f>C5*('Price and Financial ratios'!F4+1)*(1+Assumptions!$C$13)</f>
        <v>21758465.61782657</v>
      </c>
      <c r="E5" s="59">
        <f>D5*('Price and Financial ratios'!G4+1)*(1+Assumptions!$C$13)</f>
        <v>25190320.866072617</v>
      </c>
      <c r="F5" s="59">
        <f>E5*('Price and Financial ratios'!H4+1)*(1+Assumptions!$C$13)</f>
        <v>28402679.620606519</v>
      </c>
      <c r="G5" s="59">
        <f>F5*('Price and Financial ratios'!I4+1)*(1+Assumptions!$C$13)</f>
        <v>32024689.717919819</v>
      </c>
      <c r="H5" s="59">
        <f>G5*('Price and Financial ratios'!J4+1)*(1+Assumptions!$C$13)</f>
        <v>35463795.071175747</v>
      </c>
      <c r="I5" s="59">
        <f>H5*('Price and Financial ratios'!K4+1)*(1+Assumptions!$C$13)</f>
        <v>39272223.148085587</v>
      </c>
      <c r="J5" s="59">
        <f>I5*('Price and Financial ratios'!L4+1)*(1+Assumptions!$C$13)</f>
        <v>43489635.21522788</v>
      </c>
      <c r="K5" s="59">
        <f>J5*('Price and Financial ratios'!M4+1)*(1+Assumptions!$C$13)</f>
        <v>47722133.987302735</v>
      </c>
      <c r="L5" s="59">
        <f>K5*('Price and Financial ratios'!N4+1)*(1+Assumptions!$C$13)</f>
        <v>51886121.006560259</v>
      </c>
      <c r="M5" s="59">
        <f>L5*('Price and Financial ratios'!O4+1)*(1+Assumptions!$C$13)</f>
        <v>55368742.774290726</v>
      </c>
      <c r="N5" s="59">
        <f>M5*('Price and Financial ratios'!P4+1)*(1+Assumptions!$C$13)</f>
        <v>59085119.814949311</v>
      </c>
      <c r="O5" s="59">
        <f>N5*('Price and Financial ratios'!Q4+1)*(1+Assumptions!$C$13)</f>
        <v>63050941.896551602</v>
      </c>
      <c r="P5" s="59">
        <f>O5*('Price and Financial ratios'!R4+1)*(1+Assumptions!$C$13)</f>
        <v>66648207.062830791</v>
      </c>
      <c r="Q5" s="59">
        <f>P5*('Price and Financial ratios'!S4+1)*(1+Assumptions!$C$13)</f>
        <v>70450708.127056703</v>
      </c>
      <c r="R5" s="59">
        <f>Q5*('Price and Financial ratios'!T4+1)*(1+Assumptions!$C$13)</f>
        <v>74470154.477294698</v>
      </c>
      <c r="S5" s="59">
        <f>R5*('Price and Financial ratios'!U4+1)*(1+Assumptions!$C$13)</f>
        <v>78718923.561000541</v>
      </c>
      <c r="T5" s="59">
        <f>S5*('Price and Financial ratios'!V4+1)*(1+Assumptions!$C$13)</f>
        <v>83210099.000022307</v>
      </c>
      <c r="U5" s="59">
        <f>T5*('Price and Financial ratios'!W4+1)*(1+Assumptions!$C$13)</f>
        <v>87957510.880189538</v>
      </c>
      <c r="V5" s="59">
        <f>U5*('Price and Financial ratios'!X4+1)*(1+Assumptions!$C$13)</f>
        <v>92533036.537939966</v>
      </c>
      <c r="W5" s="59">
        <f>V5*('Price and Financial ratios'!Y4+1)*(1+Assumptions!$C$13)</f>
        <v>96880806.679865852</v>
      </c>
      <c r="X5" s="59">
        <f>W5*('Price and Financial ratios'!Z4+1)*(1+Assumptions!$C$13)</f>
        <v>101432861.7551979</v>
      </c>
      <c r="Y5" s="59">
        <f>X5*('Price and Financial ratios'!AA4+1)*(1+Assumptions!$C$13)</f>
        <v>106198800.32426804</v>
      </c>
      <c r="Z5" s="59">
        <f>Y5*('Price and Financial ratios'!AB4+1)*(1+Assumptions!$C$13)</f>
        <v>111188671.94670083</v>
      </c>
      <c r="AA5" s="59">
        <f>Z5*('Price and Financial ratios'!AC4+1)*(1+Assumptions!$C$13)</f>
        <v>116412998.37212887</v>
      </c>
      <c r="AB5" s="59">
        <f>AA5*('Price and Financial ratios'!AD4+1)*(1+Assumptions!$C$13)</f>
        <v>119773285.80054151</v>
      </c>
      <c r="AC5" s="59">
        <f>AB5*('Price and Financial ratios'!AE4+1)*(1+Assumptions!$C$13)</f>
        <v>123230568.6827217</v>
      </c>
      <c r="AD5" s="59">
        <f>AC5*('Price and Financial ratios'!AF4+1)*(1+Assumptions!$C$13)</f>
        <v>126787646.81429769</v>
      </c>
      <c r="AE5" s="59">
        <f>AD5*('Price and Financial ratios'!AG4+1)*(1+Assumptions!$C$13)</f>
        <v>130447400.8076293</v>
      </c>
      <c r="AF5" s="59">
        <f>AE5*('Price and Financial ratios'!AH4+1)*(1+Assumptions!$C$13)</f>
        <v>134212794.42460126</v>
      </c>
    </row>
    <row r="6" spans="1:32" s="11" customFormat="1" x14ac:dyDescent="0.35">
      <c r="A6" s="11" t="s">
        <v>20</v>
      </c>
      <c r="C6" s="59">
        <f>C27</f>
        <v>8058928.0227583488</v>
      </c>
      <c r="D6" s="59">
        <f t="shared" ref="D6:AF6" si="1">D27</f>
        <v>8897148.2699727472</v>
      </c>
      <c r="E6" s="59">
        <f>E27</f>
        <v>9768701.3977445923</v>
      </c>
      <c r="F6" s="59">
        <f t="shared" si="1"/>
        <v>10674658.506431488</v>
      </c>
      <c r="G6" s="59">
        <f t="shared" si="1"/>
        <v>11616121.984738499</v>
      </c>
      <c r="H6" s="59">
        <f t="shared" si="1"/>
        <v>12594226.376451686</v>
      </c>
      <c r="I6" s="59">
        <f t="shared" si="1"/>
        <v>13610139.270408556</v>
      </c>
      <c r="J6" s="59">
        <f t="shared" si="1"/>
        <v>14665062.214315332</v>
      </c>
      <c r="K6" s="59">
        <f t="shared" si="1"/>
        <v>15760231.653036878</v>
      </c>
      <c r="L6" s="59">
        <f t="shared" si="1"/>
        <v>16896919.892001182</v>
      </c>
      <c r="M6" s="59">
        <f t="shared" si="1"/>
        <v>18076436.08637704</v>
      </c>
      <c r="N6" s="59">
        <f t="shared" si="1"/>
        <v>19300127.256700531</v>
      </c>
      <c r="O6" s="59">
        <f t="shared" si="1"/>
        <v>20569379.33164341</v>
      </c>
      <c r="P6" s="59">
        <f t="shared" si="1"/>
        <v>21885618.21863446</v>
      </c>
      <c r="Q6" s="59">
        <f t="shared" si="1"/>
        <v>23250310.903063238</v>
      </c>
      <c r="R6" s="59">
        <f t="shared" si="1"/>
        <v>24664966.57681448</v>
      </c>
      <c r="S6" s="59">
        <f t="shared" si="1"/>
        <v>26131137.796900872</v>
      </c>
      <c r="T6" s="59">
        <f t="shared" si="1"/>
        <v>27650421.674981564</v>
      </c>
      <c r="U6" s="59">
        <f t="shared" si="1"/>
        <v>29224461.098574422</v>
      </c>
      <c r="V6" s="59">
        <f t="shared" si="1"/>
        <v>30854945.984790511</v>
      </c>
      <c r="W6" s="59">
        <f t="shared" si="1"/>
        <v>32543614.567441162</v>
      </c>
      <c r="X6" s="59">
        <f t="shared" si="1"/>
        <v>34292254.718389511</v>
      </c>
      <c r="Y6" s="59">
        <f t="shared" si="1"/>
        <v>36102705.304041252</v>
      </c>
      <c r="Z6" s="59">
        <f t="shared" si="1"/>
        <v>37976857.577892177</v>
      </c>
      <c r="AA6" s="59">
        <f t="shared" si="1"/>
        <v>39916656.610073999</v>
      </c>
      <c r="AB6" s="59">
        <f t="shared" si="1"/>
        <v>41924102.754864119</v>
      </c>
      <c r="AC6" s="59">
        <f t="shared" si="1"/>
        <v>44001253.157149933</v>
      </c>
      <c r="AD6" s="59">
        <f t="shared" si="1"/>
        <v>46150223.298863865</v>
      </c>
      <c r="AE6" s="59">
        <f t="shared" si="1"/>
        <v>48373188.586431518</v>
      </c>
      <c r="AF6" s="59">
        <f t="shared" si="1"/>
        <v>50672385.980302244</v>
      </c>
    </row>
    <row r="7" spans="1:32" x14ac:dyDescent="0.35">
      <c r="A7" t="s">
        <v>21</v>
      </c>
      <c r="C7" s="4">
        <f>Depreciation!C8+Depreciation!C9</f>
        <v>4790154.043164419</v>
      </c>
      <c r="D7" s="4">
        <f>Depreciation!D8+Depreciation!D9</f>
        <v>5440785.2085306924</v>
      </c>
      <c r="E7" s="4">
        <f>Depreciation!E8+Depreciation!E9</f>
        <v>6128151.6507402062</v>
      </c>
      <c r="F7" s="4">
        <f>Depreciation!F8+Depreciation!F9</f>
        <v>6853938.1811975949</v>
      </c>
      <c r="G7" s="4">
        <f>Depreciation!G8+Depreciation!G9</f>
        <v>7619899.8223138982</v>
      </c>
      <c r="H7" s="4">
        <f>Depreciation!H8+Depreciation!H9</f>
        <v>8427864.5757640973</v>
      </c>
      <c r="I7" s="4">
        <f>Depreciation!I8+Depreciation!I9</f>
        <v>9279736.2960170582</v>
      </c>
      <c r="J7" s="4">
        <f>Depreciation!J8+Depreciation!J9</f>
        <v>10177497.67304063</v>
      </c>
      <c r="K7" s="4">
        <f>Depreciation!K8+Depreciation!K9</f>
        <v>11123213.328226589</v>
      </c>
      <c r="L7" s="4">
        <f>Depreciation!L8+Depreciation!L9</f>
        <v>12119033.027727254</v>
      </c>
      <c r="M7" s="4">
        <f>Depreciation!M8+Depreciation!M9</f>
        <v>13167195.017547857</v>
      </c>
      <c r="N7" s="4">
        <f>Depreciation!N8+Depreciation!N9</f>
        <v>14270029.484896585</v>
      </c>
      <c r="O7" s="4">
        <f>Depreciation!O8+Depreciation!O9</f>
        <v>15429962.150457669</v>
      </c>
      <c r="P7" s="4">
        <f>Depreciation!P8+Depreciation!P9</f>
        <v>16649517.996422116</v>
      </c>
      <c r="Q7" s="4">
        <f>Depreciation!Q8+Depreciation!Q9</f>
        <v>17931325.135286227</v>
      </c>
      <c r="R7" s="4">
        <f>Depreciation!R8+Depreciation!R9</f>
        <v>19278118.824609306</v>
      </c>
      <c r="S7" s="4">
        <f>Depreciation!S8+Depreciation!S9</f>
        <v>20692745.633110531</v>
      </c>
      <c r="T7" s="4">
        <f>Depreciation!T8+Depreciation!T9</f>
        <v>22178167.763679422</v>
      </c>
      <c r="U7" s="4">
        <f>Depreciation!U8+Depreciation!U9</f>
        <v>23737467.539076421</v>
      </c>
      <c r="V7" s="4">
        <f>Depreciation!V8+Depreciation!V9</f>
        <v>25373852.056308836</v>
      </c>
      <c r="W7" s="4">
        <f>Depreciation!W8+Depreciation!W9</f>
        <v>27090658.015884098</v>
      </c>
      <c r="X7" s="4">
        <f>Depreciation!X8+Depreciation!X9</f>
        <v>28891356.73236651</v>
      </c>
      <c r="Y7" s="4">
        <f>Depreciation!Y8+Depreciation!Y9</f>
        <v>30779559.332895536</v>
      </c>
      <c r="Z7" s="4">
        <f>Depreciation!Z8+Depreciation!Z9</f>
        <v>32759022.150564484</v>
      </c>
      <c r="AA7" s="4">
        <f>Depreciation!AA8+Depreciation!AA9</f>
        <v>34833652.319807366</v>
      </c>
      <c r="AB7" s="4">
        <f>Depreciation!AB8+Depreciation!AB9</f>
        <v>37007513.581199586</v>
      </c>
      <c r="AC7" s="4">
        <f>Depreciation!AC8+Depreciation!AC9</f>
        <v>39284832.303345442</v>
      </c>
      <c r="AD7" s="4">
        <f>Depreciation!AD8+Depreciation!AD9</f>
        <v>41670003.729801491</v>
      </c>
      <c r="AE7" s="4">
        <f>Depreciation!AE8+Depreciation!AE9</f>
        <v>44167598.459272102</v>
      </c>
      <c r="AF7" s="4">
        <f>Depreciation!AF8+Depreciation!AF9</f>
        <v>46782369.167609505</v>
      </c>
    </row>
    <row r="8" spans="1:32" x14ac:dyDescent="0.35">
      <c r="A8" t="s">
        <v>6</v>
      </c>
      <c r="C8" s="4">
        <f ca="1">'Debt worksheet'!C8</f>
        <v>1002854.0738338322</v>
      </c>
      <c r="D8" s="4">
        <f ca="1">'Debt worksheet'!D8</f>
        <v>1521691.2363754732</v>
      </c>
      <c r="E8" s="4">
        <f ca="1">'Debt worksheet'!E8</f>
        <v>2015467.3035412875</v>
      </c>
      <c r="F8" s="4">
        <f ca="1">'Debt worksheet'!F8</f>
        <v>2494645.2650461742</v>
      </c>
      <c r="G8" s="4">
        <f ca="1">'Debt worksheet'!G8</f>
        <v>2947377.0290202438</v>
      </c>
      <c r="H8" s="4">
        <f ca="1">'Debt worksheet'!H8</f>
        <v>3383009.3180623879</v>
      </c>
      <c r="I8" s="4">
        <f ca="1">'Debt worksheet'!I8</f>
        <v>3791336.5090198987</v>
      </c>
      <c r="J8" s="4">
        <f ca="1">'Debt worksheet'!J8</f>
        <v>4160486.8948769867</v>
      </c>
      <c r="K8" s="4">
        <f ca="1">'Debt worksheet'!K8</f>
        <v>4492592.2819377249</v>
      </c>
      <c r="L8" s="4">
        <f ca="1">'Debt worksheet'!L8</f>
        <v>4793046.8103832547</v>
      </c>
      <c r="M8" s="4">
        <f ca="1">'Debt worksheet'!M8</f>
        <v>5089826.5241259672</v>
      </c>
      <c r="N8" s="4">
        <f ca="1">'Debt worksheet'!N8</f>
        <v>5378895.316708087</v>
      </c>
      <c r="O8" s="4">
        <f ca="1">'Debt worksheet'!O8</f>
        <v>5655671.5684114527</v>
      </c>
      <c r="P8" s="4">
        <f ca="1">'Debt worksheet'!P8</f>
        <v>5937998.0626074187</v>
      </c>
      <c r="Q8" s="4">
        <f ca="1">'Debt worksheet'!Q8</f>
        <v>6223735.8658167133</v>
      </c>
      <c r="R8" s="4">
        <f ca="1">'Debt worksheet'!R8</f>
        <v>6510432.5445015831</v>
      </c>
      <c r="S8" s="4">
        <f ca="1">'Debt worksheet'!S8</f>
        <v>6795293.288945917</v>
      </c>
      <c r="T8" s="4">
        <f ca="1">'Debt worksheet'!T8</f>
        <v>7075149.8430045852</v>
      </c>
      <c r="U8" s="4">
        <f ca="1">'Debt worksheet'!U8</f>
        <v>7346427.0894625094</v>
      </c>
      <c r="V8" s="4">
        <f ca="1">'Debt worksheet'!V8</f>
        <v>7621165.1238826709</v>
      </c>
      <c r="W8" s="4">
        <f ca="1">'Debt worksheet'!W8</f>
        <v>7914091.9090741947</v>
      </c>
      <c r="X8" s="4">
        <f ca="1">'Debt worksheet'!X8</f>
        <v>8225032.5415001735</v>
      </c>
      <c r="Y8" s="4">
        <f ca="1">'Debt worksheet'!Y8</f>
        <v>8553698.726118803</v>
      </c>
      <c r="Z8" s="4">
        <f ca="1">'Debt worksheet'!Z8</f>
        <v>8899676.8622234967</v>
      </c>
      <c r="AA8" s="4">
        <f ca="1">'Debt worksheet'!AA8</f>
        <v>9262415.2278387006</v>
      </c>
      <c r="AB8" s="4">
        <f ca="1">'Debt worksheet'!AB8</f>
        <v>9717720.9269650932</v>
      </c>
      <c r="AC8" s="4">
        <f ca="1">'Debt worksheet'!AC8</f>
        <v>10273302.09001095</v>
      </c>
      <c r="AD8" s="4">
        <f ca="1">'Debt worksheet'!AD8</f>
        <v>10937331.834479546</v>
      </c>
      <c r="AE8" s="4">
        <f ca="1">'Debt worksheet'!AE8</f>
        <v>11718472.35844495</v>
      </c>
      <c r="AF8" s="4">
        <f ca="1">'Debt worksheet'!AF8</f>
        <v>12625900.178224703</v>
      </c>
    </row>
    <row r="9" spans="1:32" x14ac:dyDescent="0.35">
      <c r="A9" t="s">
        <v>22</v>
      </c>
      <c r="C9" s="4">
        <f ca="1">C5-C6-C7-C8</f>
        <v>4942220.0982362814</v>
      </c>
      <c r="D9" s="4">
        <f t="shared" ref="D9:AF9" ca="1" si="2">D5-D6-D7-D8</f>
        <v>5898840.9029476568</v>
      </c>
      <c r="E9" s="4">
        <f t="shared" ca="1" si="2"/>
        <v>7278000.5140465312</v>
      </c>
      <c r="F9" s="4">
        <f t="shared" ca="1" si="2"/>
        <v>8379437.6679312605</v>
      </c>
      <c r="G9" s="4">
        <f t="shared" ca="1" si="2"/>
        <v>9841290.8818471786</v>
      </c>
      <c r="H9" s="4">
        <f t="shared" ca="1" si="2"/>
        <v>11058694.800897576</v>
      </c>
      <c r="I9" s="4">
        <f t="shared" ca="1" si="2"/>
        <v>12591011.072640074</v>
      </c>
      <c r="J9" s="4">
        <f t="shared" ca="1" si="2"/>
        <v>14486588.432994932</v>
      </c>
      <c r="K9" s="4">
        <f t="shared" ca="1" si="2"/>
        <v>16346096.724101543</v>
      </c>
      <c r="L9" s="4">
        <f t="shared" ca="1" si="2"/>
        <v>18077121.27644857</v>
      </c>
      <c r="M9" s="4">
        <f t="shared" ca="1" si="2"/>
        <v>19035285.146239862</v>
      </c>
      <c r="N9" s="4">
        <f t="shared" ca="1" si="2"/>
        <v>20136067.756644107</v>
      </c>
      <c r="O9" s="4">
        <f t="shared" ca="1" si="2"/>
        <v>21395928.846039072</v>
      </c>
      <c r="P9" s="4">
        <f t="shared" ca="1" si="2"/>
        <v>22175072.7851668</v>
      </c>
      <c r="Q9" s="4">
        <f t="shared" ca="1" si="2"/>
        <v>23045336.222890526</v>
      </c>
      <c r="R9" s="4">
        <f t="shared" ca="1" si="2"/>
        <v>24016636.531369328</v>
      </c>
      <c r="S9" s="4">
        <f t="shared" ca="1" si="2"/>
        <v>25099746.842043225</v>
      </c>
      <c r="T9" s="4">
        <f t="shared" ca="1" si="2"/>
        <v>26306359.718356736</v>
      </c>
      <c r="U9" s="4">
        <f t="shared" ca="1" si="2"/>
        <v>27649155.153076179</v>
      </c>
      <c r="V9" s="4">
        <f t="shared" ca="1" si="2"/>
        <v>28683073.372957949</v>
      </c>
      <c r="W9" s="4">
        <f t="shared" ca="1" si="2"/>
        <v>29332442.18746639</v>
      </c>
      <c r="X9" s="4">
        <f t="shared" ca="1" si="2"/>
        <v>30024217.762941703</v>
      </c>
      <c r="Y9" s="4">
        <f t="shared" ca="1" si="2"/>
        <v>30762836.961212456</v>
      </c>
      <c r="Z9" s="4">
        <f t="shared" ca="1" si="2"/>
        <v>31553115.356020674</v>
      </c>
      <c r="AA9" s="4">
        <f t="shared" ca="1" si="2"/>
        <v>32400274.214408807</v>
      </c>
      <c r="AB9" s="4">
        <f t="shared" ca="1" si="2"/>
        <v>31123948.537512712</v>
      </c>
      <c r="AC9" s="4">
        <f t="shared" ca="1" si="2"/>
        <v>29671181.132215373</v>
      </c>
      <c r="AD9" s="4">
        <f t="shared" ca="1" si="2"/>
        <v>28030087.951152779</v>
      </c>
      <c r="AE9" s="4">
        <f t="shared" ca="1" si="2"/>
        <v>26188141.403480731</v>
      </c>
      <c r="AF9" s="4">
        <f t="shared" ca="1" si="2"/>
        <v>24132139.098464802</v>
      </c>
    </row>
    <row r="12" spans="1:32" x14ac:dyDescent="0.35">
      <c r="A12" t="s">
        <v>79</v>
      </c>
      <c r="C12" s="2">
        <f>Assumptions!$C$25*Assumptions!D9*Assumptions!D13</f>
        <v>7462359.4792599371</v>
      </c>
      <c r="D12" s="2">
        <f>Assumptions!$C$25*Assumptions!E9*Assumptions!E13</f>
        <v>7677762.1670619929</v>
      </c>
      <c r="E12" s="2">
        <f>Assumptions!$C$25*Assumptions!F9*Assumptions!F13</f>
        <v>7899382.5019824058</v>
      </c>
      <c r="F12" s="2">
        <f>Assumptions!$C$25*Assumptions!G9*Assumptions!G13</f>
        <v>8127399.9578062166</v>
      </c>
      <c r="G12" s="2">
        <f>Assumptions!$C$25*Assumptions!H9*Assumptions!H13</f>
        <v>8361999.1888697138</v>
      </c>
      <c r="H12" s="2">
        <f>Assumptions!$C$25*Assumptions!I9*Assumptions!I13</f>
        <v>8603370.1795982085</v>
      </c>
      <c r="I12" s="2">
        <f>Assumptions!$C$25*Assumptions!J9*Assumptions!J13</f>
        <v>8851708.398360258</v>
      </c>
      <c r="J12" s="2">
        <f>Assumptions!$C$25*Assumptions!K9*Assumptions!K13</f>
        <v>9107214.9557629209</v>
      </c>
      <c r="K12" s="2">
        <f>Assumptions!$C$25*Assumptions!L9*Assumptions!L13</f>
        <v>9370096.7675162423</v>
      </c>
      <c r="L12" s="2">
        <f>Assumptions!$C$25*Assumptions!M9*Assumptions!M13</f>
        <v>9640566.7219988592</v>
      </c>
      <c r="M12" s="2">
        <f>Assumptions!$C$25*Assumptions!N9*Assumptions!N13</f>
        <v>9918843.8526604306</v>
      </c>
      <c r="N12" s="2">
        <f>Assumptions!$C$25*Assumptions!O9*Assumptions!O13</f>
        <v>10205153.515400484</v>
      </c>
      <c r="O12" s="2">
        <f>Assumptions!$C$25*Assumptions!P9*Assumptions!P13</f>
        <v>10499727.571067376</v>
      </c>
      <c r="P12" s="2">
        <f>Assumptions!$C$25*Assumptions!Q9*Assumptions!Q13</f>
        <v>10802804.573225085</v>
      </c>
      <c r="Q12" s="2">
        <f>Assumptions!$C$25*Assumptions!R9*Assumptions!R13</f>
        <v>11114629.961339971</v>
      </c>
      <c r="R12" s="2">
        <f>Assumptions!$C$25*Assumptions!S9*Assumptions!S13</f>
        <v>11435456.259543892</v>
      </c>
      <c r="S12" s="2">
        <f>Assumptions!$C$25*Assumptions!T9*Assumptions!T13</f>
        <v>11765543.281134669</v>
      </c>
      <c r="T12" s="2">
        <f>Assumptions!$C$25*Assumptions!U9*Assumptions!U13</f>
        <v>12105158.338979505</v>
      </c>
      <c r="U12" s="2">
        <f>Assumptions!$C$25*Assumptions!V9*Assumptions!V13</f>
        <v>12454576.461991755</v>
      </c>
      <c r="V12" s="2">
        <f>Assumptions!$C$25*Assumptions!W9*Assumptions!W13</f>
        <v>12814080.617856314</v>
      </c>
      <c r="W12" s="2">
        <f>Assumptions!$C$25*Assumptions!X9*Assumptions!X13</f>
        <v>13183961.942184076</v>
      </c>
      <c r="X12" s="2">
        <f>Assumptions!$C$25*Assumptions!Y9*Assumptions!Y13</f>
        <v>13564519.974280929</v>
      </c>
      <c r="Y12" s="2">
        <f>Assumptions!$C$25*Assumptions!Z9*Assumptions!Z13</f>
        <v>13956062.899722328</v>
      </c>
      <c r="Z12" s="2">
        <f>Assumptions!$C$25*Assumptions!AA9*Assumptions!AA13</f>
        <v>14358907.799929801</v>
      </c>
      <c r="AA12" s="2">
        <f>Assumptions!$C$25*Assumptions!AB9*Assumptions!AB13</f>
        <v>14773380.908951553</v>
      </c>
      <c r="AB12" s="2">
        <f>Assumptions!$C$25*Assumptions!AC9*Assumptions!AC13</f>
        <v>15199817.877655094</v>
      </c>
      <c r="AC12" s="2">
        <f>Assumptions!$C$25*Assumptions!AD9*Assumptions!AD13</f>
        <v>15638564.045545867</v>
      </c>
      <c r="AD12" s="2">
        <f>Assumptions!$C$25*Assumptions!AE9*Assumptions!AE13</f>
        <v>16089974.720431933</v>
      </c>
      <c r="AE12" s="2">
        <f>Assumptions!$C$25*Assumptions!AF9*Assumptions!AF13</f>
        <v>16554415.466161314</v>
      </c>
      <c r="AF12" s="2">
        <f>Assumptions!$C$25*Assumptions!AG9*Assumptions!AG13</f>
        <v>17032262.398664851</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596568.54349841189</v>
      </c>
      <c r="D14" s="5">
        <f>Assumptions!E122*Assumptions!E9</f>
        <v>1219386.102910754</v>
      </c>
      <c r="E14" s="5">
        <f>Assumptions!F122*Assumptions!F9</f>
        <v>1869318.895762186</v>
      </c>
      <c r="F14" s="5">
        <f>Assumptions!G122*Assumptions!G9</f>
        <v>2547258.5486252722</v>
      </c>
      <c r="G14" s="5">
        <f>Assumptions!H122*Assumptions!H9</f>
        <v>3254122.7958687851</v>
      </c>
      <c r="H14" s="5">
        <f>Assumptions!I122*Assumptions!I9</f>
        <v>3990856.1968534775</v>
      </c>
      <c r="I14" s="5">
        <f>Assumptions!J122*Assumptions!J9</f>
        <v>4758430.872048297</v>
      </c>
      <c r="J14" s="5">
        <f>Assumptions!K122*Assumptions!K9</f>
        <v>5557847.2585524116</v>
      </c>
      <c r="K14" s="5">
        <f>Assumptions!L122*Assumptions!L9</f>
        <v>6390134.8855206352</v>
      </c>
      <c r="L14" s="5">
        <f>Assumptions!M122*Assumptions!M9</f>
        <v>7256353.1700023217</v>
      </c>
      <c r="M14" s="5">
        <f>Assumptions!N122*Assumptions!N9</f>
        <v>8157592.2337166108</v>
      </c>
      <c r="N14" s="5">
        <f>Assumptions!O122*Assumptions!O9</f>
        <v>9094973.7413000483</v>
      </c>
      <c r="O14" s="5">
        <f>Assumptions!P122*Assumptions!P9</f>
        <v>10069651.760576036</v>
      </c>
      <c r="P14" s="5">
        <f>Assumptions!Q122*Assumptions!Q9</f>
        <v>11082813.645409375</v>
      </c>
      <c r="Q14" s="5">
        <f>Assumptions!R122*Assumptions!R9</f>
        <v>12135680.941723267</v>
      </c>
      <c r="R14" s="5">
        <f>Assumptions!S122*Assumptions!S9</f>
        <v>13229510.31727059</v>
      </c>
      <c r="S14" s="5">
        <f>Assumptions!T122*Assumptions!T9</f>
        <v>14365594.515766203</v>
      </c>
      <c r="T14" s="5">
        <f>Assumptions!U122*Assumptions!U9</f>
        <v>15545263.336002061</v>
      </c>
      <c r="U14" s="5">
        <f>Assumptions!V122*Assumptions!V9</f>
        <v>16769884.636582667</v>
      </c>
      <c r="V14" s="5">
        <f>Assumptions!W122*Assumptions!W9</f>
        <v>18040865.366934195</v>
      </c>
      <c r="W14" s="5">
        <f>Assumptions!X122*Assumptions!X9</f>
        <v>19359652.625257086</v>
      </c>
      <c r="X14" s="5">
        <f>Assumptions!Y122*Assumptions!Y9</f>
        <v>20727734.744108584</v>
      </c>
      <c r="Y14" s="5">
        <f>Assumptions!Z122*Assumptions!Z9</f>
        <v>22146642.404318925</v>
      </c>
      <c r="Z14" s="5">
        <f>Assumptions!AA122*Assumptions!AA9</f>
        <v>23617949.777962375</v>
      </c>
      <c r="AA14" s="5">
        <f>Assumptions!AB122*Assumptions!AB9</f>
        <v>25143275.701122444</v>
      </c>
      <c r="AB14" s="5">
        <f>Assumptions!AC122*Assumptions!AC9</f>
        <v>26724284.877209023</v>
      </c>
      <c r="AC14" s="5">
        <f>Assumptions!AD122*Assumptions!AD9</f>
        <v>28362689.111604068</v>
      </c>
      <c r="AD14" s="5">
        <f>Assumptions!AE122*Assumptions!AE9</f>
        <v>30060248.57843193</v>
      </c>
      <c r="AE14" s="5">
        <f>Assumptions!AF122*Assumptions!AF9</f>
        <v>31818773.120270204</v>
      </c>
      <c r="AF14" s="5">
        <f>Assumptions!AG122*Assumptions!AG9</f>
        <v>33640123.58163739</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193</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8058928.0227583488</v>
      </c>
      <c r="D27" s="2">
        <f t="shared" ref="D27:AF27" si="8">D12+D13+D14+D19+D20+D22+D24+D25</f>
        <v>8897148.2699727472</v>
      </c>
      <c r="E27" s="2">
        <f t="shared" si="8"/>
        <v>9768701.3977445923</v>
      </c>
      <c r="F27" s="2">
        <f t="shared" si="8"/>
        <v>10674658.506431488</v>
      </c>
      <c r="G27" s="2">
        <f t="shared" si="8"/>
        <v>11616121.984738499</v>
      </c>
      <c r="H27" s="2">
        <f t="shared" si="8"/>
        <v>12594226.376451686</v>
      </c>
      <c r="I27" s="2">
        <f t="shared" si="8"/>
        <v>13610139.270408556</v>
      </c>
      <c r="J27" s="2">
        <f t="shared" si="8"/>
        <v>14665062.214315332</v>
      </c>
      <c r="K27" s="2">
        <f t="shared" si="8"/>
        <v>15760231.653036878</v>
      </c>
      <c r="L27" s="2">
        <f t="shared" si="8"/>
        <v>16896919.892001182</v>
      </c>
      <c r="M27" s="2">
        <f t="shared" si="8"/>
        <v>18076436.08637704</v>
      </c>
      <c r="N27" s="2">
        <f t="shared" si="8"/>
        <v>19300127.256700531</v>
      </c>
      <c r="O27" s="2">
        <f t="shared" si="8"/>
        <v>20569379.33164341</v>
      </c>
      <c r="P27" s="2">
        <f t="shared" si="8"/>
        <v>21885618.21863446</v>
      </c>
      <c r="Q27" s="2">
        <f t="shared" si="8"/>
        <v>23250310.903063238</v>
      </c>
      <c r="R27" s="2">
        <f t="shared" si="8"/>
        <v>24664966.57681448</v>
      </c>
      <c r="S27" s="2">
        <f t="shared" si="8"/>
        <v>26131137.796900872</v>
      </c>
      <c r="T27" s="2">
        <f t="shared" si="8"/>
        <v>27650421.674981564</v>
      </c>
      <c r="U27" s="2">
        <f t="shared" si="8"/>
        <v>29224461.098574422</v>
      </c>
      <c r="V27" s="2">
        <f t="shared" si="8"/>
        <v>30854945.984790511</v>
      </c>
      <c r="W27" s="2">
        <f t="shared" si="8"/>
        <v>32543614.567441162</v>
      </c>
      <c r="X27" s="2">
        <f t="shared" si="8"/>
        <v>34292254.718389511</v>
      </c>
      <c r="Y27" s="2">
        <f t="shared" si="8"/>
        <v>36102705.304041252</v>
      </c>
      <c r="Z27" s="2">
        <f t="shared" si="8"/>
        <v>37976857.577892177</v>
      </c>
      <c r="AA27" s="2">
        <f t="shared" si="8"/>
        <v>39916656.610073999</v>
      </c>
      <c r="AB27" s="2">
        <f t="shared" si="8"/>
        <v>41924102.754864119</v>
      </c>
      <c r="AC27" s="2">
        <f t="shared" si="8"/>
        <v>44001253.157149933</v>
      </c>
      <c r="AD27" s="2">
        <f t="shared" si="8"/>
        <v>46150223.298863865</v>
      </c>
      <c r="AE27" s="2">
        <f t="shared" si="8"/>
        <v>48373188.586431518</v>
      </c>
      <c r="AF27" s="2">
        <f t="shared" si="8"/>
        <v>50672385.980302244</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3W2DU3RAJ5R2-1900874439-812</_dlc_DocId>
    <_dlc_DocIdUrl xmlns="f54e2983-00ce-40fc-8108-18f351fc47bf">
      <Url>https://dia.cohesion.net.nz/Sites/LGV/TWRP/CAE/_layouts/15/DocIdRedir.aspx?ID=3W2DU3RAJ5R2-1900874439-812</Url>
      <Description>3W2DU3RAJ5R2-1900874439-812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CBCC2D2A-763C-48F8-A3E5-6B0A81386C39}">
  <ds:schemaRefs>
    <ds:schemaRef ds:uri="08a23fc5-e034-477c-ac83-93bc1440f322"/>
    <ds:schemaRef ds:uri="http://schemas.microsoft.com/office/2006/documentManagement/types"/>
    <ds:schemaRef ds:uri="http://purl.org/dc/dcmitype/"/>
    <ds:schemaRef ds:uri="http://purl.org/dc/terms/"/>
    <ds:schemaRef ds:uri="http://schemas.microsoft.com/office/infopath/2007/PartnerControls"/>
    <ds:schemaRef ds:uri="65b6d800-2dda-48d6-88d8-9e2b35e6f7ea"/>
    <ds:schemaRef ds:uri="http://schemas.microsoft.com/office/2006/metadata/properties"/>
    <ds:schemaRef ds:uri="http://schemas.openxmlformats.org/package/2006/metadata/core-properties"/>
    <ds:schemaRef ds:uri="http://schemas.microsoft.com/sharepoint/v3"/>
    <ds:schemaRef ds:uri="http://www.w3.org/XML/1998/namespace"/>
    <ds:schemaRef ds:uri="http://purl.org/dc/elements/1.1/"/>
  </ds:schemaRefs>
</ds:datastoreItem>
</file>

<file path=customXml/itemProps3.xml><?xml version="1.0" encoding="utf-8"?>
<ds:datastoreItem xmlns:ds="http://schemas.openxmlformats.org/officeDocument/2006/customXml" ds:itemID="{6B2EA223-2367-46D2-A587-556CFFCD76AA}"/>
</file>

<file path=customXml/itemProps4.xml><?xml version="1.0" encoding="utf-8"?>
<ds:datastoreItem xmlns:ds="http://schemas.openxmlformats.org/officeDocument/2006/customXml" ds:itemID="{8FEFB655-0A21-4B9D-9806-025891300A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2021-07-01T15:11:09Z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721660d1-1739-4979-a8ae-877b5ade2113</vt:lpwstr>
  </property>
</Properties>
</file>