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1003" documentId="8_{CF052A98-3E8C-481F-AF29-E00339C73A36}" xr6:coauthVersionLast="45" xr6:coauthVersionMax="47" xr10:uidLastSave="{20978E9F-3011-4F80-B9CD-F2CAD015FA50}"/>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<sst xmlns="http://schemas.openxmlformats.org/spreadsheetml/2006/main" count="276" uniqueCount="204">
  <si>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</si>
  <si>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</si>
  <si>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</si>
  <si>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</si>
  <si>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</si>
  <si>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</si>
  <si>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</si>
  <si>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</si>
  <si>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</si>
  <si>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</si>
  <si>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</si>
  <si>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</si>
  <si>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</si>
  <si>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</si>
  <si>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</si>
  <si>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</si>
  <si>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</si>
  <si>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</si>
  <si>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</si>
  <si>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</si>
  <si>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</si>
  <si>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</si>
  <si>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</si>
  <si>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</si>
  <si>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</si>
  <si>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</si>
  <si>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</si>
  <si>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</si>
  <si>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</si>
  <si>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</si>
  <si>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</si>
  <si>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</si>
  <si>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</si>
  <si>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</si>
  <si>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</si>
  <si>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</si>
  <si>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</si>
  <si>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</si>
  <si>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</si>
  <si>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</si>
  <si>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</si>
  <si>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</si>
  <si>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</si>
  <si>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</si>
  <si>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</si>
  <si>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</si>
  <si>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</si>
  <si>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</si>
  <si>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</si>
  <si>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</si>
  <si>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</si>
  <si>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</si>
  <si>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</si>
  <si>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</si>
  <si>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</si>
  <si>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</si>
  <si>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</si>
  <si>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</si>
  <si>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</si>
  <si>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</si>
  <si>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</si>
  <si>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</si>
  <si>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</si>
  <si>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</si>
  <si>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</si>
  <si>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</si>
  <si>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</si>
  <si>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</si>
  <si>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</si>
  <si>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</si>
  <si>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</si>
  <si>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</si>
  <si>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</si>
  <si>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</si>
  <si>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</si>
  <si>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</si>
  <si>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</si>
  <si>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</si>
  <si>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</si>
  <si>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</si>
  <si>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</si>
  <si>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</si>
  <si>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</si>
  <si>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</si>
  <si>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</si>
  <si>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</si>
  <si>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</si>
  <si>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</si>
  <si>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</si>
  <si>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</si>
  <si>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</si>
  <si>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</si>
  <si>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</si>
  <si>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</si>
  <si>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</si>
  <si>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</si>
  <si>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</si>
  <si>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</si>
  <si>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</si>
  <si>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</si>
  <si>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</si>
  <si>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</si>
  <si>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</si>
  <si>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</si>
  <si>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</si>
  <si>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</si>
  <si>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</si>
  <si>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</si>
  <si>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</si>
  <si>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</si>
  <si>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</si>
  <si>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</si>
  <si>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</si>
  <si>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</si>
  <si>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</si>
  <si>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</si>
  <si>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</si>
  <si>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</si>
  <si>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</si>
  <si>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</si>
  <si>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</si>
  <si>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</si>
  <si>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</si>
  <si>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</si>
  <si>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</si>
  <si>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</si>
  <si>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</si>
  <si>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</si>
  <si>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</si>
  <si>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</si>
  <si>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</si>
  <si>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</si>
  <si>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</si>
  <si>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</si>
  <si>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</si>
  <si>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</si>
  <si>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</si>
  <si>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</si>
  <si>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</si>
  <si>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</si>
  <si>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</si>
  <si>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</si>
  <si>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</si>
  <si>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</si>
  <si>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</si>
  <si>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</si>
  <si>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</si>
  <si>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</si>
  <si>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</si>
  <si>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</si>
  <si>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</si>
  <si>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</si>
  <si>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</si>
  <si>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</si>
  <si>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</si>
  <si>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</si>
  <si>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</si>
  <si>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</si>
  <si>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</si>
  <si>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</si>
  <si>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</si>
  <si>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</si>
  <si>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</si>
  <si>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</si>
  <si>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</si>
  <si>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</si>
  <si>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</si>
  <si>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</si>
  <si>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</si>
  <si>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</si>
  <si>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</si>
  <si>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</si>
  <si>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</si>
  <si>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</si>
  <si>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</si>
  <si>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</si>
  <si>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</si>
  <si>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</si>
  <si>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</si>
  <si>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</si>
  <si>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</si>
  <si>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</si>
  <si>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</si>
  <si>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</si>
  <si>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</si>
  <si>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</si>
  <si>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</si>
  <si>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</si>
  <si>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</si>
  <si>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</si>
  <si>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</si>
  <si>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</si>
  <si>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</si>
  <si>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</si>
  <si>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</si>
  <si>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</si>
  <si>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</si>
  <si>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Masterton Stand-alone Council</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</si>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</sst>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307804500</v>
      </c>
      <c r="C6" s="12">
        <f ca="1">B6+Depreciation!C18+'Cash Flow'!C13</f>
        <v>319068296.10146403</v>
      </c>
      <c r="D6" s="1">
        <f ca="1">C6+Depreciation!D18</f>
        <v>348220069.93149102</v>
      </c>
      <c r="E6" s="1">
        <f ca="1">D6+Depreciation!E18</f>
        <v>378886152.54309833</v>
      </c>
      <c r="F6" s="1">
        <f ca="1">E6+Depreciation!F18</f>
        <v>411133608.28190517</v>
      </c>
      <c r="G6" s="1">
        <f ca="1">F6+Depreciation!G18</f>
        <v>445032242.95945805</v>
      </c>
      <c r="H6" s="1">
        <f ca="1">G6+Depreciation!H18</f>
        <v>480654710.63316011</v>
      </c>
      <c r="I6" s="1">
        <f ca="1">H6+Depreciation!I18</f>
        <v>518076624.41285515</v>
      </c>
      <c r="J6" s="1">
        <f ca="1">I6+Depreciation!J18</f>
        <v>557376671.44242883</v>
      </c>
      <c r="K6" s="1">
        <f ca="1">J6+Depreciation!K18</f>
        <v>598636732.21016288</v>
      </c>
      <c r="L6" s="1">
        <f ca="1">K6+Depreciation!L18</f>
        <v>641942004.34714139</v>
      </c>
      <c r="M6" s="1">
        <f ca="1">L6+Depreciation!M18</f>
        <v>687381131.0787698</v>
      </c>
      <c r="N6" s="1">
        <f ca="1">M6+Depreciation!N18</f>
        <v>735046334.5004375</v>
      </c>
      <c r="O6" s="1">
        <f ca="1">N6+Depreciation!O18</f>
        <v>785033553.85453379</v>
      </c>
      <c r="P6" s="1">
        <f ca="1">O6+Depreciation!P18</f>
        <v>837442588.99243021</v>
      </c>
      <c r="Q6" s="1">
        <f ca="1">P6+Depreciation!Q18</f>
        <v>892377249.21167147</v>
      </c>
      <c r="R6" s="1">
        <f ca="1">Q6+Depreciation!R18</f>
        <v>949945507.66548252</v>
      </c>
      <c r="S6" s="1">
        <f ca="1">R6+Depreciation!S18</f>
        <v>1010259661.5488112</v>
      </c>
      <c r="T6" s="1">
        <f ca="1">S6+Depreciation!T18</f>
        <v>1073436498.2724899</v>
      </c>
      <c r="U6" s="1">
        <f ca="1">T6+Depreciation!U18</f>
        <v>1139597467.8447247</v>
      </c>
      <c r="V6" s="1">
        <f ca="1">U6+Depreciation!V18</f>
        <v>1208868861.6870179</v>
      </c>
      <c r="W6" s="1">
        <f ca="1">V6+Depreciation!W18</f>
        <v>1281381998.1198113</v>
      </c>
      <c r="X6" s="1">
        <f ca="1">W6+Depreciation!X18</f>
        <v>1357273414.7616024</v>
      </c>
      <c r="Y6" s="1">
        <f ca="1">X6+Depreciation!Y18</f>
        <v>1436685068.0940599</v>
      </c>
      <c r="Z6" s="1">
        <f ca="1">Y6+Depreciation!Z18</f>
        <v>1519764540.4547455</v>
      </c>
      <c r="AA6" s="1">
        <f ca="1">Z6+Depreciation!AA18</f>
        <v>1606665254.7284532</v>
      </c>
      <c r="AB6" s="1">
        <f ca="1">AA6+Depreciation!AB18</f>
        <v>1697546697.0179188</v>
      </c>
      <c r="AC6" s="1">
        <f ca="1">AB6+Depreciation!AC18</f>
        <v>1792574647.5847349</v>
      </c>
      <c r="AD6" s="1">
        <f ca="1">AC6+Depreciation!AD18</f>
        <v>1891921420.3617475</v>
      </c>
      <c r="AE6" s="1">
        <f ca="1">AD6+Depreciation!AE18</f>
        <v>1995766111.3490286</v>
      </c>
      <c r="AF6" s="1"/>
      <c r="AG6" s="1"/>
      <c r="AH6" s="1"/>
      <c r="AI6" s="1"/>
      <c r="AJ6" s="1"/>
      <c r="AK6" s="1"/>
      <c r="AL6" s="1"/>
      <c r="AM6" s="1"/>
      <c r="AN6" s="1"/>
      <c r="AO6" s="1"/>
      <c r="AP6" s="1"/>
    </row>
    <row r="7" spans="1:42" x14ac:dyDescent="0.35">
      <c r="A7" t="s">
        <v>12</v>
      </c>
      <c r="B7" s="1">
        <f>Depreciation!C12</f>
        <v>158856139.40946314</v>
      </c>
      <c r="C7" s="1">
        <f>Depreciation!D12</f>
        <v>164531975.77907899</v>
      </c>
      <c r="D7" s="1">
        <f>Depreciation!E12</f>
        <v>170970890.93154201</v>
      </c>
      <c r="E7" s="1">
        <f>Depreciation!F12</f>
        <v>178215909.85251191</v>
      </c>
      <c r="F7" s="1">
        <f>Depreciation!G12</f>
        <v>186312029.73405704</v>
      </c>
      <c r="G7" s="1">
        <f>Depreciation!H12</f>
        <v>195306302.13827914</v>
      </c>
      <c r="H7" s="1">
        <f>Depreciation!I12</f>
        <v>205247918.39987081</v>
      </c>
      <c r="I7" s="1">
        <f>Depreciation!J12</f>
        <v>216188298.39076182</v>
      </c>
      <c r="J7" s="1">
        <f>Depreciation!K12</f>
        <v>228181182.77457541</v>
      </c>
      <c r="K7" s="1">
        <f>Depreciation!L12</f>
        <v>241282728.88334799</v>
      </c>
      <c r="L7" s="1">
        <f>Depreciation!M12</f>
        <v>255551610.35386789</v>
      </c>
      <c r="M7" s="1">
        <f>Depreciation!N12</f>
        <v>271049120.66607153</v>
      </c>
      <c r="N7" s="1">
        <f>Depreciation!O12</f>
        <v>287839280.73120093</v>
      </c>
      <c r="O7" s="1">
        <f>Depreciation!P12</f>
        <v>305988950.68288356</v>
      </c>
      <c r="P7" s="1">
        <f>Depreciation!Q12</f>
        <v>325567946.02995223</v>
      </c>
      <c r="Q7" s="1">
        <f>Depreciation!R12</f>
        <v>346649158.33568102</v>
      </c>
      <c r="R7" s="1">
        <f>Depreciation!S12</f>
        <v>369308680.59418887</v>
      </c>
      <c r="S7" s="1">
        <f>Depreciation!T12</f>
        <v>393625937.48105252</v>
      </c>
      <c r="T7" s="1">
        <f>Depreciation!U12</f>
        <v>419683820.66169405</v>
      </c>
      <c r="U7" s="1">
        <f>Depreciation!V12</f>
        <v>447568829.34786308</v>
      </c>
      <c r="V7" s="1">
        <f>Depreciation!W12</f>
        <v>477371216.29953641</v>
      </c>
      <c r="W7" s="1">
        <f>Depreciation!X12</f>
        <v>509185139.47681171</v>
      </c>
      <c r="X7" s="1">
        <f>Depreciation!Y12</f>
        <v>543108819.55388892</v>
      </c>
      <c r="Y7" s="1">
        <f>Depreciation!Z12</f>
        <v>579244703.51502192</v>
      </c>
      <c r="Z7" s="1">
        <f>Depreciation!AA12</f>
        <v>617699634.56039131</v>
      </c>
      <c r="AA7" s="1">
        <f>Depreciation!AB12</f>
        <v>658585028.55821192</v>
      </c>
      <c r="AB7" s="1">
        <f>Depreciation!AC12</f>
        <v>702017057.28805029</v>
      </c>
      <c r="AC7" s="1">
        <f>Depreciation!AD12</f>
        <v>748116838.72930169</v>
      </c>
      <c r="AD7" s="1">
        <f>Depreciation!AE12</f>
        <v>797010634.65807736</v>
      </c>
      <c r="AE7" s="1">
        <f>Depreciation!AF12</f>
        <v>848830055.82538295</v>
      </c>
      <c r="AF7" s="1"/>
      <c r="AG7" s="1"/>
      <c r="AH7" s="1"/>
      <c r="AI7" s="1"/>
      <c r="AJ7" s="1"/>
      <c r="AK7" s="1"/>
      <c r="AL7" s="1"/>
      <c r="AM7" s="1"/>
      <c r="AN7" s="1"/>
      <c r="AO7" s="1"/>
      <c r="AP7" s="1"/>
    </row>
    <row r="8" spans="1:42" x14ac:dyDescent="0.35">
      <c r="A8" t="s">
        <v>191</v>
      </c>
      <c r="B8" s="1">
        <f t="shared" ref="B8:AE8" si="1">B6-B7</f>
        <v>148948360.59053686</v>
      </c>
      <c r="C8" s="1">
        <f t="shared" ca="1" si="1"/>
        <v>154536320.32238504</v>
      </c>
      <c r="D8" s="1">
        <f ca="1">D6-D7</f>
        <v>177249178.99994901</v>
      </c>
      <c r="E8" s="1">
        <f t="shared" ca="1" si="1"/>
        <v>200670242.69058642</v>
      </c>
      <c r="F8" s="1">
        <f t="shared" ca="1" si="1"/>
        <v>224821578.54784814</v>
      </c>
      <c r="G8" s="1">
        <f t="shared" ca="1" si="1"/>
        <v>249725940.82117891</v>
      </c>
      <c r="H8" s="1">
        <f t="shared" ca="1" si="1"/>
        <v>275406792.2332893</v>
      </c>
      <c r="I8" s="1">
        <f t="shared" ca="1" si="1"/>
        <v>301888326.0220933</v>
      </c>
      <c r="J8" s="1">
        <f t="shared" ca="1" si="1"/>
        <v>329195488.66785342</v>
      </c>
      <c r="K8" s="1">
        <f t="shared" ca="1" si="1"/>
        <v>357354003.32681489</v>
      </c>
      <c r="L8" s="1">
        <f t="shared" ca="1" si="1"/>
        <v>386390393.9932735</v>
      </c>
      <c r="M8" s="1">
        <f t="shared" ca="1" si="1"/>
        <v>416332010.41269827</v>
      </c>
      <c r="N8" s="1">
        <f t="shared" ca="1" si="1"/>
        <v>447207053.76923656</v>
      </c>
      <c r="O8" s="1">
        <f t="shared" ca="1" si="1"/>
        <v>479044603.17165023</v>
      </c>
      <c r="P8" s="1">
        <f t="shared" ca="1" si="1"/>
        <v>511874642.96247798</v>
      </c>
      <c r="Q8" s="1">
        <f t="shared" ca="1" si="1"/>
        <v>545728090.87599039</v>
      </c>
      <c r="R8" s="1">
        <f t="shared" ca="1" si="1"/>
        <v>580636827.07129359</v>
      </c>
      <c r="S8" s="1">
        <f t="shared" ca="1" si="1"/>
        <v>616633724.06775868</v>
      </c>
      <c r="T8" s="1">
        <f t="shared" ca="1" si="1"/>
        <v>653752677.61079586</v>
      </c>
      <c r="U8" s="1">
        <f t="shared" ca="1" si="1"/>
        <v>692028638.49686158</v>
      </c>
      <c r="V8" s="1">
        <f t="shared" ca="1" si="1"/>
        <v>731497645.38748145</v>
      </c>
      <c r="W8" s="1">
        <f t="shared" ca="1" si="1"/>
        <v>772196858.64299965</v>
      </c>
      <c r="X8" s="1">
        <f t="shared" ca="1" si="1"/>
        <v>814164595.20771348</v>
      </c>
      <c r="Y8" s="1">
        <f t="shared" ca="1" si="1"/>
        <v>857440364.57903802</v>
      </c>
      <c r="Z8" s="1">
        <f t="shared" ca="1" si="1"/>
        <v>902064905.89435422</v>
      </c>
      <c r="AA8" s="1">
        <f t="shared" ca="1" si="1"/>
        <v>948080226.17024124</v>
      </c>
      <c r="AB8" s="1">
        <f t="shared" ca="1" si="1"/>
        <v>995529639.72986853</v>
      </c>
      <c r="AC8" s="1">
        <f t="shared" ca="1" si="1"/>
        <v>1044457808.8554332</v>
      </c>
      <c r="AD8" s="1">
        <f t="shared" ca="1" si="1"/>
        <v>1094910785.70367</v>
      </c>
      <c r="AE8" s="1">
        <f t="shared" ca="1" si="1"/>
        <v>1146936055.5236456</v>
      </c>
      <c r="AF8" s="1"/>
      <c r="AG8" s="1"/>
      <c r="AH8" s="1"/>
      <c r="AI8" s="1"/>
      <c r="AJ8" s="1"/>
      <c r="AK8" s="1"/>
      <c r="AL8" s="1"/>
      <c r="AM8" s="1"/>
      <c r="AN8" s="1"/>
      <c r="AO8" s="1"/>
      <c r="AP8" s="1"/>
    </row>
    <row r="10" spans="1:42" x14ac:dyDescent="0.35">
      <c r="A10" t="s">
        <v>17</v>
      </c>
      <c r="B10" s="1">
        <f>B8-B11</f>
        <v>101329360.59053686</v>
      </c>
      <c r="C10" s="1">
        <f ca="1">C8-C11</f>
        <v>90479225.59925881</v>
      </c>
      <c r="D10" s="1">
        <f ca="1">D8-D11</f>
        <v>101816983.59624469</v>
      </c>
      <c r="E10" s="1">
        <f t="shared" ref="E10:AE10" ca="1" si="2">E8-E11</f>
        <v>115407442.95983244</v>
      </c>
      <c r="F10" s="1">
        <f t="shared" ca="1" si="2"/>
        <v>131941887.92264324</v>
      </c>
      <c r="G10" s="1">
        <f ca="1">G8-G11</f>
        <v>149627171.24344516</v>
      </c>
      <c r="H10" s="1">
        <f t="shared" ca="1" si="2"/>
        <v>167876728.8039619</v>
      </c>
      <c r="I10" s="1">
        <f t="shared" ca="1" si="2"/>
        <v>186791227.90629011</v>
      </c>
      <c r="J10" s="1">
        <f t="shared" ca="1" si="2"/>
        <v>206015878.60371304</v>
      </c>
      <c r="K10" s="1">
        <f t="shared" ca="1" si="2"/>
        <v>225600783.60240018</v>
      </c>
      <c r="L10" s="1">
        <f t="shared" ca="1" si="2"/>
        <v>245603377.48284832</v>
      </c>
      <c r="M10" s="1">
        <f t="shared" ca="1" si="2"/>
        <v>266089154.84956214</v>
      </c>
      <c r="N10" s="1">
        <f t="shared" ca="1" si="2"/>
        <v>287132457.72054768</v>
      </c>
      <c r="O10" s="1">
        <f t="shared" ca="1" si="2"/>
        <v>308817326.47269928</v>
      </c>
      <c r="P10" s="1">
        <f t="shared" ca="1" si="2"/>
        <v>331238418.95368946</v>
      </c>
      <c r="Q10" s="1">
        <f t="shared" ca="1" si="2"/>
        <v>354502002.68480134</v>
      </c>
      <c r="R10" s="1">
        <f t="shared" ca="1" si="2"/>
        <v>378727025.41349828</v>
      </c>
      <c r="S10" s="1">
        <f t="shared" ca="1" si="2"/>
        <v>404046269.63073373</v>
      </c>
      <c r="T10" s="1">
        <f t="shared" ca="1" si="2"/>
        <v>430607597.04743719</v>
      </c>
      <c r="U10" s="1">
        <f t="shared" ca="1" si="2"/>
        <v>458575289.42876351</v>
      </c>
      <c r="V10" s="1">
        <f t="shared" ca="1" si="2"/>
        <v>488131492.61512971</v>
      </c>
      <c r="W10" s="1">
        <f t="shared" ca="1" si="2"/>
        <v>519477771.01745927</v>
      </c>
      <c r="X10" s="1">
        <f t="shared" ca="1" si="2"/>
        <v>551762579.12509525</v>
      </c>
      <c r="Y10" s="1">
        <f t="shared" ca="1" si="2"/>
        <v>585072333.26038694</v>
      </c>
      <c r="Z10" s="1">
        <f t="shared" ca="1" si="2"/>
        <v>619502393.68194747</v>
      </c>
      <c r="AA10" s="1">
        <f t="shared" ca="1" si="2"/>
        <v>654534480.83346403</v>
      </c>
      <c r="AB10" s="1">
        <f t="shared" ca="1" si="2"/>
        <v>688506311.30129254</v>
      </c>
      <c r="AC10" s="1">
        <f t="shared" ca="1" si="2"/>
        <v>721259926.02344072</v>
      </c>
      <c r="AD10" s="1">
        <f t="shared" ca="1" si="2"/>
        <v>752626722.5703007</v>
      </c>
      <c r="AE10" s="1">
        <f t="shared" ca="1" si="2"/>
        <v>782426881.97755003</v>
      </c>
      <c r="AF10" s="1"/>
      <c r="AG10" s="1"/>
      <c r="AH10" s="1"/>
      <c r="AI10" s="1"/>
      <c r="AJ10" s="1"/>
      <c r="AK10" s="1"/>
      <c r="AL10" s="1"/>
      <c r="AM10" s="1"/>
      <c r="AN10" s="1"/>
      <c r="AO10" s="1"/>
    </row>
    <row r="11" spans="1:42" x14ac:dyDescent="0.35">
      <c r="A11" t="s">
        <v>9</v>
      </c>
      <c r="B11" s="1">
        <f>Assumptions!$C$20</f>
        <v>47619000</v>
      </c>
      <c r="C11" s="1">
        <f ca="1">'Debt worksheet'!D5</f>
        <v>64057094.723126233</v>
      </c>
      <c r="D11" s="1">
        <f ca="1">'Debt worksheet'!E5</f>
        <v>75432195.403704315</v>
      </c>
      <c r="E11" s="1">
        <f ca="1">'Debt worksheet'!F5</f>
        <v>85262799.730753973</v>
      </c>
      <c r="F11" s="1">
        <f ca="1">'Debt worksheet'!G5</f>
        <v>92879690.625204891</v>
      </c>
      <c r="G11" s="1">
        <f ca="1">'Debt worksheet'!H5</f>
        <v>100098769.57773376</v>
      </c>
      <c r="H11" s="1">
        <f ca="1">'Debt worksheet'!I5</f>
        <v>107530063.4293274</v>
      </c>
      <c r="I11" s="1">
        <f ca="1">'Debt worksheet'!J5</f>
        <v>115097098.11580317</v>
      </c>
      <c r="J11" s="1">
        <f ca="1">'Debt worksheet'!K5</f>
        <v>123179610.06414038</v>
      </c>
      <c r="K11" s="1">
        <f ca="1">'Debt worksheet'!L5</f>
        <v>131753219.72441471</v>
      </c>
      <c r="L11" s="1">
        <f ca="1">'Debt worksheet'!M5</f>
        <v>140787016.51042518</v>
      </c>
      <c r="M11" s="1">
        <f ca="1">'Debt worksheet'!N5</f>
        <v>150242855.56313613</v>
      </c>
      <c r="N11" s="1">
        <f ca="1">'Debt worksheet'!O5</f>
        <v>160074596.04868889</v>
      </c>
      <c r="O11" s="1">
        <f ca="1">'Debt worksheet'!P5</f>
        <v>170227276.69895098</v>
      </c>
      <c r="P11" s="1">
        <f ca="1">'Debt worksheet'!Q5</f>
        <v>180636224.0087885</v>
      </c>
      <c r="Q11" s="1">
        <f ca="1">'Debt worksheet'!R5</f>
        <v>191226088.19118905</v>
      </c>
      <c r="R11" s="1">
        <f ca="1">'Debt worksheet'!S5</f>
        <v>201909801.65779534</v>
      </c>
      <c r="S11" s="1">
        <f ca="1">'Debt worksheet'!T5</f>
        <v>212587454.43702492</v>
      </c>
      <c r="T11" s="1">
        <f ca="1">'Debt worksheet'!U5</f>
        <v>223145080.56335863</v>
      </c>
      <c r="U11" s="1">
        <f ca="1">'Debt worksheet'!V5</f>
        <v>233453349.06809807</v>
      </c>
      <c r="V11" s="1">
        <f ca="1">'Debt worksheet'!W5</f>
        <v>243366152.77235174</v>
      </c>
      <c r="W11" s="1">
        <f ca="1">'Debt worksheet'!X5</f>
        <v>252719087.62554038</v>
      </c>
      <c r="X11" s="1">
        <f ca="1">'Debt worksheet'!Y5</f>
        <v>262402016.08261821</v>
      </c>
      <c r="Y11" s="1">
        <f ca="1">'Debt worksheet'!Z5</f>
        <v>272368031.31865114</v>
      </c>
      <c r="Z11" s="1">
        <f ca="1">'Debt worksheet'!AA5</f>
        <v>282562512.21240681</v>
      </c>
      <c r="AA11" s="1">
        <f ca="1">'Debt worksheet'!AB5</f>
        <v>293545745.33677721</v>
      </c>
      <c r="AB11" s="1">
        <f ca="1">'Debt worksheet'!AC5</f>
        <v>307023328.42857599</v>
      </c>
      <c r="AC11" s="1">
        <f ca="1">'Debt worksheet'!AD5</f>
        <v>323197882.83199251</v>
      </c>
      <c r="AD11" s="1">
        <f ca="1">'Debt worksheet'!AE5</f>
        <v>342284063.13336933</v>
      </c>
      <c r="AE11" s="1">
        <f ca="1">'Debt worksheet'!AF5</f>
        <v>364509173.54609561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6309906.6920008771</v>
      </c>
      <c r="D5" s="4">
        <f ca="1">'Profit and Loss'!D9</f>
        <v>12100836.779833093</v>
      </c>
      <c r="E5" s="4">
        <f ca="1">'Profit and Loss'!E9</f>
        <v>14396563.13209467</v>
      </c>
      <c r="F5" s="4">
        <f ca="1">'Profit and Loss'!F9</f>
        <v>17385545.923386026</v>
      </c>
      <c r="G5" s="4">
        <f ca="1">'Profit and Loss'!G9</f>
        <v>18583435.843478873</v>
      </c>
      <c r="H5" s="4">
        <f ca="1">'Profit and Loss'!H9</f>
        <v>19196901.417886335</v>
      </c>
      <c r="I5" s="4">
        <f ca="1">'Profit and Loss'!I9</f>
        <v>19913262.831627566</v>
      </c>
      <c r="J5" s="4">
        <f ca="1">'Profit and Loss'!J9</f>
        <v>20277155.090345431</v>
      </c>
      <c r="K5" s="4">
        <f ca="1">'Profit and Loss'!K9</f>
        <v>20693566.723646175</v>
      </c>
      <c r="L5" s="4">
        <f ca="1">'Profit and Loss'!L9</f>
        <v>21169929.24219548</v>
      </c>
      <c r="M5" s="4">
        <f ca="1">'Profit and Loss'!M9</f>
        <v>21714406.20839759</v>
      </c>
      <c r="N5" s="4">
        <f ca="1">'Profit and Loss'!N9</f>
        <v>22335952.623911254</v>
      </c>
      <c r="O5" s="4">
        <f ca="1">'Profit and Loss'!O9</f>
        <v>23044378.638704777</v>
      </c>
      <c r="P5" s="4">
        <f ca="1">'Profit and Loss'!P9</f>
        <v>23850417.876376279</v>
      </c>
      <c r="Q5" s="4">
        <f ca="1">'Profit and Loss'!Q9</f>
        <v>24765800.689772062</v>
      </c>
      <c r="R5" s="4">
        <f ca="1">'Profit and Loss'!R9</f>
        <v>25803332.681475889</v>
      </c>
      <c r="S5" s="4">
        <f ca="1">'Profit and Loss'!S9</f>
        <v>26976978.845591225</v>
      </c>
      <c r="T5" s="4">
        <f ca="1">'Profit and Loss'!T9</f>
        <v>28301953.710481349</v>
      </c>
      <c r="U5" s="4">
        <f ca="1">'Profit and Loss'!U9</f>
        <v>29794817.886853721</v>
      </c>
      <c r="V5" s="4">
        <f ca="1">'Profit and Loss'!V9</f>
        <v>31473581.451870438</v>
      </c>
      <c r="W5" s="4">
        <f ca="1">'Profit and Loss'!W9</f>
        <v>33357814.627931461</v>
      </c>
      <c r="X5" s="4">
        <f ca="1">'Profit and Loss'!X9</f>
        <v>34394565.007438093</v>
      </c>
      <c r="Y5" s="4">
        <f ca="1">'Profit and Loss'!Y9</f>
        <v>35521958.019347511</v>
      </c>
      <c r="Z5" s="4">
        <f ca="1">'Profit and Loss'!Z9</f>
        <v>36749107.505796924</v>
      </c>
      <c r="AA5" s="4">
        <f ca="1">'Profit and Loss'!AA9</f>
        <v>37462550.103967912</v>
      </c>
      <c r="AB5" s="4">
        <f ca="1">'Profit and Loss'!AB9</f>
        <v>36518465.19984632</v>
      </c>
      <c r="AC5" s="4">
        <f ca="1">'Profit and Loss'!AC9</f>
        <v>35421367.433561236</v>
      </c>
      <c r="AD5" s="4">
        <f ca="1">'Profit and Loss'!AD9</f>
        <v>34160811.034384206</v>
      </c>
      <c r="AE5" s="4">
        <f ca="1">'Profit and Loss'!AE9</f>
        <v>32725784.645779133</v>
      </c>
      <c r="AF5" s="4">
        <f ca="1">'Profit and Loss'!AF9</f>
        <v>31104683.927531317</v>
      </c>
      <c r="AG5" s="4"/>
      <c r="AH5" s="4"/>
      <c r="AI5" s="4"/>
      <c r="AJ5" s="4"/>
      <c r="AK5" s="4"/>
      <c r="AL5" s="4"/>
      <c r="AM5" s="4"/>
      <c r="AN5" s="4"/>
      <c r="AO5" s="4"/>
      <c r="AP5" s="4"/>
    </row>
    <row r="6" spans="1:42" x14ac:dyDescent="0.35">
      <c r="A6" t="s">
        <v>21</v>
      </c>
      <c r="C6" s="4">
        <f>Depreciation!C8+Depreciation!C9</f>
        <v>4953889.4094631467</v>
      </c>
      <c r="D6" s="4">
        <f>Depreciation!D8+Depreciation!D9</f>
        <v>5675836.3696158361</v>
      </c>
      <c r="E6" s="4">
        <f>Depreciation!E8+Depreciation!E9</f>
        <v>6438915.1524630059</v>
      </c>
      <c r="F6" s="4">
        <f>Depreciation!F8+Depreciation!F9</f>
        <v>7245018.9209699091</v>
      </c>
      <c r="G6" s="4">
        <f>Depreciation!G8+Depreciation!G9</f>
        <v>8096119.8815451339</v>
      </c>
      <c r="H6" s="4">
        <f>Depreciation!H8+Depreciation!H9</f>
        <v>8994272.4042220954</v>
      </c>
      <c r="I6" s="4">
        <f>Depreciation!I8+Depreciation!I9</f>
        <v>9941616.2615916822</v>
      </c>
      <c r="J6" s="4">
        <f>Depreciation!J8+Depreciation!J9</f>
        <v>10940379.990890998</v>
      </c>
      <c r="K6" s="4">
        <f>Depreciation!K8+Depreciation!K9</f>
        <v>11992884.383813605</v>
      </c>
      <c r="L6" s="4">
        <f>Depreciation!L8+Depreciation!L9</f>
        <v>13101546.10877258</v>
      </c>
      <c r="M6" s="4">
        <f>Depreciation!M8+Depreciation!M9</f>
        <v>14268881.470519908</v>
      </c>
      <c r="N6" s="4">
        <f>Depreciation!N8+Depreciation!N9</f>
        <v>15497510.312203681</v>
      </c>
      <c r="O6" s="4">
        <f>Depreciation!O8+Depreciation!O9</f>
        <v>16790160.065129407</v>
      </c>
      <c r="P6" s="4">
        <f>Depreciation!P8+Depreciation!P9</f>
        <v>18149669.951682676</v>
      </c>
      <c r="Q6" s="4">
        <f>Depreciation!Q8+Depreciation!Q9</f>
        <v>19578995.34706866</v>
      </c>
      <c r="R6" s="4">
        <f>Depreciation!R8+Depreciation!R9</f>
        <v>21081212.30572883</v>
      </c>
      <c r="S6" s="4">
        <f>Depreciation!S8+Depreciation!S9</f>
        <v>22659522.258507855</v>
      </c>
      <c r="T6" s="4">
        <f>Depreciation!T8+Depreciation!T9</f>
        <v>24317256.886863664</v>
      </c>
      <c r="U6" s="4">
        <f>Depreciation!U8+Depreciation!U9</f>
        <v>26057883.180641536</v>
      </c>
      <c r="V6" s="4">
        <f>Depreciation!V8+Depreciation!V9</f>
        <v>27885008.686169043</v>
      </c>
      <c r="W6" s="4">
        <f>Depreciation!W8+Depreciation!W9</f>
        <v>29802386.951673336</v>
      </c>
      <c r="X6" s="4">
        <f>Depreciation!X8+Depreciation!X9</f>
        <v>31813923.177275263</v>
      </c>
      <c r="Y6" s="4">
        <f>Depreciation!Y8+Depreciation!Y9</f>
        <v>33923680.077077195</v>
      </c>
      <c r="Z6" s="4">
        <f>Depreciation!Z8+Depreciation!Z9</f>
        <v>36135883.961132929</v>
      </c>
      <c r="AA6" s="4">
        <f>Depreciation!AA8+Depreciation!AA9</f>
        <v>38454931.045369312</v>
      </c>
      <c r="AB6" s="4">
        <f>Depreciation!AB8+Depreciation!AB9</f>
        <v>40885393.997820616</v>
      </c>
      <c r="AC6" s="4">
        <f>Depreciation!AC8+Depreciation!AC9</f>
        <v>43432028.729838341</v>
      </c>
      <c r="AD6" s="4">
        <f>Depreciation!AD8+Depreciation!AD9</f>
        <v>46099781.441251434</v>
      </c>
      <c r="AE6" s="4">
        <f>Depreciation!AE8+Depreciation!AE9</f>
        <v>48893795.928775616</v>
      </c>
      <c r="AF6" s="4">
        <f>Depreciation!AF8+Depreciation!AF9</f>
        <v>51819421.167305499</v>
      </c>
      <c r="AG6" s="4"/>
      <c r="AH6" s="4"/>
      <c r="AI6" s="4"/>
      <c r="AJ6" s="4"/>
      <c r="AK6" s="4"/>
      <c r="AL6" s="4"/>
      <c r="AM6" s="4"/>
      <c r="AN6" s="4"/>
      <c r="AO6" s="4"/>
      <c r="AP6" s="4"/>
    </row>
    <row r="7" spans="1:42" x14ac:dyDescent="0.35">
      <c r="A7" t="s">
        <v>23</v>
      </c>
      <c r="C7" s="4">
        <f ca="1">C6+C5</f>
        <v>11263796.101464024</v>
      </c>
      <c r="D7" s="4">
        <f ca="1">D6+D5</f>
        <v>17776673.149448931</v>
      </c>
      <c r="E7" s="4">
        <f t="shared" ref="E7:AF7" ca="1" si="1">E6+E5</f>
        <v>20835478.284557678</v>
      </c>
      <c r="F7" s="4">
        <f t="shared" ca="1" si="1"/>
        <v>24630564.844355933</v>
      </c>
      <c r="G7" s="4">
        <f ca="1">G6+G5</f>
        <v>26679555.725024007</v>
      </c>
      <c r="H7" s="4">
        <f t="shared" ca="1" si="1"/>
        <v>28191173.822108433</v>
      </c>
      <c r="I7" s="4">
        <f t="shared" ca="1" si="1"/>
        <v>29854879.09321925</v>
      </c>
      <c r="J7" s="4">
        <f t="shared" ca="1" si="1"/>
        <v>31217535.08123643</v>
      </c>
      <c r="K7" s="4">
        <f t="shared" ca="1" si="1"/>
        <v>32686451.10745978</v>
      </c>
      <c r="L7" s="4">
        <f t="shared" ca="1" si="1"/>
        <v>34271475.350968063</v>
      </c>
      <c r="M7" s="4">
        <f t="shared" ca="1" si="1"/>
        <v>35983287.678917497</v>
      </c>
      <c r="N7" s="4">
        <f t="shared" ca="1" si="1"/>
        <v>37833462.936114937</v>
      </c>
      <c r="O7" s="4">
        <f t="shared" ca="1" si="1"/>
        <v>39834538.703834184</v>
      </c>
      <c r="P7" s="4">
        <f t="shared" ca="1" si="1"/>
        <v>42000087.828058958</v>
      </c>
      <c r="Q7" s="4">
        <f t="shared" ca="1" si="1"/>
        <v>44344796.036840722</v>
      </c>
      <c r="R7" s="4">
        <f t="shared" ca="1" si="1"/>
        <v>46884544.987204716</v>
      </c>
      <c r="S7" s="4">
        <f t="shared" ca="1" si="1"/>
        <v>49636501.10409908</v>
      </c>
      <c r="T7" s="4">
        <f t="shared" ca="1" si="1"/>
        <v>52619210.597345009</v>
      </c>
      <c r="U7" s="4">
        <f t="shared" ca="1" si="1"/>
        <v>55852701.067495257</v>
      </c>
      <c r="V7" s="4">
        <f t="shared" ca="1" si="1"/>
        <v>59358590.138039485</v>
      </c>
      <c r="W7" s="4">
        <f t="shared" ca="1" si="1"/>
        <v>63160201.579604797</v>
      </c>
      <c r="X7" s="4">
        <f t="shared" ca="1" si="1"/>
        <v>66208488.184713356</v>
      </c>
      <c r="Y7" s="4">
        <f t="shared" ca="1" si="1"/>
        <v>69445638.096424699</v>
      </c>
      <c r="Z7" s="4">
        <f t="shared" ca="1" si="1"/>
        <v>72884991.466929853</v>
      </c>
      <c r="AA7" s="4">
        <f t="shared" ca="1" si="1"/>
        <v>75917481.149337232</v>
      </c>
      <c r="AB7" s="4">
        <f t="shared" ca="1" si="1"/>
        <v>77403859.197666943</v>
      </c>
      <c r="AC7" s="4">
        <f t="shared" ca="1" si="1"/>
        <v>78853396.163399577</v>
      </c>
      <c r="AD7" s="4">
        <f t="shared" ca="1" si="1"/>
        <v>80260592.475635648</v>
      </c>
      <c r="AE7" s="4">
        <f t="shared" ca="1" si="1"/>
        <v>81619580.574554741</v>
      </c>
      <c r="AF7" s="4">
        <f t="shared" ca="1" si="1"/>
        <v>82924105.094836816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27701890.824590255</v>
      </c>
      <c r="D10" s="9">
        <f>Investment!D25</f>
        <v>29151773.830027014</v>
      </c>
      <c r="E10" s="9">
        <f>Investment!E25</f>
        <v>30666082.611607336</v>
      </c>
      <c r="F10" s="9">
        <f>Investment!F25</f>
        <v>32247455.738806859</v>
      </c>
      <c r="G10" s="9">
        <f>Investment!G25</f>
        <v>33898634.677552871</v>
      </c>
      <c r="H10" s="9">
        <f>Investment!H25</f>
        <v>35622467.673702076</v>
      </c>
      <c r="I10" s="9">
        <f>Investment!I25</f>
        <v>37421913.779695019</v>
      </c>
      <c r="J10" s="9">
        <f>Investment!J25</f>
        <v>39300047.029573649</v>
      </c>
      <c r="K10" s="9">
        <f>Investment!K25</f>
        <v>41260060.767734103</v>
      </c>
      <c r="L10" s="9">
        <f>Investment!L25</f>
        <v>43305272.136978529</v>
      </c>
      <c r="M10" s="9">
        <f>Investment!M25</f>
        <v>45439126.73162844</v>
      </c>
      <c r="N10" s="9">
        <f>Investment!N25</f>
        <v>47665203.421667695</v>
      </c>
      <c r="O10" s="9">
        <f>Investment!O25</f>
        <v>49987219.354096271</v>
      </c>
      <c r="P10" s="9">
        <f>Investment!P25</f>
        <v>52409035.137896478</v>
      </c>
      <c r="Q10" s="9">
        <f>Investment!Q25</f>
        <v>54934660.219241291</v>
      </c>
      <c r="R10" s="9">
        <f>Investment!R25</f>
        <v>57568258.453811005</v>
      </c>
      <c r="S10" s="9">
        <f>Investment!S25</f>
        <v>60314153.883328654</v>
      </c>
      <c r="T10" s="9">
        <f>Investment!T25</f>
        <v>63176836.723678723</v>
      </c>
      <c r="U10" s="9">
        <f>Investment!U25</f>
        <v>66160969.572234675</v>
      </c>
      <c r="V10" s="9">
        <f>Investment!V25</f>
        <v>69271393.842293173</v>
      </c>
      <c r="W10" s="9">
        <f>Investment!W25</f>
        <v>72513136.432793438</v>
      </c>
      <c r="X10" s="9">
        <f>Investment!X25</f>
        <v>75891416.641791195</v>
      </c>
      <c r="Y10" s="9">
        <f>Investment!Y25</f>
        <v>79411653.332457632</v>
      </c>
      <c r="Z10" s="9">
        <f>Investment!Z25</f>
        <v>83079472.360685542</v>
      </c>
      <c r="AA10" s="9">
        <f>Investment!AA25</f>
        <v>86900714.273707628</v>
      </c>
      <c r="AB10" s="9">
        <f>Investment!AB25</f>
        <v>90881442.28946574</v>
      </c>
      <c r="AC10" s="9">
        <f>Investment!AC25</f>
        <v>95027950.566816106</v>
      </c>
      <c r="AD10" s="9">
        <f>Investment!AD25</f>
        <v>99346772.777012497</v>
      </c>
      <c r="AE10" s="9">
        <f>Investment!AE25</f>
        <v>103844690.98728102</v>
      </c>
      <c r="AF10" s="9">
        <f>Investment!AF25</f>
        <v>108528744.86768307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-16438094.723126231</v>
      </c>
      <c r="D12" s="1">
        <f t="shared" ref="D12:AF12" ca="1" si="2">D7-D9-D10</f>
        <v>-11375100.680578083</v>
      </c>
      <c r="E12" s="1">
        <f ca="1">E7-E9-E10</f>
        <v>-9830604.3270496577</v>
      </c>
      <c r="F12" s="1">
        <f t="shared" ca="1" si="2"/>
        <v>-7616890.8944509253</v>
      </c>
      <c r="G12" s="1">
        <f ca="1">G7-G9-G10</f>
        <v>-7219078.9525288641</v>
      </c>
      <c r="H12" s="1">
        <f t="shared" ca="1" si="2"/>
        <v>-7431293.8515936434</v>
      </c>
      <c r="I12" s="1">
        <f t="shared" ca="1" si="2"/>
        <v>-7567034.6864757687</v>
      </c>
      <c r="J12" s="1">
        <f t="shared" ca="1" si="2"/>
        <v>-8082511.9483372197</v>
      </c>
      <c r="K12" s="1">
        <f t="shared" ca="1" si="2"/>
        <v>-8573609.6602743231</v>
      </c>
      <c r="L12" s="1">
        <f t="shared" ca="1" si="2"/>
        <v>-9033796.7860104665</v>
      </c>
      <c r="M12" s="1">
        <f t="shared" ca="1" si="2"/>
        <v>-9455839.0527109429</v>
      </c>
      <c r="N12" s="1">
        <f t="shared" ca="1" si="2"/>
        <v>-9831740.485552758</v>
      </c>
      <c r="O12" s="1">
        <f t="shared" ca="1" si="2"/>
        <v>-10152680.650262088</v>
      </c>
      <c r="P12" s="1">
        <f t="shared" ca="1" si="2"/>
        <v>-10408947.30983752</v>
      </c>
      <c r="Q12" s="1">
        <f t="shared" ca="1" si="2"/>
        <v>-10589864.182400569</v>
      </c>
      <c r="R12" s="1">
        <f t="shared" ca="1" si="2"/>
        <v>-10683713.466606289</v>
      </c>
      <c r="S12" s="1">
        <f t="shared" ca="1" si="2"/>
        <v>-10677652.779229574</v>
      </c>
      <c r="T12" s="1">
        <f t="shared" ca="1" si="2"/>
        <v>-10557626.126333714</v>
      </c>
      <c r="U12" s="1">
        <f t="shared" ca="1" si="2"/>
        <v>-10308268.504739419</v>
      </c>
      <c r="V12" s="1">
        <f t="shared" ca="1" si="2"/>
        <v>-9912803.7042536885</v>
      </c>
      <c r="W12" s="1">
        <f t="shared" ca="1" si="2"/>
        <v>-9352934.8531886414</v>
      </c>
      <c r="X12" s="1">
        <f t="shared" ca="1" si="2"/>
        <v>-9682928.4570778385</v>
      </c>
      <c r="Y12" s="1">
        <f t="shared" ca="1" si="2"/>
        <v>-9966015.236032933</v>
      </c>
      <c r="Z12" s="1">
        <f t="shared" ca="1" si="2"/>
        <v>-10194480.893755689</v>
      </c>
      <c r="AA12" s="1">
        <f t="shared" ca="1" si="2"/>
        <v>-10983233.124370396</v>
      </c>
      <c r="AB12" s="1">
        <f t="shared" ca="1" si="2"/>
        <v>-13477583.091798797</v>
      </c>
      <c r="AC12" s="1">
        <f t="shared" ca="1" si="2"/>
        <v>-16174554.403416529</v>
      </c>
      <c r="AD12" s="1">
        <f t="shared" ca="1" si="2"/>
        <v>-19086180.301376849</v>
      </c>
      <c r="AE12" s="1">
        <f t="shared" ca="1" si="2"/>
        <v>-22225110.412726283</v>
      </c>
      <c r="AF12" s="1">
        <f t="shared" ca="1" si="2"/>
        <v>-25604639.772846252</v>
      </c>
      <c r="AG12" s="1"/>
      <c r="AH12" s="1"/>
      <c r="AI12" s="1"/>
      <c r="AJ12" s="1"/>
      <c r="AK12" s="1"/>
      <c r="AL12" s="1"/>
      <c r="AM12" s="1"/>
      <c r="AN12" s="1"/>
      <c r="AO12" s="1"/>
      <c r="AP12" s="1"/>
    </row>
    <row r="13" spans="1:42" x14ac:dyDescent="0.35">
      <c r="A13" t="s">
        <v>19</v>
      </c>
      <c r="C13" s="1">
        <f ca="1">C12</f>
        <v>-16438094.723126231</v>
      </c>
      <c r="D13" s="1">
        <f ca="1">D12</f>
        <v>-11375100.680578083</v>
      </c>
      <c r="E13" s="1">
        <f ca="1">E12</f>
        <v>-9830604.3270496577</v>
      </c>
      <c r="F13" s="1">
        <f t="shared" ref="F13:AF13" ca="1" si="3">F12</f>
        <v>-7616890.8944509253</v>
      </c>
      <c r="G13" s="1">
        <f ca="1">G12</f>
        <v>-7219078.9525288641</v>
      </c>
      <c r="H13" s="1">
        <f t="shared" ca="1" si="3"/>
        <v>-7431293.8515936434</v>
      </c>
      <c r="I13" s="1">
        <f t="shared" ca="1" si="3"/>
        <v>-7567034.6864757687</v>
      </c>
      <c r="J13" s="1">
        <f t="shared" ca="1" si="3"/>
        <v>-8082511.9483372197</v>
      </c>
      <c r="K13" s="1">
        <f t="shared" ca="1" si="3"/>
        <v>-8573609.6602743231</v>
      </c>
      <c r="L13" s="1">
        <f t="shared" ca="1" si="3"/>
        <v>-9033796.7860104665</v>
      </c>
      <c r="M13" s="1">
        <f t="shared" ca="1" si="3"/>
        <v>-9455839.0527109429</v>
      </c>
      <c r="N13" s="1">
        <f t="shared" ca="1" si="3"/>
        <v>-9831740.485552758</v>
      </c>
      <c r="O13" s="1">
        <f t="shared" ca="1" si="3"/>
        <v>-10152680.650262088</v>
      </c>
      <c r="P13" s="1">
        <f t="shared" ca="1" si="3"/>
        <v>-10408947.30983752</v>
      </c>
      <c r="Q13" s="1">
        <f t="shared" ca="1" si="3"/>
        <v>-10589864.182400569</v>
      </c>
      <c r="R13" s="1">
        <f t="shared" ca="1" si="3"/>
        <v>-10683713.466606289</v>
      </c>
      <c r="S13" s="1">
        <f t="shared" ca="1" si="3"/>
        <v>-10677652.779229574</v>
      </c>
      <c r="T13" s="1">
        <f t="shared" ca="1" si="3"/>
        <v>-10557626.126333714</v>
      </c>
      <c r="U13" s="1">
        <f t="shared" ca="1" si="3"/>
        <v>-10308268.504739419</v>
      </c>
      <c r="V13" s="1">
        <f t="shared" ca="1" si="3"/>
        <v>-9912803.7042536885</v>
      </c>
      <c r="W13" s="1">
        <f t="shared" ca="1" si="3"/>
        <v>-9352934.8531886414</v>
      </c>
      <c r="X13" s="1">
        <f t="shared" ca="1" si="3"/>
        <v>-9682928.4570778385</v>
      </c>
      <c r="Y13" s="1">
        <f t="shared" ca="1" si="3"/>
        <v>-9966015.236032933</v>
      </c>
      <c r="Z13" s="1">
        <f t="shared" ca="1" si="3"/>
        <v>-10194480.893755689</v>
      </c>
      <c r="AA13" s="1">
        <f t="shared" ca="1" si="3"/>
        <v>-10983233.124370396</v>
      </c>
      <c r="AB13" s="1">
        <f t="shared" ca="1" si="3"/>
        <v>-13477583.091798797</v>
      </c>
      <c r="AC13" s="1">
        <f t="shared" ca="1" si="3"/>
        <v>-16174554.403416529</v>
      </c>
      <c r="AD13" s="1">
        <f t="shared" ca="1" si="3"/>
        <v>-19086180.301376849</v>
      </c>
      <c r="AE13" s="1">
        <f t="shared" ca="1" si="3"/>
        <v>-22225110.412726283</v>
      </c>
      <c r="AF13" s="1">
        <f t="shared" ca="1" si="3"/>
        <v>-25604639.772846252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307804500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153902250</v>
      </c>
      <c r="D7" s="9">
        <f>C12</f>
        <v>158856139.40946314</v>
      </c>
      <c r="E7" s="9">
        <f>D12</f>
        <v>164531975.77907899</v>
      </c>
      <c r="F7" s="9">
        <f t="shared" ref="F7:H7" si="1">E12</f>
        <v>170970890.93154201</v>
      </c>
      <c r="G7" s="9">
        <f t="shared" si="1"/>
        <v>178215909.85251191</v>
      </c>
      <c r="H7" s="9">
        <f t="shared" si="1"/>
        <v>186312029.73405704</v>
      </c>
      <c r="I7" s="9">
        <f t="shared" ref="I7" si="2">H12</f>
        <v>195306302.13827914</v>
      </c>
      <c r="J7" s="9">
        <f t="shared" ref="J7" si="3">I12</f>
        <v>205247918.39987081</v>
      </c>
      <c r="K7" s="9">
        <f t="shared" ref="K7" si="4">J12</f>
        <v>216188298.39076182</v>
      </c>
      <c r="L7" s="9">
        <f t="shared" ref="L7" si="5">K12</f>
        <v>228181182.77457541</v>
      </c>
      <c r="M7" s="9">
        <f t="shared" ref="M7" si="6">L12</f>
        <v>241282728.88334799</v>
      </c>
      <c r="N7" s="9">
        <f t="shared" ref="N7" si="7">M12</f>
        <v>255551610.35386789</v>
      </c>
      <c r="O7" s="9">
        <f t="shared" ref="O7" si="8">N12</f>
        <v>271049120.66607153</v>
      </c>
      <c r="P7" s="9">
        <f t="shared" ref="P7" si="9">O12</f>
        <v>287839280.73120093</v>
      </c>
      <c r="Q7" s="9">
        <f t="shared" ref="Q7" si="10">P12</f>
        <v>305988950.68288356</v>
      </c>
      <c r="R7" s="9">
        <f t="shared" ref="R7" si="11">Q12</f>
        <v>325567946.02995223</v>
      </c>
      <c r="S7" s="9">
        <f t="shared" ref="S7" si="12">R12</f>
        <v>346649158.33568102</v>
      </c>
      <c r="T7" s="9">
        <f t="shared" ref="T7" si="13">S12</f>
        <v>369308680.59418887</v>
      </c>
      <c r="U7" s="9">
        <f t="shared" ref="U7" si="14">T12</f>
        <v>393625937.48105252</v>
      </c>
      <c r="V7" s="9">
        <f t="shared" ref="V7" si="15">U12</f>
        <v>419683820.66169405</v>
      </c>
      <c r="W7" s="9">
        <f t="shared" ref="W7" si="16">V12</f>
        <v>447568829.34786308</v>
      </c>
      <c r="X7" s="9">
        <f t="shared" ref="X7" si="17">W12</f>
        <v>477371216.29953641</v>
      </c>
      <c r="Y7" s="9">
        <f t="shared" ref="Y7" si="18">X12</f>
        <v>509185139.47681171</v>
      </c>
      <c r="Z7" s="9">
        <f t="shared" ref="Z7" si="19">Y12</f>
        <v>543108819.55388892</v>
      </c>
      <c r="AA7" s="9">
        <f t="shared" ref="AA7" si="20">Z12</f>
        <v>579244703.51502192</v>
      </c>
      <c r="AB7" s="9">
        <f t="shared" ref="AB7" si="21">AA12</f>
        <v>617699634.56039131</v>
      </c>
      <c r="AC7" s="9">
        <f t="shared" ref="AC7" si="22">AB12</f>
        <v>658585028.55821192</v>
      </c>
      <c r="AD7" s="9">
        <f t="shared" ref="AD7" si="23">AC12</f>
        <v>702017057.28805029</v>
      </c>
      <c r="AE7" s="9">
        <f t="shared" ref="AE7" si="24">AD12</f>
        <v>748116838.72930169</v>
      </c>
      <c r="AF7" s="9">
        <f t="shared" ref="AF7" si="25">AE12</f>
        <v>797010634.65807736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4407937.375500096</v>
      </c>
      <c r="D8" s="9">
        <f>Assumptions!E111*Assumptions!E11</f>
        <v>4548991.3715160992</v>
      </c>
      <c r="E8" s="9">
        <f>Assumptions!F111*Assumptions!F11</f>
        <v>4694559.0954046138</v>
      </c>
      <c r="F8" s="9">
        <f>Assumptions!G111*Assumptions!G11</f>
        <v>4844784.9864575621</v>
      </c>
      <c r="G8" s="9">
        <f>Assumptions!H111*Assumptions!H11</f>
        <v>4999818.1060242048</v>
      </c>
      <c r="H8" s="9">
        <f>Assumptions!I111*Assumptions!I11</f>
        <v>5159812.2854169784</v>
      </c>
      <c r="I8" s="9">
        <f>Assumptions!J111*Assumptions!J11</f>
        <v>5324926.2785503212</v>
      </c>
      <c r="J8" s="9">
        <f>Assumptions!K111*Assumptions!K11</f>
        <v>5495323.9194639316</v>
      </c>
      <c r="K8" s="9">
        <f>Assumptions!L111*Assumptions!L11</f>
        <v>5671174.2848867783</v>
      </c>
      <c r="L8" s="9">
        <f>Assumptions!M111*Assumptions!M11</f>
        <v>5852651.8620031541</v>
      </c>
      <c r="M8" s="9">
        <f>Assumptions!N111*Assumptions!N11</f>
        <v>6039936.7215872547</v>
      </c>
      <c r="N8" s="9">
        <f>Assumptions!O111*Assumptions!O11</f>
        <v>6233214.696678048</v>
      </c>
      <c r="O8" s="9">
        <f>Assumptions!P111*Assumptions!P11</f>
        <v>6432677.5669717453</v>
      </c>
      <c r="P8" s="9">
        <f>Assumptions!Q111*Assumptions!Q11</f>
        <v>6638523.2491148403</v>
      </c>
      <c r="Q8" s="9">
        <f>Assumptions!R111*Assumptions!R11</f>
        <v>6850955.9930865141</v>
      </c>
      <c r="R8" s="9">
        <f>Assumptions!S111*Assumptions!S11</f>
        <v>7070186.5848652842</v>
      </c>
      <c r="S8" s="9">
        <f>Assumptions!T111*Assumptions!T11</f>
        <v>7296432.5555809736</v>
      </c>
      <c r="T8" s="9">
        <f>Assumptions!U111*Assumptions!U11</f>
        <v>7529918.397359564</v>
      </c>
      <c r="U8" s="9">
        <f>Assumptions!V111*Assumptions!V11</f>
        <v>7770875.7860750696</v>
      </c>
      <c r="V8" s="9">
        <f>Assumptions!W111*Assumptions!W11</f>
        <v>8019543.811229472</v>
      </c>
      <c r="W8" s="9">
        <f>Assumptions!X111*Assumptions!X11</f>
        <v>8276169.2131888168</v>
      </c>
      <c r="X8" s="9">
        <f>Assumptions!Y111*Assumptions!Y11</f>
        <v>8541006.6280108579</v>
      </c>
      <c r="Y8" s="9">
        <f>Assumptions!Z111*Assumptions!Z11</f>
        <v>8814318.8401072044</v>
      </c>
      <c r="Z8" s="9">
        <f>Assumptions!AA111*Assumptions!AA11</f>
        <v>9096377.0429906342</v>
      </c>
      <c r="AA8" s="9">
        <f>Assumptions!AB111*Assumptions!AB11</f>
        <v>9387461.1083663367</v>
      </c>
      <c r="AB8" s="9">
        <f>Assumptions!AC111*Assumptions!AC11</f>
        <v>9687859.8638340589</v>
      </c>
      <c r="AC8" s="9">
        <f>Assumptions!AD111*Assumptions!AD11</f>
        <v>9997871.3794767465</v>
      </c>
      <c r="AD8" s="9">
        <f>Assumptions!AE111*Assumptions!AE11</f>
        <v>10317803.263620004</v>
      </c>
      <c r="AE8" s="9">
        <f>Assumptions!AF111*Assumptions!AF11</f>
        <v>10647972.968055844</v>
      </c>
      <c r="AF8" s="9">
        <f>Assumptions!AG111*Assumptions!AG11</f>
        <v>10988708.10303363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545952.03396305058</v>
      </c>
      <c r="D9" s="9">
        <f>Assumptions!E120*Assumptions!E11</f>
        <v>1126844.9980997364</v>
      </c>
      <c r="E9" s="9">
        <f>Assumptions!F120*Assumptions!F11</f>
        <v>1744356.0570583919</v>
      </c>
      <c r="F9" s="9">
        <f>Assumptions!G120*Assumptions!G11</f>
        <v>2400233.9345123474</v>
      </c>
      <c r="G9" s="9">
        <f>Assumptions!H120*Assumptions!H11</f>
        <v>3096301.7755209287</v>
      </c>
      <c r="H9" s="9">
        <f>Assumptions!I120*Assumptions!I11</f>
        <v>3834460.1188051174</v>
      </c>
      <c r="I9" s="9">
        <f>Assumptions!J120*Assumptions!J11</f>
        <v>4616689.983041361</v>
      </c>
      <c r="J9" s="9">
        <f>Assumptions!K120*Assumptions!K11</f>
        <v>5445056.0714270677</v>
      </c>
      <c r="K9" s="9">
        <f>Assumptions!L120*Assumptions!L11</f>
        <v>6321710.0989268264</v>
      </c>
      <c r="L9" s="9">
        <f>Assumptions!M120*Assumptions!M11</f>
        <v>7248894.2467694264</v>
      </c>
      <c r="M9" s="9">
        <f>Assumptions!N120*Assumptions!N11</f>
        <v>8228944.7489326522</v>
      </c>
      <c r="N9" s="9">
        <f>Assumptions!O120*Assumptions!O11</f>
        <v>9264295.6155256331</v>
      </c>
      <c r="O9" s="9">
        <f>Assumptions!P120*Assumptions!P11</f>
        <v>10357482.49815766</v>
      </c>
      <c r="P9" s="9">
        <f>Assumptions!Q120*Assumptions!Q11</f>
        <v>11511146.702567834</v>
      </c>
      <c r="Q9" s="9">
        <f>Assumptions!R120*Assumptions!R11</f>
        <v>12728039.353982145</v>
      </c>
      <c r="R9" s="9">
        <f>Assumptions!S120*Assumptions!S11</f>
        <v>14011025.720863547</v>
      </c>
      <c r="S9" s="9">
        <f>Assumptions!T120*Assumptions!T11</f>
        <v>15363089.702926882</v>
      </c>
      <c r="T9" s="9">
        <f>Assumptions!U120*Assumptions!U11</f>
        <v>16787338.489504099</v>
      </c>
      <c r="U9" s="9">
        <f>Assumptions!V120*Assumptions!V11</f>
        <v>18287007.394566465</v>
      </c>
      <c r="V9" s="9">
        <f>Assumptions!W120*Assumptions!W11</f>
        <v>19865464.874939572</v>
      </c>
      <c r="W9" s="9">
        <f>Assumptions!X120*Assumptions!X11</f>
        <v>21526217.73848452</v>
      </c>
      <c r="X9" s="9">
        <f>Assumptions!Y120*Assumptions!Y11</f>
        <v>23272916.549264405</v>
      </c>
      <c r="Y9" s="9">
        <f>Assumptions!Z120*Assumptions!Z11</f>
        <v>25109361.236969993</v>
      </c>
      <c r="Z9" s="9">
        <f>Assumptions!AA120*Assumptions!AA11</f>
        <v>27039506.918142296</v>
      </c>
      <c r="AA9" s="9">
        <f>Assumptions!AB120*Assumptions!AB11</f>
        <v>29067469.937002979</v>
      </c>
      <c r="AB9" s="9">
        <f>Assumptions!AC120*Assumptions!AC11</f>
        <v>31197534.133986555</v>
      </c>
      <c r="AC9" s="9">
        <f>Assumptions!AD120*Assumptions!AD11</f>
        <v>33434157.350361593</v>
      </c>
      <c r="AD9" s="9">
        <f>Assumptions!AE120*Assumptions!AE11</f>
        <v>35781978.17763143</v>
      </c>
      <c r="AE9" s="9">
        <f>Assumptions!AF120*Assumptions!AF11</f>
        <v>38245822.960719772</v>
      </c>
      <c r="AF9" s="9">
        <f>Assumptions!AG120*Assumptions!AG11</f>
        <v>40830713.064271867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4953889.4094631467</v>
      </c>
      <c r="D10" s="9">
        <f>SUM($C$8:D9)</f>
        <v>10629725.779078983</v>
      </c>
      <c r="E10" s="9">
        <f>SUM($C$8:E9)</f>
        <v>17068640.931541987</v>
      </c>
      <c r="F10" s="9">
        <f>SUM($C$8:F9)</f>
        <v>24313659.852511898</v>
      </c>
      <c r="G10" s="9">
        <f>SUM($C$8:G9)</f>
        <v>32409779.734057032</v>
      </c>
      <c r="H10" s="9">
        <f>SUM($C$8:H9)</f>
        <v>41404052.138279133</v>
      </c>
      <c r="I10" s="9">
        <f>SUM($C$8:I9)</f>
        <v>51345668.399870813</v>
      </c>
      <c r="J10" s="9">
        <f>SUM($C$8:J9)</f>
        <v>62286048.390761815</v>
      </c>
      <c r="K10" s="9">
        <f>SUM($C$8:K9)</f>
        <v>74278932.774575412</v>
      </c>
      <c r="L10" s="9">
        <f>SUM($C$8:L9)</f>
        <v>87380478.883347988</v>
      </c>
      <c r="M10" s="9">
        <f>SUM($C$8:M9)</f>
        <v>101649360.35386789</v>
      </c>
      <c r="N10" s="9">
        <f>SUM($C$8:N9)</f>
        <v>117146870.66607159</v>
      </c>
      <c r="O10" s="9">
        <f>SUM($C$8:O9)</f>
        <v>133937030.73120101</v>
      </c>
      <c r="P10" s="9">
        <f>SUM($C$8:P9)</f>
        <v>152086700.68288368</v>
      </c>
      <c r="Q10" s="9">
        <f>SUM($C$8:Q9)</f>
        <v>171665696.02995235</v>
      </c>
      <c r="R10" s="9">
        <f>SUM($C$8:R9)</f>
        <v>192746908.33568117</v>
      </c>
      <c r="S10" s="9">
        <f>SUM($C$8:S9)</f>
        <v>215406430.59418902</v>
      </c>
      <c r="T10" s="9">
        <f>SUM($C$8:T9)</f>
        <v>239723687.4810527</v>
      </c>
      <c r="U10" s="9">
        <f>SUM($C$8:U9)</f>
        <v>265781570.66169423</v>
      </c>
      <c r="V10" s="9">
        <f>SUM($C$8:V9)</f>
        <v>293666579.34786326</v>
      </c>
      <c r="W10" s="9">
        <f>SUM($C$8:W9)</f>
        <v>323468966.29953659</v>
      </c>
      <c r="X10" s="9">
        <f>SUM($C$8:X9)</f>
        <v>355282889.47681189</v>
      </c>
      <c r="Y10" s="9">
        <f>SUM($C$8:Y9)</f>
        <v>389206569.5538891</v>
      </c>
      <c r="Z10" s="9">
        <f>SUM($C$8:Z9)</f>
        <v>425342453.51502204</v>
      </c>
      <c r="AA10" s="9">
        <f>SUM($C$8:AA9)</f>
        <v>463797384.56039131</v>
      </c>
      <c r="AB10" s="9">
        <f>SUM($C$8:AB9)</f>
        <v>504682778.55821192</v>
      </c>
      <c r="AC10" s="9">
        <f>SUM($C$8:AC9)</f>
        <v>548114807.28805017</v>
      </c>
      <c r="AD10" s="9">
        <f>SUM($C$8:AD9)</f>
        <v>594214588.72930157</v>
      </c>
      <c r="AE10" s="9">
        <f>SUM($C$8:AE9)</f>
        <v>643108384.65807724</v>
      </c>
      <c r="AF10" s="9">
        <f>SUM($C$8:AF9)</f>
        <v>694927805.82538295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158856139.40946314</v>
      </c>
      <c r="D12" s="9">
        <f>D7+D8+D9</f>
        <v>164531975.77907899</v>
      </c>
      <c r="E12" s="9">
        <f>E7+E8+E9</f>
        <v>170970890.93154201</v>
      </c>
      <c r="F12" s="9">
        <f t="shared" ref="F12:H12" si="26">F7+F8+F9</f>
        <v>178215909.85251191</v>
      </c>
      <c r="G12" s="9">
        <f t="shared" si="26"/>
        <v>186312029.73405704</v>
      </c>
      <c r="H12" s="9">
        <f t="shared" si="26"/>
        <v>195306302.13827914</v>
      </c>
      <c r="I12" s="9">
        <f t="shared" ref="I12:AF12" si="27">I7+I8+I9</f>
        <v>205247918.39987081</v>
      </c>
      <c r="J12" s="9">
        <f t="shared" si="27"/>
        <v>216188298.39076182</v>
      </c>
      <c r="K12" s="9">
        <f t="shared" si="27"/>
        <v>228181182.77457541</v>
      </c>
      <c r="L12" s="9">
        <f t="shared" si="27"/>
        <v>241282728.88334799</v>
      </c>
      <c r="M12" s="9">
        <f t="shared" si="27"/>
        <v>255551610.35386789</v>
      </c>
      <c r="N12" s="9">
        <f t="shared" si="27"/>
        <v>271049120.66607153</v>
      </c>
      <c r="O12" s="9">
        <f t="shared" si="27"/>
        <v>287839280.73120093</v>
      </c>
      <c r="P12" s="9">
        <f t="shared" si="27"/>
        <v>305988950.68288356</v>
      </c>
      <c r="Q12" s="9">
        <f t="shared" si="27"/>
        <v>325567946.02995223</v>
      </c>
      <c r="R12" s="9">
        <f t="shared" si="27"/>
        <v>346649158.33568102</v>
      </c>
      <c r="S12" s="9">
        <f t="shared" si="27"/>
        <v>369308680.59418887</v>
      </c>
      <c r="T12" s="9">
        <f t="shared" si="27"/>
        <v>393625937.48105252</v>
      </c>
      <c r="U12" s="9">
        <f t="shared" si="27"/>
        <v>419683820.66169405</v>
      </c>
      <c r="V12" s="9">
        <f t="shared" si="27"/>
        <v>447568829.34786308</v>
      </c>
      <c r="W12" s="9">
        <f t="shared" si="27"/>
        <v>477371216.29953641</v>
      </c>
      <c r="X12" s="9">
        <f t="shared" si="27"/>
        <v>509185139.47681171</v>
      </c>
      <c r="Y12" s="9">
        <f t="shared" si="27"/>
        <v>543108819.55388892</v>
      </c>
      <c r="Z12" s="9">
        <f t="shared" si="27"/>
        <v>579244703.51502192</v>
      </c>
      <c r="AA12" s="9">
        <f t="shared" si="27"/>
        <v>617699634.56039131</v>
      </c>
      <c r="AB12" s="9">
        <f t="shared" si="27"/>
        <v>658585028.55821192</v>
      </c>
      <c r="AC12" s="9">
        <f t="shared" si="27"/>
        <v>702017057.28805029</v>
      </c>
      <c r="AD12" s="9">
        <f t="shared" si="27"/>
        <v>748116838.72930169</v>
      </c>
      <c r="AE12" s="9">
        <f t="shared" si="27"/>
        <v>797010634.65807736</v>
      </c>
      <c r="AF12" s="9">
        <f t="shared" si="27"/>
        <v>848830055.82538295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27701890.824590255</v>
      </c>
      <c r="D18" s="9">
        <f>Investment!D25</f>
        <v>29151773.830027014</v>
      </c>
      <c r="E18" s="9">
        <f>Investment!E25</f>
        <v>30666082.611607336</v>
      </c>
      <c r="F18" s="9">
        <f>Investment!F25</f>
        <v>32247455.738806859</v>
      </c>
      <c r="G18" s="9">
        <f>Investment!G25</f>
        <v>33898634.677552871</v>
      </c>
      <c r="H18" s="9">
        <f>Investment!H25</f>
        <v>35622467.673702076</v>
      </c>
      <c r="I18" s="9">
        <f>Investment!I25</f>
        <v>37421913.779695019</v>
      </c>
      <c r="J18" s="9">
        <f>Investment!J25</f>
        <v>39300047.029573649</v>
      </c>
      <c r="K18" s="9">
        <f>Investment!K25</f>
        <v>41260060.767734103</v>
      </c>
      <c r="L18" s="9">
        <f>Investment!L25</f>
        <v>43305272.136978529</v>
      </c>
      <c r="M18" s="9">
        <f>Investment!M25</f>
        <v>45439126.73162844</v>
      </c>
      <c r="N18" s="9">
        <f>Investment!N25</f>
        <v>47665203.421667695</v>
      </c>
      <c r="O18" s="9">
        <f>Investment!O25</f>
        <v>49987219.354096271</v>
      </c>
      <c r="P18" s="9">
        <f>Investment!P25</f>
        <v>52409035.137896478</v>
      </c>
      <c r="Q18" s="9">
        <f>Investment!Q25</f>
        <v>54934660.219241291</v>
      </c>
      <c r="R18" s="9">
        <f>Investment!R25</f>
        <v>57568258.453811005</v>
      </c>
      <c r="S18" s="9">
        <f>Investment!S25</f>
        <v>60314153.883328654</v>
      </c>
      <c r="T18" s="9">
        <f>Investment!T25</f>
        <v>63176836.723678723</v>
      </c>
      <c r="U18" s="9">
        <f>Investment!U25</f>
        <v>66160969.572234675</v>
      </c>
      <c r="V18" s="9">
        <f>Investment!V25</f>
        <v>69271393.842293173</v>
      </c>
      <c r="W18" s="9">
        <f>Investment!W25</f>
        <v>72513136.432793438</v>
      </c>
      <c r="X18" s="9">
        <f>Investment!X25</f>
        <v>75891416.641791195</v>
      </c>
      <c r="Y18" s="9">
        <f>Investment!Y25</f>
        <v>79411653.332457632</v>
      </c>
      <c r="Z18" s="9">
        <f>Investment!Z25</f>
        <v>83079472.360685542</v>
      </c>
      <c r="AA18" s="9">
        <f>Investment!AA25</f>
        <v>86900714.273707628</v>
      </c>
      <c r="AB18" s="9">
        <f>Investment!AB25</f>
        <v>90881442.28946574</v>
      </c>
      <c r="AC18" s="9">
        <f>Investment!AC25</f>
        <v>95027950.566816106</v>
      </c>
      <c r="AD18" s="9">
        <f>Investment!AD25</f>
        <v>99346772.777012497</v>
      </c>
      <c r="AE18" s="9">
        <f>Investment!AE25</f>
        <v>103844690.98728102</v>
      </c>
      <c r="AF18" s="9">
        <f>Investment!AF25</f>
        <v>108528744.86768307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181604140.82459027</v>
      </c>
      <c r="D19" s="9">
        <f>D18+C20</f>
        <v>205802025.24515414</v>
      </c>
      <c r="E19" s="9">
        <f>E18+D20</f>
        <v>230792271.48714563</v>
      </c>
      <c r="F19" s="9">
        <f t="shared" ref="F19:AF19" si="28">F18+E20</f>
        <v>256600812.07348949</v>
      </c>
      <c r="G19" s="9">
        <f t="shared" si="28"/>
        <v>283254427.83007246</v>
      </c>
      <c r="H19" s="9">
        <f t="shared" si="28"/>
        <v>310780775.6222294</v>
      </c>
      <c r="I19" s="9">
        <f t="shared" si="28"/>
        <v>339208416.99770236</v>
      </c>
      <c r="J19" s="9">
        <f t="shared" si="28"/>
        <v>368566847.76568437</v>
      </c>
      <c r="K19" s="9">
        <f t="shared" si="28"/>
        <v>398886528.5425275</v>
      </c>
      <c r="L19" s="9">
        <f t="shared" si="28"/>
        <v>430198916.29569238</v>
      </c>
      <c r="M19" s="9">
        <f t="shared" si="28"/>
        <v>462536496.91854823</v>
      </c>
      <c r="N19" s="9">
        <f t="shared" si="28"/>
        <v>495932818.86969602</v>
      </c>
      <c r="O19" s="9">
        <f t="shared" si="28"/>
        <v>530422527.91158867</v>
      </c>
      <c r="P19" s="9">
        <f t="shared" si="28"/>
        <v>566041402.98435569</v>
      </c>
      <c r="Q19" s="9">
        <f t="shared" si="28"/>
        <v>602826393.25191426</v>
      </c>
      <c r="R19" s="9">
        <f t="shared" si="28"/>
        <v>640815656.35865676</v>
      </c>
      <c r="S19" s="9">
        <f t="shared" si="28"/>
        <v>680048597.93625653</v>
      </c>
      <c r="T19" s="9">
        <f t="shared" si="28"/>
        <v>720565912.40142739</v>
      </c>
      <c r="U19" s="9">
        <f t="shared" si="28"/>
        <v>762409625.08679831</v>
      </c>
      <c r="V19" s="9">
        <f t="shared" si="28"/>
        <v>805623135.74844992</v>
      </c>
      <c r="W19" s="9">
        <f t="shared" si="28"/>
        <v>850251263.49507427</v>
      </c>
      <c r="X19" s="9">
        <f t="shared" si="28"/>
        <v>896340293.18519223</v>
      </c>
      <c r="Y19" s="9">
        <f t="shared" si="28"/>
        <v>943938023.34037459</v>
      </c>
      <c r="Z19" s="9">
        <f t="shared" si="28"/>
        <v>993093815.62398303</v>
      </c>
      <c r="AA19" s="9">
        <f t="shared" si="28"/>
        <v>1043858645.9365577</v>
      </c>
      <c r="AB19" s="9">
        <f t="shared" si="28"/>
        <v>1096285157.180654</v>
      </c>
      <c r="AC19" s="9">
        <f t="shared" si="28"/>
        <v>1150427713.7496495</v>
      </c>
      <c r="AD19" s="9">
        <f t="shared" si="28"/>
        <v>1206342457.7968237</v>
      </c>
      <c r="AE19" s="9">
        <f t="shared" si="28"/>
        <v>1264087367.3428535</v>
      </c>
      <c r="AF19" s="9">
        <f t="shared" si="28"/>
        <v>1323722316.2817612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176650251.41512713</v>
      </c>
      <c r="D20" s="9">
        <f>D19-D8-D9</f>
        <v>200126188.87553829</v>
      </c>
      <c r="E20" s="9">
        <f t="shared" ref="E20:AF20" si="29">E19-E8-E9</f>
        <v>224353356.33468261</v>
      </c>
      <c r="F20" s="9">
        <f t="shared" si="29"/>
        <v>249355793.15251958</v>
      </c>
      <c r="G20" s="9">
        <f t="shared" si="29"/>
        <v>275158307.94852734</v>
      </c>
      <c r="H20" s="9">
        <f t="shared" si="29"/>
        <v>301786503.21800733</v>
      </c>
      <c r="I20" s="9">
        <f t="shared" si="29"/>
        <v>329266800.73611069</v>
      </c>
      <c r="J20" s="9">
        <f t="shared" si="29"/>
        <v>357626467.77479339</v>
      </c>
      <c r="K20" s="9">
        <f t="shared" si="29"/>
        <v>386893644.15871388</v>
      </c>
      <c r="L20" s="9">
        <f t="shared" si="29"/>
        <v>417097370.18691981</v>
      </c>
      <c r="M20" s="9">
        <f t="shared" si="29"/>
        <v>448267615.44802833</v>
      </c>
      <c r="N20" s="9">
        <f t="shared" si="29"/>
        <v>480435308.55749238</v>
      </c>
      <c r="O20" s="9">
        <f t="shared" si="29"/>
        <v>513632367.84645927</v>
      </c>
      <c r="P20" s="9">
        <f t="shared" si="29"/>
        <v>547891733.032673</v>
      </c>
      <c r="Q20" s="9">
        <f t="shared" si="29"/>
        <v>583247397.90484571</v>
      </c>
      <c r="R20" s="9">
        <f t="shared" si="29"/>
        <v>619734444.05292785</v>
      </c>
      <c r="S20" s="9">
        <f t="shared" si="29"/>
        <v>657389075.67774868</v>
      </c>
      <c r="T20" s="9">
        <f t="shared" si="29"/>
        <v>696248655.51456368</v>
      </c>
      <c r="U20" s="9">
        <f t="shared" si="29"/>
        <v>736351741.90615678</v>
      </c>
      <c r="V20" s="9">
        <f t="shared" si="29"/>
        <v>777738127.06228089</v>
      </c>
      <c r="W20" s="9">
        <f t="shared" si="29"/>
        <v>820448876.543401</v>
      </c>
      <c r="X20" s="9">
        <f t="shared" si="29"/>
        <v>864526370.00791693</v>
      </c>
      <c r="Y20" s="9">
        <f t="shared" si="29"/>
        <v>910014343.26329744</v>
      </c>
      <c r="Z20" s="9">
        <f t="shared" si="29"/>
        <v>956957931.66285002</v>
      </c>
      <c r="AA20" s="9">
        <f t="shared" si="29"/>
        <v>1005403714.8911883</v>
      </c>
      <c r="AB20" s="9">
        <f t="shared" si="29"/>
        <v>1055399763.1828333</v>
      </c>
      <c r="AC20" s="9">
        <f t="shared" si="29"/>
        <v>1106995685.0198112</v>
      </c>
      <c r="AD20" s="9">
        <f t="shared" si="29"/>
        <v>1160242676.3555725</v>
      </c>
      <c r="AE20" s="9">
        <f t="shared" si="29"/>
        <v>1215193571.414078</v>
      </c>
      <c r="AF20" s="9">
        <f t="shared" si="29"/>
        <v>1271902895.1144557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47619000</v>
      </c>
      <c r="D22" s="9">
        <f ca="1">'Balance Sheet'!C11</f>
        <v>64057094.723126233</v>
      </c>
      <c r="E22" s="9">
        <f ca="1">'Balance Sheet'!D11</f>
        <v>75432195.403704315</v>
      </c>
      <c r="F22" s="9">
        <f ca="1">'Balance Sheet'!E11</f>
        <v>85262799.730753973</v>
      </c>
      <c r="G22" s="9">
        <f ca="1">'Balance Sheet'!F11</f>
        <v>92879690.625204891</v>
      </c>
      <c r="H22" s="9">
        <f ca="1">'Balance Sheet'!G11</f>
        <v>100098769.57773376</v>
      </c>
      <c r="I22" s="9">
        <f ca="1">'Balance Sheet'!H11</f>
        <v>107530063.4293274</v>
      </c>
      <c r="J22" s="9">
        <f ca="1">'Balance Sheet'!I11</f>
        <v>115097098.11580317</v>
      </c>
      <c r="K22" s="9">
        <f ca="1">'Balance Sheet'!J11</f>
        <v>123179610.06414038</v>
      </c>
      <c r="L22" s="9">
        <f ca="1">'Balance Sheet'!K11</f>
        <v>131753219.72441471</v>
      </c>
      <c r="M22" s="9">
        <f ca="1">'Balance Sheet'!L11</f>
        <v>140787016.51042518</v>
      </c>
      <c r="N22" s="9">
        <f ca="1">'Balance Sheet'!M11</f>
        <v>150242855.56313613</v>
      </c>
      <c r="O22" s="9">
        <f ca="1">'Balance Sheet'!N11</f>
        <v>160074596.04868889</v>
      </c>
      <c r="P22" s="9">
        <f ca="1">'Balance Sheet'!O11</f>
        <v>170227276.69895098</v>
      </c>
      <c r="Q22" s="9">
        <f ca="1">'Balance Sheet'!P11</f>
        <v>180636224.0087885</v>
      </c>
      <c r="R22" s="9">
        <f ca="1">'Balance Sheet'!Q11</f>
        <v>191226088.19118905</v>
      </c>
      <c r="S22" s="9">
        <f ca="1">'Balance Sheet'!R11</f>
        <v>201909801.65779534</v>
      </c>
      <c r="T22" s="9">
        <f ca="1">'Balance Sheet'!S11</f>
        <v>212587454.43702492</v>
      </c>
      <c r="U22" s="9">
        <f ca="1">'Balance Sheet'!T11</f>
        <v>223145080.56335863</v>
      </c>
      <c r="V22" s="9">
        <f ca="1">'Balance Sheet'!U11</f>
        <v>233453349.06809807</v>
      </c>
      <c r="W22" s="9">
        <f ca="1">'Balance Sheet'!V11</f>
        <v>243366152.77235174</v>
      </c>
      <c r="X22" s="9">
        <f ca="1">'Balance Sheet'!W11</f>
        <v>252719087.62554038</v>
      </c>
      <c r="Y22" s="9">
        <f ca="1">'Balance Sheet'!X11</f>
        <v>262402016.08261821</v>
      </c>
      <c r="Z22" s="9">
        <f ca="1">'Balance Sheet'!Y11</f>
        <v>272368031.31865114</v>
      </c>
      <c r="AA22" s="9">
        <f ca="1">'Balance Sheet'!Z11</f>
        <v>282562512.21240681</v>
      </c>
      <c r="AB22" s="9">
        <f ca="1">'Balance Sheet'!AA11</f>
        <v>293545745.33677721</v>
      </c>
      <c r="AC22" s="9">
        <f ca="1">'Balance Sheet'!AB11</f>
        <v>307023328.42857599</v>
      </c>
      <c r="AD22" s="9">
        <f ca="1">'Balance Sheet'!AC11</f>
        <v>323197882.83199251</v>
      </c>
      <c r="AE22" s="9">
        <f ca="1">'Balance Sheet'!AD11</f>
        <v>342284063.13336933</v>
      </c>
      <c r="AF22" s="9">
        <f ca="1">'Balance Sheet'!AE11</f>
        <v>364509173.54609561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129031251.41512713</v>
      </c>
      <c r="D23" s="9">
        <f t="shared" ref="D23:AF23" ca="1" si="30">D20-D22</f>
        <v>136069094.15241206</v>
      </c>
      <c r="E23" s="9">
        <f t="shared" ca="1" si="30"/>
        <v>148921160.9309783</v>
      </c>
      <c r="F23" s="9">
        <f t="shared" ca="1" si="30"/>
        <v>164092993.42176563</v>
      </c>
      <c r="G23" s="9">
        <f t="shared" ca="1" si="30"/>
        <v>182278617.32332245</v>
      </c>
      <c r="H23" s="9">
        <f t="shared" ca="1" si="30"/>
        <v>201687733.64027357</v>
      </c>
      <c r="I23" s="9">
        <f t="shared" ca="1" si="30"/>
        <v>221736737.30678329</v>
      </c>
      <c r="J23" s="9">
        <f ca="1">J20-J22</f>
        <v>242529369.6589902</v>
      </c>
      <c r="K23" s="9">
        <f t="shared" ca="1" si="30"/>
        <v>263714034.0945735</v>
      </c>
      <c r="L23" s="9">
        <f t="shared" ca="1" si="30"/>
        <v>285344150.4625051</v>
      </c>
      <c r="M23" s="9">
        <f t="shared" ca="1" si="30"/>
        <v>307480598.93760312</v>
      </c>
      <c r="N23" s="9">
        <f t="shared" ca="1" si="30"/>
        <v>330192452.99435627</v>
      </c>
      <c r="O23" s="9">
        <f t="shared" ca="1" si="30"/>
        <v>353557771.79777038</v>
      </c>
      <c r="P23" s="9">
        <f t="shared" ca="1" si="30"/>
        <v>377664456.333722</v>
      </c>
      <c r="Q23" s="9">
        <f t="shared" ca="1" si="30"/>
        <v>402611173.89605725</v>
      </c>
      <c r="R23" s="9">
        <f t="shared" ca="1" si="30"/>
        <v>428508355.8617388</v>
      </c>
      <c r="S23" s="9">
        <f t="shared" ca="1" si="30"/>
        <v>455479274.01995337</v>
      </c>
      <c r="T23" s="9">
        <f t="shared" ca="1" si="30"/>
        <v>483661201.07753873</v>
      </c>
      <c r="U23" s="9">
        <f t="shared" ca="1" si="30"/>
        <v>513206661.34279811</v>
      </c>
      <c r="V23" s="9">
        <f t="shared" ca="1" si="30"/>
        <v>544284777.99418283</v>
      </c>
      <c r="W23" s="9">
        <f t="shared" ca="1" si="30"/>
        <v>577082723.77104926</v>
      </c>
      <c r="X23" s="9">
        <f t="shared" ca="1" si="30"/>
        <v>611807282.38237655</v>
      </c>
      <c r="Y23" s="9">
        <f t="shared" ca="1" si="30"/>
        <v>647612327.1806792</v>
      </c>
      <c r="Z23" s="9">
        <f t="shared" ca="1" si="30"/>
        <v>684589900.34419894</v>
      </c>
      <c r="AA23" s="9">
        <f t="shared" ca="1" si="30"/>
        <v>722841202.67878151</v>
      </c>
      <c r="AB23" s="9">
        <f t="shared" ca="1" si="30"/>
        <v>761854017.8460561</v>
      </c>
      <c r="AC23" s="9">
        <f t="shared" ca="1" si="30"/>
        <v>799972356.59123516</v>
      </c>
      <c r="AD23" s="9">
        <f t="shared" ca="1" si="30"/>
        <v>837044793.52357996</v>
      </c>
      <c r="AE23" s="9">
        <f t="shared" ca="1" si="30"/>
        <v>872909508.28070867</v>
      </c>
      <c r="AF23" s="9">
        <f t="shared" ca="1" si="30"/>
        <v>907393721.56836009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47619000</v>
      </c>
      <c r="D5" s="1">
        <f ca="1">C5+C6</f>
        <v>64057094.723126233</v>
      </c>
      <c r="E5" s="1">
        <f t="shared" ref="E5:AF5" ca="1" si="1">D5+D6</f>
        <v>75432195.403704315</v>
      </c>
      <c r="F5" s="1">
        <f t="shared" ca="1" si="1"/>
        <v>85262799.730753973</v>
      </c>
      <c r="G5" s="1">
        <f t="shared" ca="1" si="1"/>
        <v>92879690.625204891</v>
      </c>
      <c r="H5" s="1">
        <f t="shared" ca="1" si="1"/>
        <v>100098769.57773376</v>
      </c>
      <c r="I5" s="1">
        <f t="shared" ca="1" si="1"/>
        <v>107530063.4293274</v>
      </c>
      <c r="J5" s="1">
        <f t="shared" ca="1" si="1"/>
        <v>115097098.11580317</v>
      </c>
      <c r="K5" s="1">
        <f t="shared" ca="1" si="1"/>
        <v>123179610.06414038</v>
      </c>
      <c r="L5" s="1">
        <f t="shared" ca="1" si="1"/>
        <v>131753219.72441471</v>
      </c>
      <c r="M5" s="1">
        <f t="shared" ca="1" si="1"/>
        <v>140787016.51042518</v>
      </c>
      <c r="N5" s="1">
        <f t="shared" ca="1" si="1"/>
        <v>150242855.56313613</v>
      </c>
      <c r="O5" s="1">
        <f t="shared" ca="1" si="1"/>
        <v>160074596.04868889</v>
      </c>
      <c r="P5" s="1">
        <f t="shared" ca="1" si="1"/>
        <v>170227276.69895098</v>
      </c>
      <c r="Q5" s="1">
        <f t="shared" ca="1" si="1"/>
        <v>180636224.0087885</v>
      </c>
      <c r="R5" s="1">
        <f t="shared" ca="1" si="1"/>
        <v>191226088.19118905</v>
      </c>
      <c r="S5" s="1">
        <f t="shared" ca="1" si="1"/>
        <v>201909801.65779534</v>
      </c>
      <c r="T5" s="1">
        <f t="shared" ca="1" si="1"/>
        <v>212587454.43702492</v>
      </c>
      <c r="U5" s="1">
        <f t="shared" ca="1" si="1"/>
        <v>223145080.56335863</v>
      </c>
      <c r="V5" s="1">
        <f t="shared" ca="1" si="1"/>
        <v>233453349.06809807</v>
      </c>
      <c r="W5" s="1">
        <f t="shared" ca="1" si="1"/>
        <v>243366152.77235174</v>
      </c>
      <c r="X5" s="1">
        <f t="shared" ca="1" si="1"/>
        <v>252719087.62554038</v>
      </c>
      <c r="Y5" s="1">
        <f t="shared" ca="1" si="1"/>
        <v>262402016.08261821</v>
      </c>
      <c r="Z5" s="1">
        <f t="shared" ca="1" si="1"/>
        <v>272368031.31865114</v>
      </c>
      <c r="AA5" s="1">
        <f t="shared" ca="1" si="1"/>
        <v>282562512.21240681</v>
      </c>
      <c r="AB5" s="1">
        <f t="shared" ca="1" si="1"/>
        <v>293545745.33677721</v>
      </c>
      <c r="AC5" s="1">
        <f t="shared" ca="1" si="1"/>
        <v>307023328.42857599</v>
      </c>
      <c r="AD5" s="1">
        <f t="shared" ca="1" si="1"/>
        <v>323197882.83199251</v>
      </c>
      <c r="AE5" s="1">
        <f t="shared" ca="1" si="1"/>
        <v>342284063.13336933</v>
      </c>
      <c r="AF5" s="1">
        <f t="shared" ca="1" si="1"/>
        <v>364509173.54609561</v>
      </c>
      <c r="AG5" s="1"/>
      <c r="AH5" s="1"/>
      <c r="AI5" s="1"/>
      <c r="AJ5" s="1"/>
      <c r="AK5" s="1"/>
      <c r="AL5" s="1"/>
      <c r="AM5" s="1"/>
      <c r="AN5" s="1"/>
      <c r="AO5" s="1"/>
      <c r="AP5" s="1"/>
    </row>
    <row r="6" spans="1:42" x14ac:dyDescent="0.35">
      <c r="A6" s="63" t="s">
        <v>3</v>
      </c>
      <c r="C6" s="1">
        <f ca="1">-'Cash Flow'!C13</f>
        <v>16438094.723126231</v>
      </c>
      <c r="D6" s="1">
        <f ca="1">-'Cash Flow'!D13</f>
        <v>11375100.680578083</v>
      </c>
      <c r="E6" s="1">
        <f ca="1">-'Cash Flow'!E13</f>
        <v>9830604.3270496577</v>
      </c>
      <c r="F6" s="1">
        <f ca="1">-'Cash Flow'!F13</f>
        <v>7616890.8944509253</v>
      </c>
      <c r="G6" s="1">
        <f ca="1">-'Cash Flow'!G13</f>
        <v>7219078.9525288641</v>
      </c>
      <c r="H6" s="1">
        <f ca="1">-'Cash Flow'!H13</f>
        <v>7431293.8515936434</v>
      </c>
      <c r="I6" s="1">
        <f ca="1">-'Cash Flow'!I13</f>
        <v>7567034.6864757687</v>
      </c>
      <c r="J6" s="1">
        <f ca="1">-'Cash Flow'!J13</f>
        <v>8082511.9483372197</v>
      </c>
      <c r="K6" s="1">
        <f ca="1">-'Cash Flow'!K13</f>
        <v>8573609.6602743231</v>
      </c>
      <c r="L6" s="1">
        <f ca="1">-'Cash Flow'!L13</f>
        <v>9033796.7860104665</v>
      </c>
      <c r="M6" s="1">
        <f ca="1">-'Cash Flow'!M13</f>
        <v>9455839.0527109429</v>
      </c>
      <c r="N6" s="1">
        <f ca="1">-'Cash Flow'!N13</f>
        <v>9831740.485552758</v>
      </c>
      <c r="O6" s="1">
        <f ca="1">-'Cash Flow'!O13</f>
        <v>10152680.650262088</v>
      </c>
      <c r="P6" s="1">
        <f ca="1">-'Cash Flow'!P13</f>
        <v>10408947.30983752</v>
      </c>
      <c r="Q6" s="1">
        <f ca="1">-'Cash Flow'!Q13</f>
        <v>10589864.182400569</v>
      </c>
      <c r="R6" s="1">
        <f ca="1">-'Cash Flow'!R13</f>
        <v>10683713.466606289</v>
      </c>
      <c r="S6" s="1">
        <f ca="1">-'Cash Flow'!S13</f>
        <v>10677652.779229574</v>
      </c>
      <c r="T6" s="1">
        <f ca="1">-'Cash Flow'!T13</f>
        <v>10557626.126333714</v>
      </c>
      <c r="U6" s="1">
        <f ca="1">-'Cash Flow'!U13</f>
        <v>10308268.504739419</v>
      </c>
      <c r="V6" s="1">
        <f ca="1">-'Cash Flow'!V13</f>
        <v>9912803.7042536885</v>
      </c>
      <c r="W6" s="1">
        <f ca="1">-'Cash Flow'!W13</f>
        <v>9352934.8531886414</v>
      </c>
      <c r="X6" s="1">
        <f ca="1">-'Cash Flow'!X13</f>
        <v>9682928.4570778385</v>
      </c>
      <c r="Y6" s="1">
        <f ca="1">-'Cash Flow'!Y13</f>
        <v>9966015.236032933</v>
      </c>
      <c r="Z6" s="1">
        <f ca="1">-'Cash Flow'!Z13</f>
        <v>10194480.893755689</v>
      </c>
      <c r="AA6" s="1">
        <f ca="1">-'Cash Flow'!AA13</f>
        <v>10983233.124370396</v>
      </c>
      <c r="AB6" s="1">
        <f ca="1">-'Cash Flow'!AB13</f>
        <v>13477583.091798797</v>
      </c>
      <c r="AC6" s="1">
        <f ca="1">-'Cash Flow'!AC13</f>
        <v>16174554.403416529</v>
      </c>
      <c r="AD6" s="1">
        <f ca="1">-'Cash Flow'!AD13</f>
        <v>19086180.301376849</v>
      </c>
      <c r="AE6" s="1">
        <f ca="1">-'Cash Flow'!AE13</f>
        <v>22225110.412726283</v>
      </c>
      <c r="AF6" s="1">
        <f ca="1">-'Cash Flow'!AF13</f>
        <v>25604639.772846252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2241998.3153094184</v>
      </c>
      <c r="D8" s="1">
        <f ca="1">IF(SUM(D5:D6)&gt;0,Assumptions!$C$26*SUM(D5:D6),Assumptions!$C$27*(SUM(D5:D6)))</f>
        <v>2640126.8391296514</v>
      </c>
      <c r="E8" s="1">
        <f ca="1">IF(SUM(E5:E6)&gt;0,Assumptions!$C$26*SUM(E5:E6),Assumptions!$C$27*(SUM(E5:E6)))</f>
        <v>2984197.9905763892</v>
      </c>
      <c r="F8" s="1">
        <f ca="1">IF(SUM(F5:F6)&gt;0,Assumptions!$C$26*SUM(F5:F6),Assumptions!$C$27*(SUM(F5:F6)))</f>
        <v>3250789.1718821716</v>
      </c>
      <c r="G8" s="1">
        <f ca="1">IF(SUM(G5:G6)&gt;0,Assumptions!$C$26*SUM(G5:G6),Assumptions!$C$27*(SUM(G5:G6)))</f>
        <v>3503456.9352206816</v>
      </c>
      <c r="H8" s="1">
        <f ca="1">IF(SUM(H5:H6)&gt;0,Assumptions!$C$26*SUM(H5:H6),Assumptions!$C$27*(SUM(H5:H6)))</f>
        <v>3763552.2200264591</v>
      </c>
      <c r="I8" s="1">
        <f ca="1">IF(SUM(I5:I6)&gt;0,Assumptions!$C$26*SUM(I5:I6),Assumptions!$C$27*(SUM(I5:I6)))</f>
        <v>4028398.4340531114</v>
      </c>
      <c r="J8" s="1">
        <f ca="1">IF(SUM(J5:J6)&gt;0,Assumptions!$C$26*SUM(J5:J6),Assumptions!$C$27*(SUM(J5:J6)))</f>
        <v>4311286.3522449136</v>
      </c>
      <c r="K8" s="1">
        <f ca="1">IF(SUM(K5:K6)&gt;0,Assumptions!$C$26*SUM(K5:K6),Assumptions!$C$27*(SUM(K5:K6)))</f>
        <v>4611362.6903545149</v>
      </c>
      <c r="L8" s="1">
        <f ca="1">IF(SUM(L5:L6)&gt;0,Assumptions!$C$26*SUM(L5:L6),Assumptions!$C$27*(SUM(L5:L6)))</f>
        <v>4927545.5778648816</v>
      </c>
      <c r="M8" s="1">
        <f ca="1">IF(SUM(M5:M6)&gt;0,Assumptions!$C$26*SUM(M5:M6),Assumptions!$C$27*(SUM(M5:M6)))</f>
        <v>5258499.9447097648</v>
      </c>
      <c r="N8" s="1">
        <f ca="1">IF(SUM(N5:N6)&gt;0,Assumptions!$C$26*SUM(N5:N6),Assumptions!$C$27*(SUM(N5:N6)))</f>
        <v>5602610.861704112</v>
      </c>
      <c r="O8" s="1">
        <f ca="1">IF(SUM(O5:O6)&gt;0,Assumptions!$C$26*SUM(O5:O6),Assumptions!$C$27*(SUM(O5:O6)))</f>
        <v>5957954.6844632849</v>
      </c>
      <c r="P8" s="1">
        <f ca="1">IF(SUM(P5:P6)&gt;0,Assumptions!$C$26*SUM(P5:P6),Assumptions!$C$27*(SUM(P5:P6)))</f>
        <v>6322267.840307598</v>
      </c>
      <c r="Q8" s="1">
        <f ca="1">IF(SUM(Q5:Q6)&gt;0,Assumptions!$C$26*SUM(Q5:Q6),Assumptions!$C$27*(SUM(Q5:Q6)))</f>
        <v>6692913.086691617</v>
      </c>
      <c r="R8" s="1">
        <f ca="1">IF(SUM(R5:R6)&gt;0,Assumptions!$C$26*SUM(R5:R6),Assumptions!$C$27*(SUM(R5:R6)))</f>
        <v>7066843.0580228372</v>
      </c>
      <c r="S8" s="1">
        <f ca="1">IF(SUM(S5:S6)&gt;0,Assumptions!$C$26*SUM(S5:S6),Assumptions!$C$27*(SUM(S5:S6)))</f>
        <v>7440560.9052958731</v>
      </c>
      <c r="T8" s="1">
        <f ca="1">IF(SUM(T5:T6)&gt;0,Assumptions!$C$26*SUM(T5:T6),Assumptions!$C$27*(SUM(T5:T6)))</f>
        <v>7810077.8197175525</v>
      </c>
      <c r="U8" s="1">
        <f ca="1">IF(SUM(U5:U6)&gt;0,Assumptions!$C$26*SUM(U5:U6),Assumptions!$C$27*(SUM(U5:U6)))</f>
        <v>8170867.2173834331</v>
      </c>
      <c r="V8" s="1">
        <f ca="1">IF(SUM(V5:V6)&gt;0,Assumptions!$C$26*SUM(V5:V6),Assumptions!$C$27*(SUM(V5:V6)))</f>
        <v>8517815.3470323123</v>
      </c>
      <c r="W8" s="1">
        <f ca="1">IF(SUM(W5:W6)&gt;0,Assumptions!$C$26*SUM(W5:W6),Assumptions!$C$27*(SUM(W5:W6)))</f>
        <v>8845168.0668939147</v>
      </c>
      <c r="X8" s="1">
        <f ca="1">IF(SUM(X5:X6)&gt;0,Assumptions!$C$26*SUM(X5:X6),Assumptions!$C$27*(SUM(X5:X6)))</f>
        <v>9184070.5628916379</v>
      </c>
      <c r="Y8" s="1">
        <f ca="1">IF(SUM(Y5:Y6)&gt;0,Assumptions!$C$26*SUM(Y5:Y6),Assumptions!$C$27*(SUM(Y5:Y6)))</f>
        <v>9532881.0961527899</v>
      </c>
      <c r="Z8" s="1">
        <f ca="1">IF(SUM(Z5:Z6)&gt;0,Assumptions!$C$26*SUM(Z5:Z6),Assumptions!$C$27*(SUM(Z5:Z6)))</f>
        <v>9889687.9274342395</v>
      </c>
      <c r="AA8" s="1">
        <f ca="1">IF(SUM(AA5:AA6)&gt;0,Assumptions!$C$26*SUM(AA5:AA6),Assumptions!$C$27*(SUM(AA5:AA6)))</f>
        <v>10274101.086787203</v>
      </c>
      <c r="AB8" s="1">
        <f ca="1">IF(SUM(AB5:AB6)&gt;0,Assumptions!$C$26*SUM(AB5:AB6),Assumptions!$C$27*(SUM(AB5:AB6)))</f>
        <v>10745816.495000161</v>
      </c>
      <c r="AC8" s="1">
        <f ca="1">IF(SUM(AC5:AC6)&gt;0,Assumptions!$C$26*SUM(AC5:AC6),Assumptions!$C$27*(SUM(AC5:AC6)))</f>
        <v>11311925.899119738</v>
      </c>
      <c r="AD8" s="1">
        <f ca="1">IF(SUM(AD5:AD6)&gt;0,Assumptions!$C$26*SUM(AD5:AD6),Assumptions!$C$27*(SUM(AD5:AD6)))</f>
        <v>11979942.209667927</v>
      </c>
      <c r="AE8" s="1">
        <f ca="1">IF(SUM(AE5:AE6)&gt;0,Assumptions!$C$26*SUM(AE5:AE6),Assumptions!$C$27*(SUM(AE5:AE6)))</f>
        <v>12757821.074113347</v>
      </c>
      <c r="AF8" s="1">
        <f ca="1">IF(SUM(AF5:AF6)&gt;0,Assumptions!$C$26*SUM(AF5:AF6),Assumptions!$C$27*(SUM(AF5:AF6)))</f>
        <v>13653983.466162965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51"/>
  <sheetViews>
    <sheetView topLeftCell="A10" zoomScaleNormal="100" workbookViewId="0">
      <selection sqref="A1:XFD1048576"/>
    </sheetView>
  </sheetViews>
  <sheetFormatPr defaultRowHeight="15.5" x14ac:dyDescent="0.35"/>
  <cols>
    <col min="1" max="1" width="107.9140625" style="63" customWidth="1"/>
    <col min="2" max="2" width="18.1640625" style="63" bestFit="1" customWidth="1"/>
    <col min="3" max="3" width="51.41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c r="B4" s="181"/>
    </row>
    <row r="5" spans="1:3" ht="18.5" x14ac:dyDescent="0.45">
      <c r="A5" s="89" t="s">
        <v>177</v>
      </c>
      <c r="B5" s="182"/>
    </row>
    <row r="6" spans="1:3" ht="18.5" x14ac:dyDescent="0.45">
      <c r="A6" s="90"/>
      <c r="B6" s="182"/>
    </row>
    <row r="7" spans="1:3" ht="18.5" x14ac:dyDescent="0.45">
      <c r="A7" s="90" t="s">
        <v>96</v>
      </c>
      <c r="B7" s="183">
        <f>Assumptions!C24</f>
        <v>13238000</v>
      </c>
      <c r="C7" s="180" t="str">
        <f>Assumptions!B24</f>
        <v>RFI Table F10; Lines F10.62 + F10.70</v>
      </c>
    </row>
    <row r="8" spans="1:3" ht="34" x14ac:dyDescent="0.45">
      <c r="A8" s="90" t="s">
        <v>174</v>
      </c>
      <c r="B8" s="184">
        <f>Assumptions!$C$133</f>
        <v>0.7</v>
      </c>
      <c r="C8" s="180" t="s">
        <v>199</v>
      </c>
    </row>
    <row r="9" spans="1:3" ht="18.5" x14ac:dyDescent="0.45">
      <c r="A9" s="90"/>
      <c r="B9" s="185"/>
      <c r="C9" s="180"/>
    </row>
    <row r="10" spans="1:3" ht="68" x14ac:dyDescent="0.45">
      <c r="A10" s="94" t="s">
        <v>102</v>
      </c>
      <c r="B10" s="186">
        <f>Assumptions!C135</f>
        <v>7805.5555555555547</v>
      </c>
      <c r="C10" s="180" t="s">
        <v>200</v>
      </c>
    </row>
    <row r="11" spans="1:3" ht="18.5" x14ac:dyDescent="0.45">
      <c r="A11" s="94"/>
      <c r="B11" s="187"/>
      <c r="C11" s="180"/>
    </row>
    <row r="12" spans="1:3" ht="18.5" x14ac:dyDescent="0.45">
      <c r="A12" s="94" t="s">
        <v>184</v>
      </c>
      <c r="B12" s="183">
        <f>(B7*B8)/B10</f>
        <v>1187.1800711743774</v>
      </c>
      <c r="C12" s="180"/>
    </row>
    <row r="13" spans="1:3" ht="18.5" x14ac:dyDescent="0.45">
      <c r="A13" s="96"/>
      <c r="B13" s="188"/>
      <c r="C13" s="180"/>
    </row>
    <row r="14" spans="1:3" ht="18.5" x14ac:dyDescent="0.45">
      <c r="A14" s="94" t="s">
        <v>103</v>
      </c>
      <c r="B14" s="103">
        <v>1</v>
      </c>
      <c r="C14" s="180"/>
    </row>
    <row r="15" spans="1:3" ht="18.5" x14ac:dyDescent="0.45">
      <c r="A15" s="96"/>
      <c r="B15" s="99"/>
      <c r="C15" s="180"/>
    </row>
    <row r="16" spans="1:3" ht="18.5" x14ac:dyDescent="0.45">
      <c r="A16" s="96" t="s">
        <v>179</v>
      </c>
      <c r="B16" s="189">
        <f>B12/B14</f>
        <v>1187.1800711743774</v>
      </c>
      <c r="C16" s="180"/>
    </row>
    <row r="17" spans="1:3" ht="18.5" x14ac:dyDescent="0.45">
      <c r="A17" s="94"/>
      <c r="B17" s="190"/>
      <c r="C17" s="180"/>
    </row>
    <row r="18" spans="1:3" ht="18.5" x14ac:dyDescent="0.45">
      <c r="A18" s="102" t="s">
        <v>178</v>
      </c>
      <c r="B18" s="190"/>
      <c r="C18" s="180"/>
    </row>
    <row r="19" spans="1:3" ht="18.5" x14ac:dyDescent="0.45">
      <c r="A19" s="94"/>
      <c r="B19" s="190"/>
      <c r="C19" s="180"/>
    </row>
    <row r="20" spans="1:3" ht="34" x14ac:dyDescent="0.45">
      <c r="A20" s="94" t="s">
        <v>65</v>
      </c>
      <c r="B20" s="183">
        <f>'Profit and Loss'!L5</f>
        <v>53491342.005661033</v>
      </c>
      <c r="C20" s="180" t="s">
        <v>201</v>
      </c>
    </row>
    <row r="21" spans="1:3" ht="34" x14ac:dyDescent="0.45">
      <c r="A21" s="94" t="str">
        <f>A8</f>
        <v>Assumed revenue from households</v>
      </c>
      <c r="B21" s="184">
        <f>B8</f>
        <v>0.7</v>
      </c>
      <c r="C21" s="180" t="s">
        <v>199</v>
      </c>
    </row>
    <row r="22" spans="1:3" ht="18.5" x14ac:dyDescent="0.45">
      <c r="A22" s="94"/>
      <c r="B22" s="187"/>
      <c r="C22" s="180"/>
    </row>
    <row r="23" spans="1:3" ht="34" x14ac:dyDescent="0.45">
      <c r="A23" s="94" t="s">
        <v>101</v>
      </c>
      <c r="B23" s="186">
        <f>Assumptions!M135</f>
        <v>8661.8328911832941</v>
      </c>
      <c r="C23" s="180" t="s">
        <v>202</v>
      </c>
    </row>
    <row r="24" spans="1:3" ht="18.5" x14ac:dyDescent="0.45">
      <c r="A24" s="94"/>
      <c r="B24" s="187"/>
      <c r="C24" s="180"/>
    </row>
    <row r="25" spans="1:3" ht="18.5" x14ac:dyDescent="0.45">
      <c r="A25" s="94" t="s">
        <v>183</v>
      </c>
      <c r="B25" s="183">
        <f>(B20*B21)/B23</f>
        <v>4322.8655960421675</v>
      </c>
      <c r="C25" s="180"/>
    </row>
    <row r="26" spans="1:3" ht="18.5" x14ac:dyDescent="0.45">
      <c r="A26" s="94"/>
      <c r="B26" s="183"/>
      <c r="C26" s="180"/>
    </row>
    <row r="27" spans="1:3" ht="34" x14ac:dyDescent="0.45">
      <c r="A27" s="94" t="s">
        <v>103</v>
      </c>
      <c r="B27" s="103">
        <f>1.022^11</f>
        <v>1.2704566586717592</v>
      </c>
      <c r="C27" s="180" t="s">
        <v>203</v>
      </c>
    </row>
    <row r="28" spans="1:3" ht="18.5" x14ac:dyDescent="0.45">
      <c r="A28" s="96"/>
      <c r="B28" s="188"/>
      <c r="C28" s="180"/>
    </row>
    <row r="29" spans="1:3" ht="18.5" x14ac:dyDescent="0.45">
      <c r="A29" s="96" t="s">
        <v>180</v>
      </c>
      <c r="B29" s="183">
        <f>B25/B27</f>
        <v>3402.6076895544393</v>
      </c>
      <c r="C29" s="180"/>
    </row>
    <row r="30" spans="1:3" ht="18.5" x14ac:dyDescent="0.45">
      <c r="A30" s="96"/>
      <c r="B30" s="188"/>
      <c r="C30" s="180"/>
    </row>
    <row r="31" spans="1:3" ht="18.5" x14ac:dyDescent="0.45">
      <c r="A31" s="102" t="s">
        <v>186</v>
      </c>
      <c r="B31" s="191"/>
      <c r="C31" s="180"/>
    </row>
    <row r="32" spans="1:3" ht="18.5" x14ac:dyDescent="0.45">
      <c r="A32" s="94"/>
      <c r="B32" s="183"/>
      <c r="C32" s="180"/>
    </row>
    <row r="33" spans="1:3" ht="34" x14ac:dyDescent="0.45">
      <c r="A33" s="94" t="s">
        <v>66</v>
      </c>
      <c r="B33" s="183">
        <f>'Profit and Loss'!AF5</f>
        <v>146242160.1981695</v>
      </c>
      <c r="C33" s="180" t="s">
        <v>201</v>
      </c>
    </row>
    <row r="34" spans="1:3" ht="34" x14ac:dyDescent="0.45">
      <c r="A34" s="94" t="str">
        <f>A21</f>
        <v>Assumed revenue from households</v>
      </c>
      <c r="B34" s="184">
        <f>B21</f>
        <v>0.7</v>
      </c>
      <c r="C34" s="180" t="s">
        <v>199</v>
      </c>
    </row>
    <row r="35" spans="1:3" ht="18.5" x14ac:dyDescent="0.45">
      <c r="A35" s="94"/>
      <c r="B35" s="187"/>
      <c r="C35" s="180"/>
    </row>
    <row r="36" spans="1:3" ht="34" x14ac:dyDescent="0.45">
      <c r="A36" s="94" t="s">
        <v>100</v>
      </c>
      <c r="B36" s="186">
        <f>Assumptions!AG135</f>
        <v>10666.495739057164</v>
      </c>
      <c r="C36" s="180" t="s">
        <v>202</v>
      </c>
    </row>
    <row r="37" spans="1:3" ht="18.5" x14ac:dyDescent="0.45">
      <c r="A37" s="94"/>
      <c r="B37" s="187"/>
      <c r="C37" s="180"/>
    </row>
    <row r="38" spans="1:3" ht="18.5" x14ac:dyDescent="0.45">
      <c r="A38" s="94" t="s">
        <v>182</v>
      </c>
      <c r="B38" s="183">
        <f>(B33*B34)/B36</f>
        <v>9597.2955545161385</v>
      </c>
      <c r="C38" s="180"/>
    </row>
    <row r="39" spans="1:3" ht="18.5" x14ac:dyDescent="0.45">
      <c r="A39" s="94"/>
      <c r="B39" s="187"/>
      <c r="C39" s="180"/>
    </row>
    <row r="40" spans="1:3" ht="34" x14ac:dyDescent="0.45">
      <c r="A40" s="94" t="s">
        <v>103</v>
      </c>
      <c r="B40" s="103">
        <f>1.022^31</f>
        <v>1.9632597808456462</v>
      </c>
      <c r="C40" s="180" t="s">
        <v>203</v>
      </c>
    </row>
    <row r="41" spans="1:3" ht="18.5" x14ac:dyDescent="0.45">
      <c r="A41" s="96"/>
      <c r="B41" s="188"/>
    </row>
    <row r="42" spans="1:3" ht="18.5" x14ac:dyDescent="0.45">
      <c r="A42" s="96" t="s">
        <v>181</v>
      </c>
      <c r="B42" s="183">
        <f>B38/B40</f>
        <v>4888.4491233158351</v>
      </c>
    </row>
    <row r="43" spans="1:3" x14ac:dyDescent="0.35">
      <c r="B43" s="181"/>
    </row>
    <row r="44" spans="1:3" x14ac:dyDescent="0.35">
      <c r="B44" s="181"/>
    </row>
    <row r="45" spans="1:3" x14ac:dyDescent="0.35">
      <c r="B45" s="181"/>
    </row>
    <row r="46" spans="1:3" x14ac:dyDescent="0.35">
      <c r="B46" s="181"/>
    </row>
    <row r="47" spans="1:3" x14ac:dyDescent="0.35">
      <c r="B47" s="181"/>
    </row>
    <row r="48" spans="1:3" x14ac:dyDescent="0.35">
      <c r="B48" s="181"/>
    </row>
    <row r="49" spans="2:2" x14ac:dyDescent="0.35">
      <c r="B49" s="181"/>
    </row>
    <row r="50" spans="2:2" x14ac:dyDescent="0.35">
      <c r="B50" s="181"/>
    </row>
    <row r="51" spans="2:2" x14ac:dyDescent="0.35">
      <c r="B51" s="18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1.0463424698795576E-2</v>
      </c>
      <c r="D13" s="128">
        <f t="shared" ref="D13:AG13" si="3">(1+$C$13)^D8</f>
        <v>1.0104634246987956</v>
      </c>
      <c r="E13" s="128">
        <f t="shared" si="3"/>
        <v>1.0210363326540186</v>
      </c>
      <c r="F13" s="128">
        <f t="shared" si="3"/>
        <v>1.0317198694354783</v>
      </c>
      <c r="G13" s="128">
        <f t="shared" si="3"/>
        <v>1.0425151925995677</v>
      </c>
      <c r="H13" s="128">
        <f t="shared" si="3"/>
        <v>1.0534234718146835</v>
      </c>
      <c r="I13" s="128">
        <f t="shared" si="3"/>
        <v>1.0644458889879604</v>
      </c>
      <c r="J13" s="128">
        <f t="shared" si="3"/>
        <v>1.0755836383933286</v>
      </c>
      <c r="K13" s="128">
        <f t="shared" si="3"/>
        <v>1.0868379268009138</v>
      </c>
      <c r="L13" s="128">
        <f t="shared" si="3"/>
        <v>1.0982099736077904</v>
      </c>
      <c r="M13" s="128">
        <f t="shared" si="3"/>
        <v>1.1097010109701018</v>
      </c>
      <c r="N13" s="128">
        <f t="shared" si="3"/>
        <v>1.1213122839365648</v>
      </c>
      <c r="O13" s="128">
        <f t="shared" si="3"/>
        <v>1.1330450505833696</v>
      </c>
      <c r="P13" s="128">
        <f t="shared" si="3"/>
        <v>1.1449005821504916</v>
      </c>
      <c r="Q13" s="128">
        <f t="shared" si="3"/>
        <v>1.1568801631794305</v>
      </c>
      <c r="R13" s="128">
        <f t="shared" si="3"/>
        <v>1.168985091652389</v>
      </c>
      <c r="S13" s="128">
        <f t="shared" si="3"/>
        <v>1.1812166791329086</v>
      </c>
      <c r="T13" s="128">
        <f t="shared" si="3"/>
        <v>1.1935762509079773</v>
      </c>
      <c r="U13" s="128">
        <f t="shared" si="3"/>
        <v>1.2060651461316236</v>
      </c>
      <c r="V13" s="128">
        <f t="shared" si="3"/>
        <v>1.2186847179700138</v>
      </c>
      <c r="W13" s="128">
        <f t="shared" si="3"/>
        <v>1.231436333748066</v>
      </c>
      <c r="X13" s="128">
        <f t="shared" si="3"/>
        <v>1.2443213750975997</v>
      </c>
      <c r="Y13" s="128">
        <f t="shared" si="3"/>
        <v>1.2573412381070352</v>
      </c>
      <c r="Z13" s="128">
        <f t="shared" si="3"/>
        <v>1.2704973334726588</v>
      </c>
      <c r="AA13" s="128">
        <f t="shared" si="3"/>
        <v>1.2837910866514706</v>
      </c>
      <c r="AB13" s="128">
        <f t="shared" si="3"/>
        <v>1.2972239380156334</v>
      </c>
      <c r="AC13" s="128">
        <f t="shared" si="3"/>
        <v>1.3107973430085349</v>
      </c>
      <c r="AD13" s="128">
        <f t="shared" si="3"/>
        <v>1.3245127723024861</v>
      </c>
      <c r="AE13" s="128">
        <f t="shared" si="3"/>
        <v>1.3383717119580663</v>
      </c>
      <c r="AF13" s="128">
        <f t="shared" si="3"/>
        <v>1.3523756635851376</v>
      </c>
      <c r="AG13" s="128">
        <f t="shared" si="3"/>
        <v>1.3665261445055443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307804500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153902250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47619000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13238000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4401595</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290027999.99999994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325581000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856610.43313351087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1360005.1796301452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1108307.8063818282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2334880.9365405287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3487622.9978040182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2911251.9671722734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4271257.1468024189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79" t="s">
        <v>176</v>
      </c>
      <c r="C77" s="87">
        <v>7537430.5899676727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592901035.92438674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714582324.70539367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600438466.51435447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722119755.2953614</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198</v>
      </c>
      <c r="C85" s="150">
        <v>20700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21450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21075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28490.555943741612</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34264.282576292353</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600438466.51435447</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722119755.2953614</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661279110.90485787</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661279110.90485787</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22042637.030161928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4271257.1468024189</v>
      </c>
      <c r="E111" s="149">
        <f t="shared" si="9"/>
        <v>4271257.1468024189</v>
      </c>
      <c r="F111" s="149">
        <f t="shared" si="9"/>
        <v>4271257.1468024189</v>
      </c>
      <c r="G111" s="149">
        <f t="shared" si="9"/>
        <v>4271257.1468024189</v>
      </c>
      <c r="H111" s="149">
        <f t="shared" si="9"/>
        <v>4271257.1468024189</v>
      </c>
      <c r="I111" s="149">
        <f t="shared" si="9"/>
        <v>4271257.1468024189</v>
      </c>
      <c r="J111" s="149">
        <f t="shared" si="9"/>
        <v>4271257.1468024189</v>
      </c>
      <c r="K111" s="149">
        <f t="shared" si="9"/>
        <v>4271257.1468024189</v>
      </c>
      <c r="L111" s="149">
        <f t="shared" si="9"/>
        <v>4271257.1468024189</v>
      </c>
      <c r="M111" s="149">
        <f t="shared" si="9"/>
        <v>4271257.1468024189</v>
      </c>
      <c r="N111" s="149">
        <f t="shared" si="9"/>
        <v>4271257.1468024189</v>
      </c>
      <c r="O111" s="149">
        <f t="shared" si="9"/>
        <v>4271257.1468024189</v>
      </c>
      <c r="P111" s="149">
        <f t="shared" si="9"/>
        <v>4271257.1468024189</v>
      </c>
      <c r="Q111" s="149">
        <f t="shared" si="9"/>
        <v>4271257.1468024189</v>
      </c>
      <c r="R111" s="149">
        <f t="shared" si="9"/>
        <v>4271257.1468024189</v>
      </c>
      <c r="S111" s="149">
        <f t="shared" si="9"/>
        <v>4271257.1468024189</v>
      </c>
      <c r="T111" s="149">
        <f t="shared" si="9"/>
        <v>4271257.1468024189</v>
      </c>
      <c r="U111" s="149">
        <f t="shared" si="9"/>
        <v>4271257.1468024189</v>
      </c>
      <c r="V111" s="149">
        <f t="shared" si="9"/>
        <v>4271257.1468024189</v>
      </c>
      <c r="W111" s="149">
        <f t="shared" si="9"/>
        <v>4271257.1468024189</v>
      </c>
      <c r="X111" s="149">
        <f t="shared" si="9"/>
        <v>4271257.1468024189</v>
      </c>
      <c r="Y111" s="149">
        <f t="shared" si="9"/>
        <v>4271257.1468024189</v>
      </c>
      <c r="Z111" s="149">
        <f t="shared" si="9"/>
        <v>4271257.1468024189</v>
      </c>
      <c r="AA111" s="149">
        <f t="shared" si="9"/>
        <v>4271257.1468024189</v>
      </c>
      <c r="AB111" s="149">
        <f t="shared" si="9"/>
        <v>4271257.1468024189</v>
      </c>
      <c r="AC111" s="149">
        <f t="shared" si="9"/>
        <v>4271257.1468024189</v>
      </c>
      <c r="AD111" s="149">
        <f t="shared" si="9"/>
        <v>4271257.1468024189</v>
      </c>
      <c r="AE111" s="149">
        <f t="shared" si="9"/>
        <v>4271257.1468024189</v>
      </c>
      <c r="AF111" s="149">
        <f t="shared" si="9"/>
        <v>4271257.1468024189</v>
      </c>
      <c r="AG111" s="149">
        <f t="shared" si="9"/>
        <v>4271257.1468024189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661279110.90485799</v>
      </c>
      <c r="D113" s="149">
        <f t="shared" ref="D113:AG113" si="10">$C$102</f>
        <v>22042637.030161928</v>
      </c>
      <c r="E113" s="149">
        <f t="shared" si="10"/>
        <v>22042637.030161928</v>
      </c>
      <c r="F113" s="149">
        <f t="shared" si="10"/>
        <v>22042637.030161928</v>
      </c>
      <c r="G113" s="149">
        <f t="shared" si="10"/>
        <v>22042637.030161928</v>
      </c>
      <c r="H113" s="149">
        <f t="shared" si="10"/>
        <v>22042637.030161928</v>
      </c>
      <c r="I113" s="149">
        <f t="shared" si="10"/>
        <v>22042637.030161928</v>
      </c>
      <c r="J113" s="149">
        <f t="shared" si="10"/>
        <v>22042637.030161928</v>
      </c>
      <c r="K113" s="149">
        <f t="shared" si="10"/>
        <v>22042637.030161928</v>
      </c>
      <c r="L113" s="149">
        <f t="shared" si="10"/>
        <v>22042637.030161928</v>
      </c>
      <c r="M113" s="149">
        <f t="shared" si="10"/>
        <v>22042637.030161928</v>
      </c>
      <c r="N113" s="149">
        <f t="shared" si="10"/>
        <v>22042637.030161928</v>
      </c>
      <c r="O113" s="149">
        <f t="shared" si="10"/>
        <v>22042637.030161928</v>
      </c>
      <c r="P113" s="149">
        <f t="shared" si="10"/>
        <v>22042637.030161928</v>
      </c>
      <c r="Q113" s="149">
        <f t="shared" si="10"/>
        <v>22042637.030161928</v>
      </c>
      <c r="R113" s="149">
        <f t="shared" si="10"/>
        <v>22042637.030161928</v>
      </c>
      <c r="S113" s="149">
        <f t="shared" si="10"/>
        <v>22042637.030161928</v>
      </c>
      <c r="T113" s="149">
        <f t="shared" si="10"/>
        <v>22042637.030161928</v>
      </c>
      <c r="U113" s="149">
        <f t="shared" si="10"/>
        <v>22042637.030161928</v>
      </c>
      <c r="V113" s="149">
        <f t="shared" si="10"/>
        <v>22042637.030161928</v>
      </c>
      <c r="W113" s="149">
        <f t="shared" si="10"/>
        <v>22042637.030161928</v>
      </c>
      <c r="X113" s="149">
        <f t="shared" si="10"/>
        <v>22042637.030161928</v>
      </c>
      <c r="Y113" s="149">
        <f t="shared" si="10"/>
        <v>22042637.030161928</v>
      </c>
      <c r="Z113" s="149">
        <f t="shared" si="10"/>
        <v>22042637.030161928</v>
      </c>
      <c r="AA113" s="149">
        <f t="shared" si="10"/>
        <v>22042637.030161928</v>
      </c>
      <c r="AB113" s="149">
        <f t="shared" si="10"/>
        <v>22042637.030161928</v>
      </c>
      <c r="AC113" s="149">
        <f t="shared" si="10"/>
        <v>22042637.030161928</v>
      </c>
      <c r="AD113" s="149">
        <f t="shared" si="10"/>
        <v>22042637.030161928</v>
      </c>
      <c r="AE113" s="149">
        <f t="shared" si="10"/>
        <v>22042637.030161928</v>
      </c>
      <c r="AF113" s="149">
        <f t="shared" si="10"/>
        <v>22042637.030161928</v>
      </c>
      <c r="AG113" s="149">
        <f t="shared" si="10"/>
        <v>22042637.030161928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22042637.030161928</v>
      </c>
      <c r="E118" s="149">
        <f t="shared" ref="E118:AG118" si="13">E113+E115+E116</f>
        <v>22042637.030161928</v>
      </c>
      <c r="F118" s="149">
        <f>F113+F115+F116</f>
        <v>22042637.030161928</v>
      </c>
      <c r="G118" s="149">
        <f t="shared" si="13"/>
        <v>22042637.030161928</v>
      </c>
      <c r="H118" s="149">
        <f t="shared" si="13"/>
        <v>22042637.030161928</v>
      </c>
      <c r="I118" s="149">
        <f t="shared" si="13"/>
        <v>22042637.030161928</v>
      </c>
      <c r="J118" s="149">
        <f t="shared" si="13"/>
        <v>22042637.030161928</v>
      </c>
      <c r="K118" s="149">
        <f t="shared" si="13"/>
        <v>22042637.030161928</v>
      </c>
      <c r="L118" s="149">
        <f t="shared" si="13"/>
        <v>22042637.030161928</v>
      </c>
      <c r="M118" s="149">
        <f t="shared" si="13"/>
        <v>22042637.030161928</v>
      </c>
      <c r="N118" s="149">
        <f t="shared" si="13"/>
        <v>22042637.030161928</v>
      </c>
      <c r="O118" s="149">
        <f t="shared" si="13"/>
        <v>22042637.030161928</v>
      </c>
      <c r="P118" s="149">
        <f t="shared" si="13"/>
        <v>22042637.030161928</v>
      </c>
      <c r="Q118" s="149">
        <f t="shared" si="13"/>
        <v>22042637.030161928</v>
      </c>
      <c r="R118" s="149">
        <f t="shared" si="13"/>
        <v>22042637.030161928</v>
      </c>
      <c r="S118" s="149">
        <f t="shared" si="13"/>
        <v>22042637.030161928</v>
      </c>
      <c r="T118" s="149">
        <f t="shared" si="13"/>
        <v>22042637.030161928</v>
      </c>
      <c r="U118" s="149">
        <f t="shared" si="13"/>
        <v>22042637.030161928</v>
      </c>
      <c r="V118" s="149">
        <f t="shared" si="13"/>
        <v>22042637.030161928</v>
      </c>
      <c r="W118" s="149">
        <f t="shared" si="13"/>
        <v>22042637.030161928</v>
      </c>
      <c r="X118" s="149">
        <f t="shared" si="13"/>
        <v>22042637.030161928</v>
      </c>
      <c r="Y118" s="149">
        <f t="shared" si="13"/>
        <v>22042637.030161928</v>
      </c>
      <c r="Z118" s="149">
        <f t="shared" si="13"/>
        <v>22042637.030161928</v>
      </c>
      <c r="AA118" s="149">
        <f t="shared" si="13"/>
        <v>22042637.030161928</v>
      </c>
      <c r="AB118" s="149">
        <f t="shared" si="13"/>
        <v>22042637.030161928</v>
      </c>
      <c r="AC118" s="149">
        <f t="shared" si="13"/>
        <v>22042637.030161928</v>
      </c>
      <c r="AD118" s="149">
        <f t="shared" si="13"/>
        <v>22042637.030161928</v>
      </c>
      <c r="AE118" s="149">
        <f t="shared" si="13"/>
        <v>22042637.030161928</v>
      </c>
      <c r="AF118" s="149">
        <f t="shared" si="13"/>
        <v>22042637.030161928</v>
      </c>
      <c r="AG118" s="149">
        <f t="shared" si="13"/>
        <v>22042637.030161928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529023.28872388625</v>
      </c>
      <c r="E120" s="149">
        <f>(SUM($D$118:E118)*$C$104/$C$106)+(SUM($D$118:E118)*$C$105/$C$107)</f>
        <v>1058046.5774477725</v>
      </c>
      <c r="F120" s="149">
        <f>(SUM($D$118:F118)*$C$104/$C$106)+(SUM($D$118:F118)*$C$105/$C$107)</f>
        <v>1587069.8661716587</v>
      </c>
      <c r="G120" s="149">
        <f>(SUM($D$118:G118)*$C$104/$C$106)+(SUM($D$118:G118)*$C$105/$C$107)</f>
        <v>2116093.154895545</v>
      </c>
      <c r="H120" s="149">
        <f>(SUM($D$118:H118)*$C$104/$C$106)+(SUM($D$118:H118)*$C$105/$C$107)</f>
        <v>2645116.4436194315</v>
      </c>
      <c r="I120" s="149">
        <f>(SUM($D$118:I118)*$C$104/$C$106)+(SUM($D$118:I118)*$C$105/$C$107)</f>
        <v>3174139.7323433179</v>
      </c>
      <c r="J120" s="149">
        <f>(SUM($D$118:J118)*$C$104/$C$106)+(SUM($D$118:J118)*$C$105/$C$107)</f>
        <v>3703163.021067204</v>
      </c>
      <c r="K120" s="149">
        <f>(SUM($D$118:K118)*$C$104/$C$106)+(SUM($D$118:K118)*$C$105/$C$107)</f>
        <v>4232186.30979109</v>
      </c>
      <c r="L120" s="149">
        <f>(SUM($D$118:L118)*$C$104/$C$106)+(SUM($D$118:L118)*$C$105/$C$107)</f>
        <v>4761209.598514976</v>
      </c>
      <c r="M120" s="149">
        <f>(SUM($D$118:M118)*$C$104/$C$106)+(SUM($D$118:M118)*$C$105/$C$107)</f>
        <v>5290232.887238862</v>
      </c>
      <c r="N120" s="149">
        <f>(SUM($D$118:N118)*$C$104/$C$106)+(SUM($D$118:N118)*$C$105/$C$107)</f>
        <v>5819256.175962748</v>
      </c>
      <c r="O120" s="149">
        <f>(SUM($D$118:O118)*$C$104/$C$106)+(SUM($D$118:O118)*$C$105/$C$107)</f>
        <v>6348279.464686634</v>
      </c>
      <c r="P120" s="149">
        <f>(SUM($D$118:P118)*$C$104/$C$106)+(SUM($D$118:P118)*$C$105/$C$107)</f>
        <v>6877302.753410521</v>
      </c>
      <c r="Q120" s="149">
        <f>(SUM($D$118:Q118)*$C$104/$C$106)+(SUM($D$118:Q118)*$C$105/$C$107)</f>
        <v>7406326.042134407</v>
      </c>
      <c r="R120" s="149">
        <f>(SUM($D$118:R118)*$C$104/$C$106)+(SUM($D$118:R118)*$C$105/$C$107)</f>
        <v>7935349.330858293</v>
      </c>
      <c r="S120" s="149">
        <f>(SUM($D$118:S118)*$C$104/$C$106)+(SUM($D$118:S118)*$C$105/$C$107)</f>
        <v>8464372.6195821781</v>
      </c>
      <c r="T120" s="149">
        <f>(SUM($D$118:T118)*$C$104/$C$106)+(SUM($D$118:T118)*$C$105/$C$107)</f>
        <v>8993395.9083060641</v>
      </c>
      <c r="U120" s="149">
        <f>(SUM($D$118:U118)*$C$104/$C$106)+(SUM($D$118:U118)*$C$105/$C$107)</f>
        <v>9522419.1970299501</v>
      </c>
      <c r="V120" s="149">
        <f>(SUM($D$118:V118)*$C$104/$C$106)+(SUM($D$118:V118)*$C$105/$C$107)</f>
        <v>10051442.485753836</v>
      </c>
      <c r="W120" s="149">
        <f>(SUM($D$118:W118)*$C$104/$C$106)+(SUM($D$118:W118)*$C$105/$C$107)</f>
        <v>10580465.774477722</v>
      </c>
      <c r="X120" s="149">
        <f>(SUM($D$118:X118)*$C$104/$C$106)+(SUM($D$118:X118)*$C$105/$C$107)</f>
        <v>11109489.063201608</v>
      </c>
      <c r="Y120" s="149">
        <f>(SUM($D$118:Y118)*$C$104/$C$106)+(SUM($D$118:Y118)*$C$105/$C$107)</f>
        <v>11638512.351925494</v>
      </c>
      <c r="Z120" s="149">
        <f>(SUM($D$118:Z118)*$C$104/$C$106)+(SUM($D$118:Z118)*$C$105/$C$107)</f>
        <v>12167535.64064938</v>
      </c>
      <c r="AA120" s="149">
        <f>(SUM($D$118:AA118)*$C$104/$C$106)+(SUM($D$118:AA118)*$C$105/$C$107)</f>
        <v>12696558.929373266</v>
      </c>
      <c r="AB120" s="149">
        <f>(SUM($D$118:AB118)*$C$104/$C$106)+(SUM($D$118:AB118)*$C$105/$C$107)</f>
        <v>13225582.218097154</v>
      </c>
      <c r="AC120" s="149">
        <f>(SUM($D$118:AC118)*$C$104/$C$106)+(SUM($D$118:AC118)*$C$105/$C$107)</f>
        <v>13754605.506821042</v>
      </c>
      <c r="AD120" s="149">
        <f>(SUM($D$118:AD118)*$C$104/$C$106)+(SUM($D$118:AD118)*$C$105/$C$107)</f>
        <v>14283628.79554493</v>
      </c>
      <c r="AE120" s="149">
        <f>(SUM($D$118:AE118)*$C$104/$C$106)+(SUM($D$118:AE118)*$C$105/$C$107)</f>
        <v>14812652.084268816</v>
      </c>
      <c r="AF120" s="149">
        <f>(SUM($D$118:AF118)*$C$104/$C$106)+(SUM($D$118:AF118)*$C$105/$C$107)</f>
        <v>15341675.372992704</v>
      </c>
      <c r="AG120" s="149">
        <f>(SUM($D$118:AG118)*$C$104/$C$106)+(SUM($D$118:AG118)*$C$105/$C$107)</f>
        <v>15870698.661716592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661279.11090485787</v>
      </c>
      <c r="E122" s="72">
        <f>(SUM($D$118:E118)*$C$109)</f>
        <v>1322558.2218097157</v>
      </c>
      <c r="F122" s="72">
        <f>(SUM($D$118:F118)*$C$109)</f>
        <v>1983837.3327145735</v>
      </c>
      <c r="G122" s="72">
        <f>(SUM($D$118:G118)*$C$109)</f>
        <v>2645116.4436194315</v>
      </c>
      <c r="H122" s="72">
        <f>(SUM($D$118:H118)*$C$109)</f>
        <v>3306395.5545242894</v>
      </c>
      <c r="I122" s="72">
        <f>(SUM($D$118:I118)*$C$109)</f>
        <v>3967674.665429147</v>
      </c>
      <c r="J122" s="72">
        <f>(SUM($D$118:J118)*$C$109)</f>
        <v>4628953.7763340054</v>
      </c>
      <c r="K122" s="72">
        <f>(SUM($D$118:K118)*$C$109)</f>
        <v>5290232.8872388629</v>
      </c>
      <c r="L122" s="72">
        <f>(SUM($D$118:L118)*$C$109)</f>
        <v>5951511.9981437204</v>
      </c>
      <c r="M122" s="72">
        <f>(SUM($D$118:M118)*$C$109)</f>
        <v>6612791.109048578</v>
      </c>
      <c r="N122" s="72">
        <f>(SUM($D$118:N118)*$C$109)</f>
        <v>7274070.2199534355</v>
      </c>
      <c r="O122" s="72">
        <f>(SUM($D$118:O118)*$C$109)</f>
        <v>7935349.330858293</v>
      </c>
      <c r="P122" s="72">
        <f>(SUM($D$118:P118)*$C$109)</f>
        <v>8596628.4417631514</v>
      </c>
      <c r="Q122" s="72">
        <f>(SUM($D$118:Q118)*$C$109)</f>
        <v>9257907.552668009</v>
      </c>
      <c r="R122" s="72">
        <f>(SUM($D$118:R118)*$C$109)</f>
        <v>9919186.6635728665</v>
      </c>
      <c r="S122" s="72">
        <f>(SUM($D$118:S118)*$C$109)</f>
        <v>10580465.774477724</v>
      </c>
      <c r="T122" s="72">
        <f>(SUM($D$118:T118)*$C$109)</f>
        <v>11241744.885382582</v>
      </c>
      <c r="U122" s="72">
        <f>(SUM($D$118:U118)*$C$109)</f>
        <v>11903023.996287439</v>
      </c>
      <c r="V122" s="72">
        <f>(SUM($D$118:V118)*$C$109)</f>
        <v>12564303.107192297</v>
      </c>
      <c r="W122" s="72">
        <f>(SUM($D$118:W118)*$C$109)</f>
        <v>13225582.218097154</v>
      </c>
      <c r="X122" s="72">
        <f>(SUM($D$118:X118)*$C$109)</f>
        <v>13886861.329002012</v>
      </c>
      <c r="Y122" s="72">
        <f>(SUM($D$118:Y118)*$C$109)</f>
        <v>14548140.439906869</v>
      </c>
      <c r="Z122" s="72">
        <f>(SUM($D$118:Z118)*$C$109)</f>
        <v>15209419.550811727</v>
      </c>
      <c r="AA122" s="72">
        <f>(SUM($D$118:AA118)*$C$109)</f>
        <v>15870698.661716584</v>
      </c>
      <c r="AB122" s="72">
        <f>(SUM($D$118:AB118)*$C$109)</f>
        <v>16531977.772621443</v>
      </c>
      <c r="AC122" s="72">
        <f>(SUM($D$118:AC118)*$C$109)</f>
        <v>17193256.883526303</v>
      </c>
      <c r="AD122" s="72">
        <f>(SUM($D$118:AD118)*$C$109)</f>
        <v>17854535.99443116</v>
      </c>
      <c r="AE122" s="72">
        <f>(SUM($D$118:AE118)*$C$109)</f>
        <v>18515815.105336022</v>
      </c>
      <c r="AF122" s="72">
        <f>(SUM($D$118:AF118)*$C$109)</f>
        <v>19177094.216240879</v>
      </c>
      <c r="AG122" s="72">
        <f>(SUM($D$118:AG118)*$C$109)</f>
        <v>19838373.32714574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198</v>
      </c>
      <c r="C126" s="126">
        <v>20700</v>
      </c>
      <c r="D126" s="140"/>
    </row>
    <row r="127" spans="1:33" x14ac:dyDescent="0.35">
      <c r="A127" s="77" t="s">
        <v>151</v>
      </c>
      <c r="B127" s="77" t="s">
        <v>133</v>
      </c>
      <c r="C127" s="126">
        <v>21450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21075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7805.5555555555547</v>
      </c>
      <c r="D135" s="157">
        <f t="shared" ref="D135:AG135" si="14">$C$135*D13</f>
        <v>7887.2283983433754</v>
      </c>
      <c r="E135" s="157">
        <f t="shared" si="14"/>
        <v>7969.755818771644</v>
      </c>
      <c r="F135" s="157">
        <f t="shared" si="14"/>
        <v>8053.1467586491499</v>
      </c>
      <c r="G135" s="157">
        <f t="shared" si="14"/>
        <v>8137.4102533466248</v>
      </c>
      <c r="H135" s="157">
        <f t="shared" si="14"/>
        <v>8222.5554327757236</v>
      </c>
      <c r="I135" s="157">
        <f t="shared" si="14"/>
        <v>8308.5915223782467</v>
      </c>
      <c r="J135" s="157">
        <f t="shared" si="14"/>
        <v>8395.5278441257033</v>
      </c>
      <c r="K135" s="157">
        <f t="shared" si="14"/>
        <v>8483.3738175293547</v>
      </c>
      <c r="L135" s="157">
        <f t="shared" si="14"/>
        <v>8572.1389606608082</v>
      </c>
      <c r="M135" s="157">
        <f t="shared" si="14"/>
        <v>8661.8328911832941</v>
      </c>
      <c r="N135" s="157">
        <f t="shared" si="14"/>
        <v>8752.4653273937402</v>
      </c>
      <c r="O135" s="157">
        <f t="shared" si="14"/>
        <v>8844.0460892757455</v>
      </c>
      <c r="P135" s="157">
        <f t="shared" si="14"/>
        <v>8936.5850995635592</v>
      </c>
      <c r="Q135" s="157">
        <f t="shared" si="14"/>
        <v>9030.0923848172206</v>
      </c>
      <c r="R135" s="157">
        <f t="shared" si="14"/>
        <v>9124.5780765089239</v>
      </c>
      <c r="S135" s="157">
        <f t="shared" si="14"/>
        <v>9220.0524121207582</v>
      </c>
      <c r="T135" s="157">
        <f t="shared" si="14"/>
        <v>9316.5257362539323</v>
      </c>
      <c r="U135" s="157">
        <f t="shared" si="14"/>
        <v>9414.0085017496167</v>
      </c>
      <c r="V135" s="157">
        <f t="shared" si="14"/>
        <v>9512.5112708214947</v>
      </c>
      <c r="W135" s="157">
        <f t="shared" si="14"/>
        <v>9612.0447162001819</v>
      </c>
      <c r="X135" s="157">
        <f t="shared" si="14"/>
        <v>9712.619622289596</v>
      </c>
      <c r="Y135" s="157">
        <f t="shared" si="14"/>
        <v>9814.2468863354679</v>
      </c>
      <c r="Z135" s="157">
        <f t="shared" si="14"/>
        <v>9916.93751960603</v>
      </c>
      <c r="AA135" s="157">
        <f t="shared" si="14"/>
        <v>10020.702648585089</v>
      </c>
      <c r="AB135" s="157">
        <f t="shared" si="14"/>
        <v>10125.553516177582</v>
      </c>
      <c r="AC135" s="157">
        <f t="shared" si="14"/>
        <v>10231.50148292773</v>
      </c>
      <c r="AD135" s="157">
        <f t="shared" si="14"/>
        <v>10338.55802824996</v>
      </c>
      <c r="AE135" s="157">
        <f t="shared" si="14"/>
        <v>10446.734751672682</v>
      </c>
      <c r="AF135" s="157">
        <f t="shared" si="14"/>
        <v>10556.043374095101</v>
      </c>
      <c r="AG135" s="157">
        <f t="shared" si="14"/>
        <v>10666.495739057164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0.4</v>
      </c>
      <c r="F4" s="65">
        <v>0.4</v>
      </c>
      <c r="G4" s="65">
        <v>0.15</v>
      </c>
      <c r="H4" s="65">
        <v>0.15</v>
      </c>
      <c r="I4" s="65">
        <v>0.08</v>
      </c>
      <c r="J4" s="65">
        <v>0.06</v>
      </c>
      <c r="K4" s="65">
        <v>0.06</v>
      </c>
      <c r="L4" s="65">
        <v>0.05</v>
      </c>
      <c r="M4" s="65">
        <v>0.05</v>
      </c>
      <c r="N4" s="65">
        <v>0.05</v>
      </c>
      <c r="O4" s="65">
        <v>0.05</v>
      </c>
      <c r="P4" s="65">
        <v>0.05</v>
      </c>
      <c r="Q4" s="65">
        <v>0.05</v>
      </c>
      <c r="R4" s="65">
        <v>0.05</v>
      </c>
      <c r="S4" s="65">
        <v>0.05</v>
      </c>
      <c r="T4" s="65">
        <v>0.05</v>
      </c>
      <c r="U4" s="65">
        <v>0.05</v>
      </c>
      <c r="V4" s="65">
        <v>0.05</v>
      </c>
      <c r="W4" s="65">
        <v>0.05</v>
      </c>
      <c r="X4" s="65">
        <v>0.05</v>
      </c>
      <c r="Y4" s="65">
        <v>0.05</v>
      </c>
      <c r="Z4" s="65">
        <v>0.04</v>
      </c>
      <c r="AA4" s="65">
        <v>0.04</v>
      </c>
      <c r="AB4" s="65">
        <v>0.04</v>
      </c>
      <c r="AC4" s="65">
        <v>3.5000000000000003E-2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2.54278277234615</v>
      </c>
      <c r="C6" s="25"/>
      <c r="D6" s="25"/>
      <c r="E6" s="27">
        <f>'Debt worksheet'!C5/'Profit and Loss'!C5</f>
        <v>2.54278277234615</v>
      </c>
      <c r="F6" s="28">
        <f ca="1">'Debt worksheet'!D5/'Profit and Loss'!D5</f>
        <v>2.4179515429839111</v>
      </c>
      <c r="G6" s="28">
        <f ca="1">'Debt worksheet'!E5/'Profit and Loss'!E5</f>
        <v>2.4502966416240319</v>
      </c>
      <c r="H6" s="28">
        <f ca="1">'Debt worksheet'!F5/'Profit and Loss'!F5</f>
        <v>2.3834336566504426</v>
      </c>
      <c r="I6" s="28">
        <f ca="1">'Debt worksheet'!G5/'Profit and Loss'!G5</f>
        <v>2.3791393767317963</v>
      </c>
      <c r="J6" s="28">
        <f ca="1">'Debt worksheet'!H5/'Profit and Loss'!H5</f>
        <v>2.3938746211173463</v>
      </c>
      <c r="K6" s="28">
        <f ca="1">'Debt worksheet'!I5/'Profit and Loss'!I5</f>
        <v>2.4009112133276602</v>
      </c>
      <c r="L6" s="28">
        <f ca="1">'Debt worksheet'!J5/'Profit and Loss'!J5</f>
        <v>2.4221479924525675</v>
      </c>
      <c r="M6" s="28">
        <f ca="1">'Debt worksheet'!K5/'Profit and Loss'!K5</f>
        <v>2.4432349286837103</v>
      </c>
      <c r="N6" s="28">
        <f ca="1">'Debt worksheet'!L5/'Profit and Loss'!L5</f>
        <v>2.4630756078333418</v>
      </c>
      <c r="O6" s="28">
        <f ca="1">'Debt worksheet'!M5/'Profit and Loss'!M5</f>
        <v>2.480671257569123</v>
      </c>
      <c r="P6" s="28">
        <f ca="1">'Debt worksheet'!N5/'Profit and Loss'!N5</f>
        <v>2.4951148509043763</v>
      </c>
      <c r="Q6" s="28">
        <f ca="1">'Debt worksheet'!O5/'Profit and Loss'!O5</f>
        <v>2.5055855115705112</v>
      </c>
      <c r="R6" s="28">
        <f ca="1">'Debt worksheet'!P5/'Profit and Loss'!P5</f>
        <v>2.5113432071309076</v>
      </c>
      <c r="S6" s="28">
        <f ca="1">'Debt worksheet'!Q5/'Profit and Loss'!Q5</f>
        <v>2.5117237163233495</v>
      </c>
      <c r="T6" s="28">
        <f ca="1">'Debt worksheet'!R5/'Profit and Loss'!R5</f>
        <v>2.5061338577190568</v>
      </c>
      <c r="U6" s="28">
        <f ca="1">'Debt worksheet'!S5/'Profit and Loss'!S5</f>
        <v>2.4940469673614452</v>
      </c>
      <c r="V6" s="28">
        <f ca="1">'Debt worksheet'!T5/'Profit and Loss'!T5</f>
        <v>2.4749986135981561</v>
      </c>
      <c r="W6" s="28">
        <f ca="1">'Debt worksheet'!U5/'Profit and Loss'!U5</f>
        <v>2.4485825378466304</v>
      </c>
      <c r="X6" s="28">
        <f ca="1">'Debt worksheet'!V5/'Profit and Loss'!V5</f>
        <v>2.4144468105374819</v>
      </c>
      <c r="Y6" s="28">
        <f ca="1">'Debt worksheet'!W5/'Profit and Loss'!W5</f>
        <v>2.3722901919622665</v>
      </c>
      <c r="Z6" s="28">
        <f ca="1">'Debt worksheet'!X5/'Profit and Loss'!X5</f>
        <v>2.3441842525234224</v>
      </c>
      <c r="AA6" s="28">
        <f ca="1">'Debt worksheet'!Y5/'Profit and Loss'!Y5</f>
        <v>2.3161513181276896</v>
      </c>
      <c r="AB6" s="28">
        <f ca="1">'Debt worksheet'!Z5/'Profit and Loss'!Z5</f>
        <v>2.287715190799219</v>
      </c>
      <c r="AC6" s="28">
        <f ca="1">'Debt worksheet'!AA5/'Profit and Loss'!AA5</f>
        <v>2.2693392226334037</v>
      </c>
      <c r="AD6" s="28">
        <f ca="1">'Debt worksheet'!AB5/'Profit and Loss'!AB5</f>
        <v>2.2829120075349913</v>
      </c>
      <c r="AE6" s="28">
        <f ca="1">'Debt worksheet'!AC5/'Profit and Loss'!AC5</f>
        <v>2.3121354045687248</v>
      </c>
      <c r="AF6" s="28">
        <f ca="1">'Debt worksheet'!AD5/'Profit and Loss'!AD5</f>
        <v>2.356887763061156</v>
      </c>
      <c r="AG6" s="28">
        <f ca="1">'Debt worksheet'!AE5/'Profit and Loss'!AE5</f>
        <v>2.4170496918327515</v>
      </c>
      <c r="AH6" s="28">
        <f ca="1">'Debt worksheet'!AF5/'Profit and Loss'!AF5</f>
        <v>2.4925040292905778</v>
      </c>
      <c r="AI6" s="31"/>
    </row>
    <row r="7" spans="1:35" ht="21" x14ac:dyDescent="0.5">
      <c r="A7" s="19" t="s">
        <v>38</v>
      </c>
      <c r="B7" s="26">
        <f ca="1">MIN('Price and Financial ratios'!E7:AH7)</f>
        <v>0.22749524871518848</v>
      </c>
      <c r="C7" s="26"/>
      <c r="D7" s="26"/>
      <c r="E7" s="56">
        <f ca="1">'Cash Flow'!C7/'Debt worksheet'!C5</f>
        <v>0.23653995467069916</v>
      </c>
      <c r="F7" s="32">
        <f ca="1">'Cash Flow'!D7/'Debt worksheet'!D5</f>
        <v>0.27751294725876946</v>
      </c>
      <c r="G7" s="32">
        <f ca="1">'Cash Flow'!E7/'Debt worksheet'!E5</f>
        <v>0.27621466103496828</v>
      </c>
      <c r="H7" s="32">
        <f ca="1">'Cash Flow'!F7/'Debt worksheet'!F5</f>
        <v>0.28887820857554813</v>
      </c>
      <c r="I7" s="32">
        <f ca="1">'Cash Flow'!G7/'Debt worksheet'!G5</f>
        <v>0.28724854212406192</v>
      </c>
      <c r="J7" s="32">
        <f ca="1">'Cash Flow'!H7/'Debt worksheet'!H5</f>
        <v>0.28163356993330468</v>
      </c>
      <c r="K7" s="32">
        <f ca="1">'Cash Flow'!I7/'Debt worksheet'!I5</f>
        <v>0.27764216016519833</v>
      </c>
      <c r="L7" s="32">
        <f ca="1">'Cash Flow'!J7/'Debt worksheet'!J5</f>
        <v>0.27122782061653189</v>
      </c>
      <c r="M7" s="17">
        <f ca="1">'Cash Flow'!K7/'Debt worksheet'!K5</f>
        <v>0.26535602028971955</v>
      </c>
      <c r="N7" s="17">
        <f ca="1">'Cash Flow'!L7/'Debt worksheet'!L5</f>
        <v>0.26011869328622822</v>
      </c>
      <c r="O7" s="17">
        <f ca="1">'Cash Flow'!M7/'Debt worksheet'!M5</f>
        <v>0.25558669095209474</v>
      </c>
      <c r="P7" s="17">
        <f ca="1">'Cash Flow'!N7/'Debt worksheet'!N5</f>
        <v>0.25181538778871443</v>
      </c>
      <c r="Q7" s="17">
        <f ca="1">'Cash Flow'!O7/'Debt worksheet'!O5</f>
        <v>0.24884984680341132</v>
      </c>
      <c r="R7" s="17">
        <f ca="1">'Cash Flow'!P7/'Debt worksheet'!P5</f>
        <v>0.24672948215189172</v>
      </c>
      <c r="S7" s="17">
        <f ca="1">'Cash Flow'!Q7/'Debt worksheet'!Q5</f>
        <v>0.2454922664608136</v>
      </c>
      <c r="T7" s="17">
        <f ca="1">'Cash Flow'!R7/'Debt worksheet'!R5</f>
        <v>0.24517860209705933</v>
      </c>
      <c r="U7" s="17">
        <f ca="1">'Cash Flow'!S7/'Debt worksheet'!S5</f>
        <v>0.24583502483066658</v>
      </c>
      <c r="V7" s="17">
        <f ca="1">'Cash Flow'!T7/'Debt worksheet'!T5</f>
        <v>0.2475179484917934</v>
      </c>
      <c r="W7" s="17">
        <f ca="1">'Cash Flow'!U7/'Debt worksheet'!U5</f>
        <v>0.25029770285093395</v>
      </c>
      <c r="X7" s="17">
        <f ca="1">'Cash Flow'!V7/'Debt worksheet'!V5</f>
        <v>0.25426317666886267</v>
      </c>
      <c r="Y7" s="17">
        <f ca="1">'Cash Flow'!W7/'Debt worksheet'!W5</f>
        <v>0.2595274686315388</v>
      </c>
      <c r="Z7" s="17">
        <f ca="1">'Cash Flow'!X7/'Debt worksheet'!X5</f>
        <v>0.26198451730253147</v>
      </c>
      <c r="AA7" s="17">
        <f ca="1">'Cash Flow'!Y7/'Debt worksheet'!Y5</f>
        <v>0.26465359959185486</v>
      </c>
      <c r="AB7" s="17">
        <f ca="1">'Cash Flow'!Z7/'Debt worksheet'!Z5</f>
        <v>0.26759745302729609</v>
      </c>
      <c r="AC7" s="17">
        <f ca="1">'Cash Flow'!AA7/'Debt worksheet'!AA5</f>
        <v>0.26867499356131441</v>
      </c>
      <c r="AD7" s="17">
        <f ca="1">'Cash Flow'!AB7/'Debt worksheet'!AB5</f>
        <v>0.26368584940266654</v>
      </c>
      <c r="AE7" s="17">
        <f ca="1">'Cash Flow'!AC7/'Debt worksheet'!AC5</f>
        <v>0.25683193706156288</v>
      </c>
      <c r="AF7" s="17">
        <f ca="1">'Cash Flow'!AD7/'Debt worksheet'!AD5</f>
        <v>0.24833266781440333</v>
      </c>
      <c r="AG7" s="17">
        <f ca="1">'Cash Flow'!AE7/'Debt worksheet'!AE5</f>
        <v>0.23845568451941646</v>
      </c>
      <c r="AH7" s="17">
        <f ca="1">'Cash Flow'!AF7/'Debt worksheet'!AF5</f>
        <v>0.22749524871518848</v>
      </c>
      <c r="AI7" s="29"/>
    </row>
    <row r="8" spans="1:35" ht="21" x14ac:dyDescent="0.5">
      <c r="A8" s="19" t="s">
        <v>33</v>
      </c>
      <c r="B8" s="26">
        <f ca="1">MAX('Price and Financial ratios'!E8:AH8)</f>
        <v>0.4255714798189616</v>
      </c>
      <c r="C8" s="26"/>
      <c r="D8" s="176"/>
      <c r="E8" s="17">
        <f>'Balance Sheet'!B11/'Balance Sheet'!B8</f>
        <v>0.31970140397117858</v>
      </c>
      <c r="F8" s="17">
        <f ca="1">'Balance Sheet'!C11/'Balance Sheet'!C8</f>
        <v>0.41451158271074334</v>
      </c>
      <c r="G8" s="17">
        <f ca="1">'Balance Sheet'!D11/'Balance Sheet'!D8</f>
        <v>0.4255714798189616</v>
      </c>
      <c r="H8" s="17">
        <f ca="1">'Balance Sheet'!E11/'Balance Sheet'!E8</f>
        <v>0.42489010123050852</v>
      </c>
      <c r="I8" s="17">
        <f ca="1">'Balance Sheet'!F11/'Balance Sheet'!F8</f>
        <v>0.41312622758512291</v>
      </c>
      <c r="J8" s="17">
        <f ca="1">'Balance Sheet'!G11/'Balance Sheet'!G8</f>
        <v>0.40083448779320613</v>
      </c>
      <c r="K8" s="17">
        <f ca="1">'Balance Sheet'!H11/'Balance Sheet'!H8</f>
        <v>0.39044085498894204</v>
      </c>
      <c r="L8" s="17">
        <f ca="1">'Balance Sheet'!I11/'Balance Sheet'!I8</f>
        <v>0.38125720074177344</v>
      </c>
      <c r="M8" s="17">
        <f ca="1">'Balance Sheet'!J11/'Balance Sheet'!J8</f>
        <v>0.37418377318172863</v>
      </c>
      <c r="N8" s="17">
        <f ca="1">'Balance Sheet'!K11/'Balance Sheet'!K8</f>
        <v>0.36869104165015043</v>
      </c>
      <c r="O8" s="17">
        <f ca="1">'Balance Sheet'!L11/'Balance Sheet'!L8</f>
        <v>0.36436469099404184</v>
      </c>
      <c r="P8" s="17">
        <f ca="1">'Balance Sheet'!M11/'Balance Sheet'!M8</f>
        <v>0.36087269728360449</v>
      </c>
      <c r="Q8" s="17">
        <f ca="1">'Balance Sheet'!N11/'Balance Sheet'!N8</f>
        <v>0.35794291413679047</v>
      </c>
      <c r="R8" s="17">
        <f ca="1">'Balance Sheet'!O11/'Balance Sheet'!O8</f>
        <v>0.35534744692229736</v>
      </c>
      <c r="S8" s="17">
        <f ca="1">'Balance Sheet'!P11/'Balance Sheet'!P8</f>
        <v>0.3528915262599357</v>
      </c>
      <c r="T8" s="17">
        <f ca="1">'Balance Sheet'!Q11/'Balance Sheet'!Q8</f>
        <v>0.35040543338027047</v>
      </c>
      <c r="U8" s="17">
        <f ca="1">'Balance Sheet'!R11/'Balance Sheet'!R8</f>
        <v>0.34773853852195258</v>
      </c>
      <c r="V8" s="17">
        <f ca="1">'Balance Sheet'!S11/'Balance Sheet'!S8</f>
        <v>0.34475482955204828</v>
      </c>
      <c r="W8" s="17">
        <f ca="1">'Balance Sheet'!T11/'Balance Sheet'!T8</f>
        <v>0.34132950916371696</v>
      </c>
      <c r="X8" s="17">
        <f ca="1">'Balance Sheet'!U11/'Balance Sheet'!U8</f>
        <v>0.33734636990627492</v>
      </c>
      <c r="Y8" s="17">
        <f ca="1">'Balance Sheet'!V11/'Balance Sheet'!V8</f>
        <v>0.33269574318785172</v>
      </c>
      <c r="Z8" s="17">
        <f ca="1">'Balance Sheet'!W11/'Balance Sheet'!W8</f>
        <v>0.32727287711277381</v>
      </c>
      <c r="AA8" s="17">
        <f ca="1">'Balance Sheet'!X11/'Balance Sheet'!X8</f>
        <v>0.32229602911641347</v>
      </c>
      <c r="AB8" s="17">
        <f ca="1">'Balance Sheet'!Y11/'Balance Sheet'!Y8</f>
        <v>0.31765244857859093</v>
      </c>
      <c r="AC8" s="17">
        <f ca="1">'Balance Sheet'!Z11/'Balance Sheet'!Z8</f>
        <v>0.31323966863810049</v>
      </c>
      <c r="AD8" s="17">
        <f ca="1">'Balance Sheet'!AA11/'Balance Sheet'!AA8</f>
        <v>0.30962120845252911</v>
      </c>
      <c r="AE8" s="17">
        <f ca="1">'Balance Sheet'!AB11/'Balance Sheet'!AB8</f>
        <v>0.30840199646078348</v>
      </c>
      <c r="AF8" s="17">
        <f ca="1">'Balance Sheet'!AC11/'Balance Sheet'!AC8</f>
        <v>0.30944082191904737</v>
      </c>
      <c r="AG8" s="17">
        <f ca="1">'Balance Sheet'!AD11/'Balance Sheet'!AD8</f>
        <v>0.31261365547092723</v>
      </c>
      <c r="AH8" s="17">
        <f ca="1">'Balance Sheet'!AE11/'Balance Sheet'!AE8</f>
        <v>0.3178112430859758</v>
      </c>
      <c r="AI8" s="29"/>
    </row>
    <row r="9" spans="1:35" ht="21.5" thickBot="1" x14ac:dyDescent="0.55000000000000004">
      <c r="A9" s="20" t="s">
        <v>32</v>
      </c>
      <c r="B9" s="21">
        <f ca="1">MIN('Price and Financial ratios'!E9:AH9)</f>
        <v>6.0239984680405554</v>
      </c>
      <c r="C9" s="21"/>
      <c r="D9" s="177"/>
      <c r="E9" s="21">
        <f ca="1">('Cash Flow'!C7+'Profit and Loss'!C8)/('Profit and Loss'!C8)</f>
        <v>6.0239984680405554</v>
      </c>
      <c r="F9" s="21">
        <f ca="1">('Cash Flow'!D7+'Profit and Loss'!D8)/('Profit and Loss'!D8)</f>
        <v>7.7332648136364615</v>
      </c>
      <c r="G9" s="21">
        <f ca="1">('Cash Flow'!E7+'Profit and Loss'!E8)/('Profit and Loss'!E8)</f>
        <v>7.9819356324053308</v>
      </c>
      <c r="H9" s="21">
        <f ca="1">('Cash Flow'!F7+'Profit and Loss'!F8)/('Profit and Loss'!F8)</f>
        <v>8.5767955231914055</v>
      </c>
      <c r="I9" s="21">
        <f ca="1">('Cash Flow'!G7+'Profit and Loss'!G8)/('Profit and Loss'!G8)</f>
        <v>8.6152086976754774</v>
      </c>
      <c r="J9" s="21">
        <f ca="1">('Cash Flow'!H7+'Profit and Loss'!H8)/('Profit and Loss'!H8)</f>
        <v>8.4905759702492549</v>
      </c>
      <c r="K9" s="21">
        <f ca="1">('Cash Flow'!I7+'Profit and Loss'!I8)/('Profit and Loss'!I8)</f>
        <v>8.4111038374079641</v>
      </c>
      <c r="L9" s="21">
        <f ca="1">('Cash Flow'!J7+'Profit and Loss'!J8)/('Profit and Loss'!J8)</f>
        <v>8.2408864850698826</v>
      </c>
      <c r="M9" s="21">
        <f ca="1">('Cash Flow'!K7+'Profit and Loss'!K8)/('Profit and Loss'!K8)</f>
        <v>8.0882412211534138</v>
      </c>
      <c r="N9" s="21">
        <f ca="1">('Cash Flow'!L7+'Profit and Loss'!L8)/('Profit and Loss'!L8)</f>
        <v>7.9550803355162447</v>
      </c>
      <c r="O9" s="21">
        <f ca="1">('Cash Flow'!M7+'Profit and Loss'!M8)/('Profit and Loss'!M8)</f>
        <v>7.8428806802818256</v>
      </c>
      <c r="P9" s="21">
        <f ca="1">('Cash Flow'!N7+'Profit and Loss'!N8)/('Profit and Loss'!N8)</f>
        <v>7.7528271853968027</v>
      </c>
      <c r="Q9" s="21">
        <f ca="1">('Cash Flow'!O7+'Profit and Loss'!O8)/('Profit and Loss'!O8)</f>
        <v>7.6859418732592504</v>
      </c>
      <c r="R9" s="21">
        <f ca="1">('Cash Flow'!P7+'Profit and Loss'!P8)/('Profit and Loss'!P8)</f>
        <v>7.6431997012666146</v>
      </c>
      <c r="S9" s="21">
        <f ca="1">('Cash Flow'!Q7+'Profit and Loss'!Q8)/('Profit and Loss'!Q8)</f>
        <v>7.6256345275149631</v>
      </c>
      <c r="T9" s="21">
        <f ca="1">('Cash Flow'!R7+'Profit and Loss'!R8)/('Profit and Loss'!R8)</f>
        <v>7.6344398201934993</v>
      </c>
      <c r="U9" s="21">
        <f ca="1">('Cash Flow'!S7+'Profit and Loss'!S8)/('Profit and Loss'!S8)</f>
        <v>7.6710697937799202</v>
      </c>
      <c r="V9" s="21">
        <f ca="1">('Cash Flow'!T7+'Profit and Loss'!T8)/('Profit and Loss'!T8)</f>
        <v>7.7373477975470362</v>
      </c>
      <c r="W9" s="21">
        <f ca="1">('Cash Flow'!U7+'Profit and Loss'!U8)/('Profit and Loss'!U8)</f>
        <v>7.8355903457431326</v>
      </c>
      <c r="X9" s="21">
        <f ca="1">('Cash Flow'!V7+'Profit and Loss'!V8)/('Profit and Loss'!V8)</f>
        <v>7.9687575651332452</v>
      </c>
      <c r="Y9" s="21">
        <f ca="1">('Cash Flow'!W7+'Profit and Loss'!W8)/('Profit and Loss'!W8)</f>
        <v>8.1406445984902867</v>
      </c>
      <c r="Z9" s="21">
        <f ca="1">('Cash Flow'!X7+'Profit and Loss'!X8)/('Profit and Loss'!X8)</f>
        <v>8.2090570005232379</v>
      </c>
      <c r="AA9" s="21">
        <f ca="1">('Cash Flow'!Y7+'Profit and Loss'!Y8)/('Profit and Loss'!Y8)</f>
        <v>8.2848530676052441</v>
      </c>
      <c r="AB9" s="21">
        <f ca="1">('Cash Flow'!Z7+'Profit and Loss'!Z8)/('Profit and Loss'!Z8)</f>
        <v>8.3697969037774254</v>
      </c>
      <c r="AC9" s="21">
        <f ca="1">('Cash Flow'!AA7+'Profit and Loss'!AA8)/('Profit and Loss'!AA8)</f>
        <v>8.3892090907076398</v>
      </c>
      <c r="AD9" s="21">
        <f ca="1">('Cash Flow'!AB7+'Profit and Loss'!AB8)/('Profit and Loss'!AB8)</f>
        <v>8.2031622011860694</v>
      </c>
      <c r="AE9" s="21">
        <f ca="1">('Cash Flow'!AC7+'Profit and Loss'!AC8)/('Profit and Loss'!AC8)</f>
        <v>7.9708197230619868</v>
      </c>
      <c r="AF9" s="21">
        <f ca="1">('Cash Flow'!AD7+'Profit and Loss'!AD8)/('Profit and Loss'!AD8)</f>
        <v>7.6995809387848784</v>
      </c>
      <c r="AG9" s="21">
        <f ca="1">('Cash Flow'!AE7+'Profit and Loss'!AE8)/('Profit and Loss'!AE8)</f>
        <v>7.3976113240973005</v>
      </c>
      <c r="AH9" s="21">
        <f ca="1">('Cash Flow'!AF7+'Profit and Loss'!AF8)/('Profit and Loss'!AF8)</f>
        <v>7.0732536625914122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4271257.1468024189</v>
      </c>
      <c r="D5" s="1">
        <f>Assumptions!E111</f>
        <v>4271257.1468024189</v>
      </c>
      <c r="E5" s="1">
        <f>Assumptions!F111</f>
        <v>4271257.1468024189</v>
      </c>
      <c r="F5" s="1">
        <f>Assumptions!G111</f>
        <v>4271257.1468024189</v>
      </c>
      <c r="G5" s="1">
        <f>Assumptions!H111</f>
        <v>4271257.1468024189</v>
      </c>
      <c r="H5" s="1">
        <f>Assumptions!I111</f>
        <v>4271257.1468024189</v>
      </c>
      <c r="I5" s="1">
        <f>Assumptions!J111</f>
        <v>4271257.1468024189</v>
      </c>
      <c r="J5" s="1">
        <f>Assumptions!K111</f>
        <v>4271257.1468024189</v>
      </c>
      <c r="K5" s="1">
        <f>Assumptions!L111</f>
        <v>4271257.1468024189</v>
      </c>
      <c r="L5" s="1">
        <f>Assumptions!M111</f>
        <v>4271257.1468024189</v>
      </c>
      <c r="M5" s="1">
        <f>Assumptions!N111</f>
        <v>4271257.1468024189</v>
      </c>
      <c r="N5" s="1">
        <f>Assumptions!O111</f>
        <v>4271257.1468024189</v>
      </c>
      <c r="O5" s="1">
        <f>Assumptions!P111</f>
        <v>4271257.1468024189</v>
      </c>
      <c r="P5" s="1">
        <f>Assumptions!Q111</f>
        <v>4271257.1468024189</v>
      </c>
      <c r="Q5" s="1">
        <f>Assumptions!R111</f>
        <v>4271257.1468024189</v>
      </c>
      <c r="R5" s="1">
        <f>Assumptions!S111</f>
        <v>4271257.1468024189</v>
      </c>
      <c r="S5" s="1">
        <f>Assumptions!T111</f>
        <v>4271257.1468024189</v>
      </c>
      <c r="T5" s="1">
        <f>Assumptions!U111</f>
        <v>4271257.1468024189</v>
      </c>
      <c r="U5" s="1">
        <f>Assumptions!V111</f>
        <v>4271257.1468024189</v>
      </c>
      <c r="V5" s="1">
        <f>Assumptions!W111</f>
        <v>4271257.1468024189</v>
      </c>
      <c r="W5" s="1">
        <f>Assumptions!X111</f>
        <v>4271257.1468024189</v>
      </c>
      <c r="X5" s="1">
        <f>Assumptions!Y111</f>
        <v>4271257.1468024189</v>
      </c>
      <c r="Y5" s="1">
        <f>Assumptions!Z111</f>
        <v>4271257.1468024189</v>
      </c>
      <c r="Z5" s="1">
        <f>Assumptions!AA111</f>
        <v>4271257.1468024189</v>
      </c>
      <c r="AA5" s="1">
        <f>Assumptions!AB111</f>
        <v>4271257.1468024189</v>
      </c>
      <c r="AB5" s="1">
        <f>Assumptions!AC111</f>
        <v>4271257.1468024189</v>
      </c>
      <c r="AC5" s="1">
        <f>Assumptions!AD111</f>
        <v>4271257.1468024189</v>
      </c>
      <c r="AD5" s="1">
        <f>Assumptions!AE111</f>
        <v>4271257.1468024189</v>
      </c>
      <c r="AE5" s="1">
        <f>Assumptions!AF111</f>
        <v>4271257.1468024189</v>
      </c>
      <c r="AF5" s="1">
        <f>Assumptions!AG111</f>
        <v>4271257.1468024189</v>
      </c>
    </row>
    <row r="6" spans="1:32" x14ac:dyDescent="0.35">
      <c r="A6" t="s">
        <v>68</v>
      </c>
      <c r="C6" s="1">
        <f>Assumptions!D113</f>
        <v>22042637.030161928</v>
      </c>
      <c r="D6" s="1">
        <f>Assumptions!E113</f>
        <v>22042637.030161928</v>
      </c>
      <c r="E6" s="1">
        <f>Assumptions!F113</f>
        <v>22042637.030161928</v>
      </c>
      <c r="F6" s="1">
        <f>Assumptions!G113</f>
        <v>22042637.030161928</v>
      </c>
      <c r="G6" s="1">
        <f>Assumptions!H113</f>
        <v>22042637.030161928</v>
      </c>
      <c r="H6" s="1">
        <f>Assumptions!I113</f>
        <v>22042637.030161928</v>
      </c>
      <c r="I6" s="1">
        <f>Assumptions!J113</f>
        <v>22042637.030161928</v>
      </c>
      <c r="J6" s="1">
        <f>Assumptions!K113</f>
        <v>22042637.030161928</v>
      </c>
      <c r="K6" s="1">
        <f>Assumptions!L113</f>
        <v>22042637.030161928</v>
      </c>
      <c r="L6" s="1">
        <f>Assumptions!M113</f>
        <v>22042637.030161928</v>
      </c>
      <c r="M6" s="1">
        <f>Assumptions!N113</f>
        <v>22042637.030161928</v>
      </c>
      <c r="N6" s="1">
        <f>Assumptions!O113</f>
        <v>22042637.030161928</v>
      </c>
      <c r="O6" s="1">
        <f>Assumptions!P113</f>
        <v>22042637.030161928</v>
      </c>
      <c r="P6" s="1">
        <f>Assumptions!Q113</f>
        <v>22042637.030161928</v>
      </c>
      <c r="Q6" s="1">
        <f>Assumptions!R113</f>
        <v>22042637.030161928</v>
      </c>
      <c r="R6" s="1">
        <f>Assumptions!S113</f>
        <v>22042637.030161928</v>
      </c>
      <c r="S6" s="1">
        <f>Assumptions!T113</f>
        <v>22042637.030161928</v>
      </c>
      <c r="T6" s="1">
        <f>Assumptions!U113</f>
        <v>22042637.030161928</v>
      </c>
      <c r="U6" s="1">
        <f>Assumptions!V113</f>
        <v>22042637.030161928</v>
      </c>
      <c r="V6" s="1">
        <f>Assumptions!W113</f>
        <v>22042637.030161928</v>
      </c>
      <c r="W6" s="1">
        <f>Assumptions!X113</f>
        <v>22042637.030161928</v>
      </c>
      <c r="X6" s="1">
        <f>Assumptions!Y113</f>
        <v>22042637.030161928</v>
      </c>
      <c r="Y6" s="1">
        <f>Assumptions!Z113</f>
        <v>22042637.030161928</v>
      </c>
      <c r="Z6" s="1">
        <f>Assumptions!AA113</f>
        <v>22042637.030161928</v>
      </c>
      <c r="AA6" s="1">
        <f>Assumptions!AB113</f>
        <v>22042637.030161928</v>
      </c>
      <c r="AB6" s="1">
        <f>Assumptions!AC113</f>
        <v>22042637.030161928</v>
      </c>
      <c r="AC6" s="1">
        <f>Assumptions!AD113</f>
        <v>22042637.030161928</v>
      </c>
      <c r="AD6" s="1">
        <f>Assumptions!AE113</f>
        <v>22042637.030161928</v>
      </c>
      <c r="AE6" s="1">
        <f>Assumptions!AF113</f>
        <v>22042637.030161928</v>
      </c>
      <c r="AF6" s="1">
        <f>Assumptions!AG113</f>
        <v>22042637.030161928</v>
      </c>
    </row>
    <row r="7" spans="1:32" x14ac:dyDescent="0.35">
      <c r="A7" t="s">
        <v>73</v>
      </c>
      <c r="C7" s="1">
        <f>Assumptions!D120</f>
        <v>529023.28872388625</v>
      </c>
      <c r="D7" s="1">
        <f>Assumptions!E120</f>
        <v>1058046.5774477725</v>
      </c>
      <c r="E7" s="1">
        <f>Assumptions!F120</f>
        <v>1587069.8661716587</v>
      </c>
      <c r="F7" s="1">
        <f>Assumptions!G120</f>
        <v>2116093.154895545</v>
      </c>
      <c r="G7" s="1">
        <f>Assumptions!H120</f>
        <v>2645116.4436194315</v>
      </c>
      <c r="H7" s="1">
        <f>Assumptions!I120</f>
        <v>3174139.7323433179</v>
      </c>
      <c r="I7" s="1">
        <f>Assumptions!J120</f>
        <v>3703163.021067204</v>
      </c>
      <c r="J7" s="1">
        <f>Assumptions!K120</f>
        <v>4232186.30979109</v>
      </c>
      <c r="K7" s="1">
        <f>Assumptions!L120</f>
        <v>4761209.598514976</v>
      </c>
      <c r="L7" s="1">
        <f>Assumptions!M120</f>
        <v>5290232.887238862</v>
      </c>
      <c r="M7" s="1">
        <f>Assumptions!N120</f>
        <v>5819256.175962748</v>
      </c>
      <c r="N7" s="1">
        <f>Assumptions!O120</f>
        <v>6348279.464686634</v>
      </c>
      <c r="O7" s="1">
        <f>Assumptions!P120</f>
        <v>6877302.753410521</v>
      </c>
      <c r="P7" s="1">
        <f>Assumptions!Q120</f>
        <v>7406326.042134407</v>
      </c>
      <c r="Q7" s="1">
        <f>Assumptions!R120</f>
        <v>7935349.330858293</v>
      </c>
      <c r="R7" s="1">
        <f>Assumptions!S120</f>
        <v>8464372.6195821781</v>
      </c>
      <c r="S7" s="1">
        <f>Assumptions!T120</f>
        <v>8993395.9083060641</v>
      </c>
      <c r="T7" s="1">
        <f>Assumptions!U120</f>
        <v>9522419.1970299501</v>
      </c>
      <c r="U7" s="1">
        <f>Assumptions!V120</f>
        <v>10051442.485753836</v>
      </c>
      <c r="V7" s="1">
        <f>Assumptions!W120</f>
        <v>10580465.774477722</v>
      </c>
      <c r="W7" s="1">
        <f>Assumptions!X120</f>
        <v>11109489.063201608</v>
      </c>
      <c r="X7" s="1">
        <f>Assumptions!Y120</f>
        <v>11638512.351925494</v>
      </c>
      <c r="Y7" s="1">
        <f>Assumptions!Z120</f>
        <v>12167535.64064938</v>
      </c>
      <c r="Z7" s="1">
        <f>Assumptions!AA120</f>
        <v>12696558.929373266</v>
      </c>
      <c r="AA7" s="1">
        <f>Assumptions!AB120</f>
        <v>13225582.218097154</v>
      </c>
      <c r="AB7" s="1">
        <f>Assumptions!AC120</f>
        <v>13754605.506821042</v>
      </c>
      <c r="AC7" s="1">
        <f>Assumptions!AD120</f>
        <v>14283628.79554493</v>
      </c>
      <c r="AD7" s="1">
        <f>Assumptions!AE120</f>
        <v>14812652.084268816</v>
      </c>
      <c r="AE7" s="1">
        <f>Assumptions!AF120</f>
        <v>15341675.372992704</v>
      </c>
      <c r="AF7" s="1">
        <f>Assumptions!AG120</f>
        <v>15870698.661716592</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4407937.375500096</v>
      </c>
      <c r="D11" s="1">
        <f>D5*D$9</f>
        <v>4548991.3715160992</v>
      </c>
      <c r="E11" s="1">
        <f t="shared" ref="D11:AF13" si="1">E5*E$9</f>
        <v>4694559.0954046138</v>
      </c>
      <c r="F11" s="1">
        <f t="shared" si="1"/>
        <v>4844784.9864575621</v>
      </c>
      <c r="G11" s="1">
        <f t="shared" si="1"/>
        <v>4999818.1060242048</v>
      </c>
      <c r="H11" s="1">
        <f t="shared" si="1"/>
        <v>5159812.2854169784</v>
      </c>
      <c r="I11" s="1">
        <f t="shared" si="1"/>
        <v>5324926.2785503212</v>
      </c>
      <c r="J11" s="1">
        <f t="shared" si="1"/>
        <v>5495323.9194639316</v>
      </c>
      <c r="K11" s="1">
        <f t="shared" si="1"/>
        <v>5671174.2848867783</v>
      </c>
      <c r="L11" s="1">
        <f t="shared" si="1"/>
        <v>5852651.8620031541</v>
      </c>
      <c r="M11" s="1">
        <f t="shared" si="1"/>
        <v>6039936.7215872547</v>
      </c>
      <c r="N11" s="1">
        <f t="shared" si="1"/>
        <v>6233214.696678048</v>
      </c>
      <c r="O11" s="1">
        <f t="shared" si="1"/>
        <v>6432677.5669717453</v>
      </c>
      <c r="P11" s="1">
        <f t="shared" si="1"/>
        <v>6638523.2491148403</v>
      </c>
      <c r="Q11" s="1">
        <f t="shared" si="1"/>
        <v>6850955.9930865141</v>
      </c>
      <c r="R11" s="1">
        <f t="shared" si="1"/>
        <v>7070186.5848652842</v>
      </c>
      <c r="S11" s="1">
        <f t="shared" si="1"/>
        <v>7296432.5555809736</v>
      </c>
      <c r="T11" s="1">
        <f t="shared" si="1"/>
        <v>7529918.397359564</v>
      </c>
      <c r="U11" s="1">
        <f t="shared" si="1"/>
        <v>7770875.7860750696</v>
      </c>
      <c r="V11" s="1">
        <f t="shared" si="1"/>
        <v>8019543.811229472</v>
      </c>
      <c r="W11" s="1">
        <f t="shared" si="1"/>
        <v>8276169.2131888168</v>
      </c>
      <c r="X11" s="1">
        <f t="shared" si="1"/>
        <v>8541006.6280108579</v>
      </c>
      <c r="Y11" s="1">
        <f t="shared" si="1"/>
        <v>8814318.8401072044</v>
      </c>
      <c r="Z11" s="1">
        <f t="shared" si="1"/>
        <v>9096377.0429906342</v>
      </c>
      <c r="AA11" s="1">
        <f t="shared" si="1"/>
        <v>9387461.1083663367</v>
      </c>
      <c r="AB11" s="1">
        <f t="shared" si="1"/>
        <v>9687859.8638340589</v>
      </c>
      <c r="AC11" s="1">
        <f t="shared" si="1"/>
        <v>9997871.3794767465</v>
      </c>
      <c r="AD11" s="1">
        <f t="shared" si="1"/>
        <v>10317803.263620004</v>
      </c>
      <c r="AE11" s="1">
        <f t="shared" si="1"/>
        <v>10647972.968055844</v>
      </c>
      <c r="AF11" s="1">
        <f t="shared" si="1"/>
        <v>10988708.10303363</v>
      </c>
    </row>
    <row r="12" spans="1:32" x14ac:dyDescent="0.35">
      <c r="A12" t="s">
        <v>71</v>
      </c>
      <c r="C12" s="1">
        <f t="shared" ref="C12:R12" si="2">C6*C$9</f>
        <v>22748001.41512711</v>
      </c>
      <c r="D12" s="1">
        <f t="shared" si="2"/>
        <v>23475937.460411176</v>
      </c>
      <c r="E12" s="1">
        <f t="shared" si="2"/>
        <v>24227167.459144332</v>
      </c>
      <c r="F12" s="1">
        <f t="shared" si="2"/>
        <v>25002436.817836951</v>
      </c>
      <c r="G12" s="1">
        <f t="shared" si="2"/>
        <v>25802514.796007738</v>
      </c>
      <c r="H12" s="1">
        <f t="shared" si="2"/>
        <v>26628195.269479983</v>
      </c>
      <c r="I12" s="1">
        <f t="shared" si="2"/>
        <v>27480297.518103339</v>
      </c>
      <c r="J12" s="1">
        <f t="shared" si="2"/>
        <v>28359667.038682647</v>
      </c>
      <c r="K12" s="1">
        <f t="shared" si="2"/>
        <v>29267176.383920494</v>
      </c>
      <c r="L12" s="1">
        <f t="shared" si="2"/>
        <v>30203726.028205946</v>
      </c>
      <c r="M12" s="1">
        <f t="shared" si="2"/>
        <v>31170245.261108536</v>
      </c>
      <c r="N12" s="1">
        <f t="shared" si="2"/>
        <v>32167693.109464012</v>
      </c>
      <c r="O12" s="1">
        <f t="shared" si="2"/>
        <v>33197059.288966864</v>
      </c>
      <c r="P12" s="1">
        <f t="shared" si="2"/>
        <v>34259365.186213799</v>
      </c>
      <c r="Q12" s="1">
        <f t="shared" si="2"/>
        <v>35355664.872172631</v>
      </c>
      <c r="R12" s="1">
        <f t="shared" si="2"/>
        <v>36487046.148082167</v>
      </c>
      <c r="S12" s="1">
        <f t="shared" si="1"/>
        <v>37654631.624820799</v>
      </c>
      <c r="T12" s="1">
        <f t="shared" si="1"/>
        <v>38859579.836815059</v>
      </c>
      <c r="U12" s="1">
        <f t="shared" si="1"/>
        <v>40103086.391593136</v>
      </c>
      <c r="V12" s="1">
        <f t="shared" si="1"/>
        <v>41386385.156124122</v>
      </c>
      <c r="W12" s="1">
        <f t="shared" si="1"/>
        <v>42710749.481120095</v>
      </c>
      <c r="X12" s="1">
        <f t="shared" si="1"/>
        <v>44077493.464515932</v>
      </c>
      <c r="Y12" s="1">
        <f t="shared" si="1"/>
        <v>45487973.255380437</v>
      </c>
      <c r="Z12" s="1">
        <f t="shared" si="1"/>
        <v>46943588.399552613</v>
      </c>
      <c r="AA12" s="1">
        <f t="shared" si="1"/>
        <v>48445783.228338309</v>
      </c>
      <c r="AB12" s="1">
        <f t="shared" si="1"/>
        <v>49996048.291645125</v>
      </c>
      <c r="AC12" s="1">
        <f t="shared" si="1"/>
        <v>51595921.836977765</v>
      </c>
      <c r="AD12" s="1">
        <f t="shared" si="1"/>
        <v>53246991.335761063</v>
      </c>
      <c r="AE12" s="1">
        <f t="shared" si="1"/>
        <v>54950895.058505416</v>
      </c>
      <c r="AF12" s="1">
        <f t="shared" si="1"/>
        <v>56709323.700377576</v>
      </c>
    </row>
    <row r="13" spans="1:32" x14ac:dyDescent="0.35">
      <c r="A13" t="s">
        <v>74</v>
      </c>
      <c r="C13" s="1">
        <f>C7*C$9</f>
        <v>545952.03396305058</v>
      </c>
      <c r="D13" s="1">
        <f t="shared" si="1"/>
        <v>1126844.9980997364</v>
      </c>
      <c r="E13" s="1">
        <f t="shared" si="1"/>
        <v>1744356.0570583919</v>
      </c>
      <c r="F13" s="1">
        <f t="shared" si="1"/>
        <v>2400233.9345123474</v>
      </c>
      <c r="G13" s="1">
        <f t="shared" si="1"/>
        <v>3096301.7755209287</v>
      </c>
      <c r="H13" s="1">
        <f t="shared" si="1"/>
        <v>3834460.1188051174</v>
      </c>
      <c r="I13" s="1">
        <f t="shared" si="1"/>
        <v>4616689.983041361</v>
      </c>
      <c r="J13" s="1">
        <f t="shared" si="1"/>
        <v>5445056.0714270677</v>
      </c>
      <c r="K13" s="1">
        <f t="shared" si="1"/>
        <v>6321710.0989268264</v>
      </c>
      <c r="L13" s="1">
        <f t="shared" si="1"/>
        <v>7248894.2467694264</v>
      </c>
      <c r="M13" s="1">
        <f t="shared" si="1"/>
        <v>8228944.7489326522</v>
      </c>
      <c r="N13" s="1">
        <f t="shared" si="1"/>
        <v>9264295.6155256331</v>
      </c>
      <c r="O13" s="1">
        <f t="shared" si="1"/>
        <v>10357482.49815766</v>
      </c>
      <c r="P13" s="1">
        <f t="shared" si="1"/>
        <v>11511146.702567834</v>
      </c>
      <c r="Q13" s="1">
        <f t="shared" si="1"/>
        <v>12728039.353982145</v>
      </c>
      <c r="R13" s="1">
        <f t="shared" si="1"/>
        <v>14011025.720863547</v>
      </c>
      <c r="S13" s="1">
        <f t="shared" si="1"/>
        <v>15363089.702926882</v>
      </c>
      <c r="T13" s="1">
        <f t="shared" si="1"/>
        <v>16787338.489504099</v>
      </c>
      <c r="U13" s="1">
        <f t="shared" si="1"/>
        <v>18287007.394566465</v>
      </c>
      <c r="V13" s="1">
        <f t="shared" si="1"/>
        <v>19865464.874939572</v>
      </c>
      <c r="W13" s="1">
        <f t="shared" si="1"/>
        <v>21526217.73848452</v>
      </c>
      <c r="X13" s="1">
        <f t="shared" si="1"/>
        <v>23272916.549264405</v>
      </c>
      <c r="Y13" s="1">
        <f t="shared" si="1"/>
        <v>25109361.236969993</v>
      </c>
      <c r="Z13" s="1">
        <f t="shared" si="1"/>
        <v>27039506.918142296</v>
      </c>
      <c r="AA13" s="1">
        <f t="shared" si="1"/>
        <v>29067469.937002979</v>
      </c>
      <c r="AB13" s="1">
        <f t="shared" si="1"/>
        <v>31197534.133986555</v>
      </c>
      <c r="AC13" s="1">
        <f t="shared" si="1"/>
        <v>33434157.350361593</v>
      </c>
      <c r="AD13" s="1">
        <f t="shared" si="1"/>
        <v>35781978.17763143</v>
      </c>
      <c r="AE13" s="1">
        <f t="shared" si="1"/>
        <v>38245822.960719772</v>
      </c>
      <c r="AF13" s="1">
        <f t="shared" si="1"/>
        <v>40830713.064271867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27701890.824590255</v>
      </c>
      <c r="D25" s="40">
        <f>SUM(D11:D13,D18:D23)</f>
        <v>29151773.830027014</v>
      </c>
      <c r="E25" s="40">
        <f t="shared" ref="E25:AF25" si="7">SUM(E11:E13,E18:E23)</f>
        <v>30666082.611607336</v>
      </c>
      <c r="F25" s="40">
        <f t="shared" si="7"/>
        <v>32247455.738806859</v>
      </c>
      <c r="G25" s="40">
        <f t="shared" si="7"/>
        <v>33898634.677552871</v>
      </c>
      <c r="H25" s="40">
        <f t="shared" si="7"/>
        <v>35622467.673702076</v>
      </c>
      <c r="I25" s="40">
        <f t="shared" si="7"/>
        <v>37421913.779695019</v>
      </c>
      <c r="J25" s="40">
        <f t="shared" si="7"/>
        <v>39300047.029573649</v>
      </c>
      <c r="K25" s="40">
        <f t="shared" si="7"/>
        <v>41260060.767734103</v>
      </c>
      <c r="L25" s="40">
        <f t="shared" si="7"/>
        <v>43305272.136978529</v>
      </c>
      <c r="M25" s="40">
        <f t="shared" si="7"/>
        <v>45439126.73162844</v>
      </c>
      <c r="N25" s="40">
        <f t="shared" si="7"/>
        <v>47665203.421667695</v>
      </c>
      <c r="O25" s="40">
        <f t="shared" si="7"/>
        <v>49987219.354096271</v>
      </c>
      <c r="P25" s="40">
        <f t="shared" si="7"/>
        <v>52409035.137896478</v>
      </c>
      <c r="Q25" s="40">
        <f t="shared" si="7"/>
        <v>54934660.219241291</v>
      </c>
      <c r="R25" s="40">
        <f t="shared" si="7"/>
        <v>57568258.453811005</v>
      </c>
      <c r="S25" s="40">
        <f t="shared" si="7"/>
        <v>60314153.883328654</v>
      </c>
      <c r="T25" s="40">
        <f t="shared" si="7"/>
        <v>63176836.723678723</v>
      </c>
      <c r="U25" s="40">
        <f t="shared" si="7"/>
        <v>66160969.572234675</v>
      </c>
      <c r="V25" s="40">
        <f t="shared" si="7"/>
        <v>69271393.842293173</v>
      </c>
      <c r="W25" s="40">
        <f t="shared" si="7"/>
        <v>72513136.432793438</v>
      </c>
      <c r="X25" s="40">
        <f t="shared" si="7"/>
        <v>75891416.641791195</v>
      </c>
      <c r="Y25" s="40">
        <f t="shared" si="7"/>
        <v>79411653.332457632</v>
      </c>
      <c r="Z25" s="40">
        <f t="shared" si="7"/>
        <v>83079472.360685542</v>
      </c>
      <c r="AA25" s="40">
        <f t="shared" si="7"/>
        <v>86900714.273707628</v>
      </c>
      <c r="AB25" s="40">
        <f t="shared" si="7"/>
        <v>90881442.28946574</v>
      </c>
      <c r="AC25" s="40">
        <f t="shared" si="7"/>
        <v>95027950.566816106</v>
      </c>
      <c r="AD25" s="40">
        <f t="shared" si="7"/>
        <v>99346772.777012497</v>
      </c>
      <c r="AE25" s="40">
        <f t="shared" si="7"/>
        <v>103844690.98728102</v>
      </c>
      <c r="AF25" s="40">
        <f t="shared" si="7"/>
        <v>108528744.86768307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18727120.742627718</v>
      </c>
      <c r="D5" s="59">
        <f>C5*('Price and Financial ratios'!F4+1)*(1+Assumptions!$C$13)</f>
        <v>26492298.784480836</v>
      </c>
      <c r="E5" s="59">
        <f>D5*('Price and Financial ratios'!G4+1)*(1+Assumptions!$C$13)</f>
        <v>30784923.801596779</v>
      </c>
      <c r="F5" s="59">
        <f>E5*('Price and Financial ratios'!H4+1)*(1+Assumptions!$C$13)</f>
        <v>35773095.463700891</v>
      </c>
      <c r="G5" s="59">
        <f>F5*('Price and Financial ratios'!I4+1)*(1+Assumptions!$C$13)</f>
        <v>39039196.918674409</v>
      </c>
      <c r="H5" s="59">
        <f>G5*('Price and Financial ratios'!J4+1)*(1+Assumptions!$C$13)</f>
        <v>41814541.452890478</v>
      </c>
      <c r="I5" s="59">
        <f>H5*('Price and Financial ratios'!K4+1)*(1+Assumptions!$C$13)</f>
        <v>44787188.644219317</v>
      </c>
      <c r="J5" s="59">
        <f>I5*('Price and Financial ratios'!L4+1)*(1+Assumptions!$C$13)</f>
        <v>47518606.821072303</v>
      </c>
      <c r="K5" s="59">
        <f>J5*('Price and Financial ratios'!M4+1)*(1+Assumptions!$C$13)</f>
        <v>50416604.894603088</v>
      </c>
      <c r="L5" s="59">
        <f>K5*('Price and Financial ratios'!N4+1)*(1+Assumptions!$C$13)</f>
        <v>53491342.005661033</v>
      </c>
      <c r="M5" s="59">
        <f>L5*('Price and Financial ratios'!O4+1)*(1+Assumptions!$C$13)</f>
        <v>56753596.866513535</v>
      </c>
      <c r="N5" s="59">
        <f>M5*('Price and Financial ratios'!P4+1)*(1+Assumptions!$C$13)</f>
        <v>60214805.546397708</v>
      </c>
      <c r="O5" s="59">
        <f>N5*('Price and Financial ratios'!Q4+1)*(1+Assumptions!$C$13)</f>
        <v>63887101.561484315</v>
      </c>
      <c r="P5" s="59">
        <f>O5*('Price and Financial ratios'!R4+1)*(1+Assumptions!$C$13)</f>
        <v>67783358.409792066</v>
      </c>
      <c r="Q5" s="59">
        <f>P5*('Price and Financial ratios'!S4+1)*(1+Assumptions!$C$13)</f>
        <v>71917234.700161621</v>
      </c>
      <c r="R5" s="59">
        <f>Q5*('Price and Financial ratios'!T4+1)*(1+Assumptions!$C$13)</f>
        <v>76303222.033491999</v>
      </c>
      <c r="S5" s="59">
        <f>R5*('Price and Financial ratios'!U4+1)*(1+Assumptions!$C$13)</f>
        <v>80956695.804090664</v>
      </c>
      <c r="T5" s="59">
        <f>S5*('Price and Financial ratios'!V4+1)*(1+Assumptions!$C$13)</f>
        <v>85893969.099225074</v>
      </c>
      <c r="U5" s="59">
        <f>T5*('Price and Financial ratios'!W4+1)*(1+Assumptions!$C$13)</f>
        <v>91132349.885824263</v>
      </c>
      <c r="V5" s="59">
        <f>U5*('Price and Financial ratios'!X4+1)*(1+Assumptions!$C$13)</f>
        <v>96690201.68480283</v>
      </c>
      <c r="W5" s="59">
        <f>V5*('Price and Financial ratios'!Y4+1)*(1+Assumptions!$C$13)</f>
        <v>102587007.94570528</v>
      </c>
      <c r="X5" s="59">
        <f>W5*('Price and Financial ratios'!Z4+1)*(1+Assumptions!$C$13)</f>
        <v>107806836.1535567</v>
      </c>
      <c r="Y5" s="59">
        <f>X5*('Price and Financial ratios'!AA4+1)*(1+Assumptions!$C$13)</f>
        <v>113292259.46029143</v>
      </c>
      <c r="Z5" s="59">
        <f>Y5*('Price and Financial ratios'!AB4+1)*(1+Assumptions!$C$13)</f>
        <v>119056791.86555503</v>
      </c>
      <c r="AA5" s="59">
        <f>Z5*('Price and Financial ratios'!AC4+1)*(1+Assumptions!$C$13)</f>
        <v>124513122.31959465</v>
      </c>
      <c r="AB5" s="59">
        <f>AA5*('Price and Financial ratios'!AD4+1)*(1+Assumptions!$C$13)</f>
        <v>128583907.0309756</v>
      </c>
      <c r="AC5" s="59">
        <f>AB5*('Price and Financial ratios'!AE4+1)*(1+Assumptions!$C$13)</f>
        <v>132787780.43098392</v>
      </c>
      <c r="AD5" s="59">
        <f>AC5*('Price and Financial ratios'!AF4+1)*(1+Assumptions!$C$13)</f>
        <v>137129093.67063749</v>
      </c>
      <c r="AE5" s="59">
        <f>AD5*('Price and Financial ratios'!AG4+1)*(1+Assumptions!$C$13)</f>
        <v>141612340.15583232</v>
      </c>
      <c r="AF5" s="59">
        <f>AE5*('Price and Financial ratios'!AH4+1)*(1+Assumptions!$C$13)</f>
        <v>146242160.1981695</v>
      </c>
    </row>
    <row r="6" spans="1:32" s="11" customFormat="1" x14ac:dyDescent="0.35">
      <c r="A6" s="11" t="s">
        <v>20</v>
      </c>
      <c r="C6" s="59">
        <f>C27</f>
        <v>5221326.3258542754</v>
      </c>
      <c r="D6" s="59">
        <f t="shared" ref="D6:AF6" si="1">D27</f>
        <v>6075498.7959022559</v>
      </c>
      <c r="E6" s="59">
        <f>E27</f>
        <v>6965247.5264627151</v>
      </c>
      <c r="F6" s="59">
        <f t="shared" si="1"/>
        <v>7891741.447462786</v>
      </c>
      <c r="G6" s="59">
        <f t="shared" si="1"/>
        <v>8856184.2584297229</v>
      </c>
      <c r="H6" s="59">
        <f t="shared" si="1"/>
        <v>9859815.4107555896</v>
      </c>
      <c r="I6" s="59">
        <f t="shared" si="1"/>
        <v>10903911.116946958</v>
      </c>
      <c r="J6" s="59">
        <f t="shared" si="1"/>
        <v>11989785.38759096</v>
      </c>
      <c r="K6" s="59">
        <f t="shared" si="1"/>
        <v>13118791.096788798</v>
      </c>
      <c r="L6" s="59">
        <f t="shared" si="1"/>
        <v>14292321.07682809</v>
      </c>
      <c r="M6" s="59">
        <f t="shared" si="1"/>
        <v>15511809.242886271</v>
      </c>
      <c r="N6" s="59">
        <f t="shared" si="1"/>
        <v>16778731.74857866</v>
      </c>
      <c r="O6" s="59">
        <f t="shared" si="1"/>
        <v>18094608.173186842</v>
      </c>
      <c r="P6" s="59">
        <f t="shared" si="1"/>
        <v>19461002.741425518</v>
      </c>
      <c r="Q6" s="59">
        <f t="shared" si="1"/>
        <v>20879525.576629277</v>
      </c>
      <c r="R6" s="59">
        <f t="shared" si="1"/>
        <v>22351833.988264441</v>
      </c>
      <c r="S6" s="59">
        <f t="shared" si="1"/>
        <v>23879633.794695713</v>
      </c>
      <c r="T6" s="59">
        <f t="shared" si="1"/>
        <v>25464680.682162512</v>
      </c>
      <c r="U6" s="59">
        <f t="shared" si="1"/>
        <v>27108781.60094557</v>
      </c>
      <c r="V6" s="59">
        <f t="shared" si="1"/>
        <v>28813796.199731041</v>
      </c>
      <c r="W6" s="59">
        <f t="shared" si="1"/>
        <v>30581638.299206566</v>
      </c>
      <c r="X6" s="59">
        <f t="shared" si="1"/>
        <v>32414277.405951709</v>
      </c>
      <c r="Y6" s="59">
        <f t="shared" si="1"/>
        <v>34313740.267713934</v>
      </c>
      <c r="Z6" s="59">
        <f t="shared" si="1"/>
        <v>36282112.471190937</v>
      </c>
      <c r="AA6" s="59">
        <f t="shared" si="1"/>
        <v>38321540.083470233</v>
      </c>
      <c r="AB6" s="59">
        <f t="shared" si="1"/>
        <v>40434231.338308498</v>
      </c>
      <c r="AC6" s="59">
        <f t="shared" si="1"/>
        <v>42622458.368464611</v>
      </c>
      <c r="AD6" s="59">
        <f t="shared" si="1"/>
        <v>44888558.985333912</v>
      </c>
      <c r="AE6" s="59">
        <f t="shared" si="1"/>
        <v>47234938.507164225</v>
      </c>
      <c r="AF6" s="59">
        <f t="shared" si="1"/>
        <v>49664071.637169719</v>
      </c>
    </row>
    <row r="7" spans="1:32" x14ac:dyDescent="0.35">
      <c r="A7" t="s">
        <v>21</v>
      </c>
      <c r="C7" s="4">
        <f>Depreciation!C8+Depreciation!C9</f>
        <v>4953889.4094631467</v>
      </c>
      <c r="D7" s="4">
        <f>Depreciation!D8+Depreciation!D9</f>
        <v>5675836.3696158361</v>
      </c>
      <c r="E7" s="4">
        <f>Depreciation!E8+Depreciation!E9</f>
        <v>6438915.1524630059</v>
      </c>
      <c r="F7" s="4">
        <f>Depreciation!F8+Depreciation!F9</f>
        <v>7245018.9209699091</v>
      </c>
      <c r="G7" s="4">
        <f>Depreciation!G8+Depreciation!G9</f>
        <v>8096119.8815451339</v>
      </c>
      <c r="H7" s="4">
        <f>Depreciation!H8+Depreciation!H9</f>
        <v>8994272.4042220954</v>
      </c>
      <c r="I7" s="4">
        <f>Depreciation!I8+Depreciation!I9</f>
        <v>9941616.2615916822</v>
      </c>
      <c r="J7" s="4">
        <f>Depreciation!J8+Depreciation!J9</f>
        <v>10940379.990890998</v>
      </c>
      <c r="K7" s="4">
        <f>Depreciation!K8+Depreciation!K9</f>
        <v>11992884.383813605</v>
      </c>
      <c r="L7" s="4">
        <f>Depreciation!L8+Depreciation!L9</f>
        <v>13101546.10877258</v>
      </c>
      <c r="M7" s="4">
        <f>Depreciation!M8+Depreciation!M9</f>
        <v>14268881.470519908</v>
      </c>
      <c r="N7" s="4">
        <f>Depreciation!N8+Depreciation!N9</f>
        <v>15497510.312203681</v>
      </c>
      <c r="O7" s="4">
        <f>Depreciation!O8+Depreciation!O9</f>
        <v>16790160.065129407</v>
      </c>
      <c r="P7" s="4">
        <f>Depreciation!P8+Depreciation!P9</f>
        <v>18149669.951682676</v>
      </c>
      <c r="Q7" s="4">
        <f>Depreciation!Q8+Depreciation!Q9</f>
        <v>19578995.34706866</v>
      </c>
      <c r="R7" s="4">
        <f>Depreciation!R8+Depreciation!R9</f>
        <v>21081212.30572883</v>
      </c>
      <c r="S7" s="4">
        <f>Depreciation!S8+Depreciation!S9</f>
        <v>22659522.258507855</v>
      </c>
      <c r="T7" s="4">
        <f>Depreciation!T8+Depreciation!T9</f>
        <v>24317256.886863664</v>
      </c>
      <c r="U7" s="4">
        <f>Depreciation!U8+Depreciation!U9</f>
        <v>26057883.180641536</v>
      </c>
      <c r="V7" s="4">
        <f>Depreciation!V8+Depreciation!V9</f>
        <v>27885008.686169043</v>
      </c>
      <c r="W7" s="4">
        <f>Depreciation!W8+Depreciation!W9</f>
        <v>29802386.951673336</v>
      </c>
      <c r="X7" s="4">
        <f>Depreciation!X8+Depreciation!X9</f>
        <v>31813923.177275263</v>
      </c>
      <c r="Y7" s="4">
        <f>Depreciation!Y8+Depreciation!Y9</f>
        <v>33923680.077077195</v>
      </c>
      <c r="Z7" s="4">
        <f>Depreciation!Z8+Depreciation!Z9</f>
        <v>36135883.961132929</v>
      </c>
      <c r="AA7" s="4">
        <f>Depreciation!AA8+Depreciation!AA9</f>
        <v>38454931.045369312</v>
      </c>
      <c r="AB7" s="4">
        <f>Depreciation!AB8+Depreciation!AB9</f>
        <v>40885393.997820616</v>
      </c>
      <c r="AC7" s="4">
        <f>Depreciation!AC8+Depreciation!AC9</f>
        <v>43432028.729838341</v>
      </c>
      <c r="AD7" s="4">
        <f>Depreciation!AD8+Depreciation!AD9</f>
        <v>46099781.441251434</v>
      </c>
      <c r="AE7" s="4">
        <f>Depreciation!AE8+Depreciation!AE9</f>
        <v>48893795.928775616</v>
      </c>
      <c r="AF7" s="4">
        <f>Depreciation!AF8+Depreciation!AF9</f>
        <v>51819421.167305499</v>
      </c>
    </row>
    <row r="8" spans="1:32" x14ac:dyDescent="0.35">
      <c r="A8" t="s">
        <v>6</v>
      </c>
      <c r="C8" s="4">
        <f ca="1">'Debt worksheet'!C8</f>
        <v>2241998.3153094184</v>
      </c>
      <c r="D8" s="4">
        <f ca="1">'Debt worksheet'!D8</f>
        <v>2640126.8391296514</v>
      </c>
      <c r="E8" s="4">
        <f ca="1">'Debt worksheet'!E8</f>
        <v>2984197.9905763892</v>
      </c>
      <c r="F8" s="4">
        <f ca="1">'Debt worksheet'!F8</f>
        <v>3250789.1718821716</v>
      </c>
      <c r="G8" s="4">
        <f ca="1">'Debt worksheet'!G8</f>
        <v>3503456.9352206816</v>
      </c>
      <c r="H8" s="4">
        <f ca="1">'Debt worksheet'!H8</f>
        <v>3763552.2200264591</v>
      </c>
      <c r="I8" s="4">
        <f ca="1">'Debt worksheet'!I8</f>
        <v>4028398.4340531114</v>
      </c>
      <c r="J8" s="4">
        <f ca="1">'Debt worksheet'!J8</f>
        <v>4311286.3522449136</v>
      </c>
      <c r="K8" s="4">
        <f ca="1">'Debt worksheet'!K8</f>
        <v>4611362.6903545149</v>
      </c>
      <c r="L8" s="4">
        <f ca="1">'Debt worksheet'!L8</f>
        <v>4927545.5778648816</v>
      </c>
      <c r="M8" s="4">
        <f ca="1">'Debt worksheet'!M8</f>
        <v>5258499.9447097648</v>
      </c>
      <c r="N8" s="4">
        <f ca="1">'Debt worksheet'!N8</f>
        <v>5602610.861704112</v>
      </c>
      <c r="O8" s="4">
        <f ca="1">'Debt worksheet'!O8</f>
        <v>5957954.6844632849</v>
      </c>
      <c r="P8" s="4">
        <f ca="1">'Debt worksheet'!P8</f>
        <v>6322267.840307598</v>
      </c>
      <c r="Q8" s="4">
        <f ca="1">'Debt worksheet'!Q8</f>
        <v>6692913.086691617</v>
      </c>
      <c r="R8" s="4">
        <f ca="1">'Debt worksheet'!R8</f>
        <v>7066843.0580228372</v>
      </c>
      <c r="S8" s="4">
        <f ca="1">'Debt worksheet'!S8</f>
        <v>7440560.9052958731</v>
      </c>
      <c r="T8" s="4">
        <f ca="1">'Debt worksheet'!T8</f>
        <v>7810077.8197175525</v>
      </c>
      <c r="U8" s="4">
        <f ca="1">'Debt worksheet'!U8</f>
        <v>8170867.2173834331</v>
      </c>
      <c r="V8" s="4">
        <f ca="1">'Debt worksheet'!V8</f>
        <v>8517815.3470323123</v>
      </c>
      <c r="W8" s="4">
        <f ca="1">'Debt worksheet'!W8</f>
        <v>8845168.0668939147</v>
      </c>
      <c r="X8" s="4">
        <f ca="1">'Debt worksheet'!X8</f>
        <v>9184070.5628916379</v>
      </c>
      <c r="Y8" s="4">
        <f ca="1">'Debt worksheet'!Y8</f>
        <v>9532881.0961527899</v>
      </c>
      <c r="Z8" s="4">
        <f ca="1">'Debt worksheet'!Z8</f>
        <v>9889687.9274342395</v>
      </c>
      <c r="AA8" s="4">
        <f ca="1">'Debt worksheet'!AA8</f>
        <v>10274101.086787203</v>
      </c>
      <c r="AB8" s="4">
        <f ca="1">'Debt worksheet'!AB8</f>
        <v>10745816.495000161</v>
      </c>
      <c r="AC8" s="4">
        <f ca="1">'Debt worksheet'!AC8</f>
        <v>11311925.899119738</v>
      </c>
      <c r="AD8" s="4">
        <f ca="1">'Debt worksheet'!AD8</f>
        <v>11979942.209667927</v>
      </c>
      <c r="AE8" s="4">
        <f ca="1">'Debt worksheet'!AE8</f>
        <v>12757821.074113347</v>
      </c>
      <c r="AF8" s="4">
        <f ca="1">'Debt worksheet'!AF8</f>
        <v>13653983.466162965</v>
      </c>
    </row>
    <row r="9" spans="1:32" x14ac:dyDescent="0.35">
      <c r="A9" t="s">
        <v>22</v>
      </c>
      <c r="C9" s="4">
        <f ca="1">C5-C6-C7-C8</f>
        <v>6309906.6920008771</v>
      </c>
      <c r="D9" s="4">
        <f t="shared" ref="D9:AF9" ca="1" si="2">D5-D6-D7-D8</f>
        <v>12100836.779833093</v>
      </c>
      <c r="E9" s="4">
        <f t="shared" ca="1" si="2"/>
        <v>14396563.13209467</v>
      </c>
      <c r="F9" s="4">
        <f t="shared" ca="1" si="2"/>
        <v>17385545.923386026</v>
      </c>
      <c r="G9" s="4">
        <f t="shared" ca="1" si="2"/>
        <v>18583435.843478873</v>
      </c>
      <c r="H9" s="4">
        <f t="shared" ca="1" si="2"/>
        <v>19196901.417886335</v>
      </c>
      <c r="I9" s="4">
        <f t="shared" ca="1" si="2"/>
        <v>19913262.831627566</v>
      </c>
      <c r="J9" s="4">
        <f t="shared" ca="1" si="2"/>
        <v>20277155.090345431</v>
      </c>
      <c r="K9" s="4">
        <f t="shared" ca="1" si="2"/>
        <v>20693566.723646175</v>
      </c>
      <c r="L9" s="4">
        <f t="shared" ca="1" si="2"/>
        <v>21169929.24219548</v>
      </c>
      <c r="M9" s="4">
        <f t="shared" ca="1" si="2"/>
        <v>21714406.20839759</v>
      </c>
      <c r="N9" s="4">
        <f t="shared" ca="1" si="2"/>
        <v>22335952.623911254</v>
      </c>
      <c r="O9" s="4">
        <f t="shared" ca="1" si="2"/>
        <v>23044378.638704777</v>
      </c>
      <c r="P9" s="4">
        <f t="shared" ca="1" si="2"/>
        <v>23850417.876376279</v>
      </c>
      <c r="Q9" s="4">
        <f t="shared" ca="1" si="2"/>
        <v>24765800.689772062</v>
      </c>
      <c r="R9" s="4">
        <f t="shared" ca="1" si="2"/>
        <v>25803332.681475889</v>
      </c>
      <c r="S9" s="4">
        <f t="shared" ca="1" si="2"/>
        <v>26976978.845591225</v>
      </c>
      <c r="T9" s="4">
        <f t="shared" ca="1" si="2"/>
        <v>28301953.710481349</v>
      </c>
      <c r="U9" s="4">
        <f t="shared" ca="1" si="2"/>
        <v>29794817.886853721</v>
      </c>
      <c r="V9" s="4">
        <f t="shared" ca="1" si="2"/>
        <v>31473581.451870438</v>
      </c>
      <c r="W9" s="4">
        <f t="shared" ca="1" si="2"/>
        <v>33357814.627931461</v>
      </c>
      <c r="X9" s="4">
        <f t="shared" ca="1" si="2"/>
        <v>34394565.007438093</v>
      </c>
      <c r="Y9" s="4">
        <f t="shared" ca="1" si="2"/>
        <v>35521958.019347511</v>
      </c>
      <c r="Z9" s="4">
        <f t="shared" ca="1" si="2"/>
        <v>36749107.505796924</v>
      </c>
      <c r="AA9" s="4">
        <f t="shared" ca="1" si="2"/>
        <v>37462550.103967912</v>
      </c>
      <c r="AB9" s="4">
        <f t="shared" ca="1" si="2"/>
        <v>36518465.19984632</v>
      </c>
      <c r="AC9" s="4">
        <f t="shared" ca="1" si="2"/>
        <v>35421367.433561236</v>
      </c>
      <c r="AD9" s="4">
        <f t="shared" ca="1" si="2"/>
        <v>34160811.034384206</v>
      </c>
      <c r="AE9" s="4">
        <f t="shared" ca="1" si="2"/>
        <v>32725784.645779133</v>
      </c>
      <c r="AF9" s="4">
        <f t="shared" ca="1" si="2"/>
        <v>31104683.927531317</v>
      </c>
    </row>
    <row r="12" spans="1:32" x14ac:dyDescent="0.35">
      <c r="A12" t="s">
        <v>79</v>
      </c>
      <c r="C12" s="2">
        <f>Assumptions!$C$25*Assumptions!D9*Assumptions!D13</f>
        <v>4545499.0745095108</v>
      </c>
      <c r="D12" s="2">
        <f>Assumptions!$C$25*Assumptions!E9*Assumptions!E13</f>
        <v>4694107.8941535568</v>
      </c>
      <c r="E12" s="2">
        <f>Assumptions!$C$25*Assumptions!F9*Assumptions!F13</f>
        <v>4847575.2740819594</v>
      </c>
      <c r="F12" s="2">
        <f>Assumptions!$C$25*Assumptions!G9*Assumptions!G13</f>
        <v>5006060.0582186095</v>
      </c>
      <c r="G12" s="2">
        <f>Assumptions!$C$25*Assumptions!H9*Assumptions!H13</f>
        <v>5169726.2836702866</v>
      </c>
      <c r="H12" s="2">
        <f>Assumptions!$C$25*Assumptions!I9*Assumptions!I13</f>
        <v>5338743.3505106177</v>
      </c>
      <c r="I12" s="2">
        <f>Assumptions!$C$25*Assumptions!J9*Assumptions!J13</f>
        <v>5513286.19711487</v>
      </c>
      <c r="J12" s="2">
        <f>Assumptions!$C$25*Assumptions!K9*Assumptions!K13</f>
        <v>5693535.4812270803</v>
      </c>
      <c r="K12" s="2">
        <f>Assumptions!$C$25*Assumptions!L9*Assumptions!L13</f>
        <v>5879677.7669469267</v>
      </c>
      <c r="L12" s="2">
        <f>Assumptions!$C$25*Assumptions!M9*Assumptions!M13</f>
        <v>6071905.7178298784</v>
      </c>
      <c r="M12" s="2">
        <f>Assumptions!$C$25*Assumptions!N9*Assumptions!N13</f>
        <v>6270418.2963004829</v>
      </c>
      <c r="N12" s="2">
        <f>Assumptions!$C$25*Assumptions!O9*Assumptions!O13</f>
        <v>6475420.969585197</v>
      </c>
      <c r="O12" s="2">
        <f>Assumptions!$C$25*Assumptions!P9*Assumptions!P13</f>
        <v>6687125.9223779095</v>
      </c>
      <c r="P12" s="2">
        <f>Assumptions!$C$25*Assumptions!Q9*Assumptions!Q13</f>
        <v>6905752.2764582718</v>
      </c>
      <c r="Q12" s="2">
        <f>Assumptions!$C$25*Assumptions!R9*Assumptions!R13</f>
        <v>7131526.3174901428</v>
      </c>
      <c r="R12" s="2">
        <f>Assumptions!$C$25*Assumptions!S9*Assumptions!S13</f>
        <v>7364681.7292348975</v>
      </c>
      <c r="S12" s="2">
        <f>Assumptions!$C$25*Assumptions!T9*Assumptions!T13</f>
        <v>7605459.8354220074</v>
      </c>
      <c r="T12" s="2">
        <f>Assumptions!$C$25*Assumptions!U9*Assumptions!U13</f>
        <v>7854109.8495272724</v>
      </c>
      <c r="U12" s="2">
        <f>Assumptions!$C$25*Assumptions!V9*Assumptions!V13</f>
        <v>8110889.1327171754</v>
      </c>
      <c r="V12" s="2">
        <f>Assumptions!$C$25*Assumptions!W9*Assumptions!W13</f>
        <v>8376063.4602263905</v>
      </c>
      <c r="W12" s="2">
        <f>Assumptions!$C$25*Assumptions!X9*Assumptions!X13</f>
        <v>8649907.2964441255</v>
      </c>
      <c r="X12" s="2">
        <f>Assumptions!$C$25*Assumptions!Y9*Assumptions!Y13</f>
        <v>8932704.0789940562</v>
      </c>
      <c r="Y12" s="2">
        <f>Assumptions!$C$25*Assumptions!Z9*Assumptions!Z13</f>
        <v>9224746.5121018235</v>
      </c>
      <c r="Z12" s="2">
        <f>Assumptions!$C$25*Assumptions!AA9*Assumptions!AA13</f>
        <v>9526336.8695538063</v>
      </c>
      <c r="AA12" s="2">
        <f>Assumptions!$C$25*Assumptions!AB9*Assumptions!AB13</f>
        <v>9837787.3075607065</v>
      </c>
      <c r="AB12" s="2">
        <f>Assumptions!$C$25*Assumptions!AC9*Assumptions!AC13</f>
        <v>10159420.187849769</v>
      </c>
      <c r="AC12" s="2">
        <f>Assumptions!$C$25*Assumptions!AD9*Assumptions!AD13</f>
        <v>10491568.411320072</v>
      </c>
      <c r="AD12" s="2">
        <f>Assumptions!$C$25*Assumptions!AE9*Assumptions!AE13</f>
        <v>10834575.762606194</v>
      </c>
      <c r="AE12" s="2">
        <f>Assumptions!$C$25*Assumptions!AF9*Assumptions!AF13</f>
        <v>11188797.265906937</v>
      </c>
      <c r="AF12" s="2">
        <f>Assumptions!$C$25*Assumptions!AG9*Assumptions!AG13</f>
        <v>11554599.552447356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675827.25134476472</v>
      </c>
      <c r="D14" s="5">
        <f>Assumptions!E122*Assumptions!E9</f>
        <v>1381390.9017486991</v>
      </c>
      <c r="E14" s="5">
        <f>Assumptions!F122*Assumptions!F9</f>
        <v>2117672.2523807557</v>
      </c>
      <c r="F14" s="5">
        <f>Assumptions!G122*Assumptions!G9</f>
        <v>2885681.3892441764</v>
      </c>
      <c r="G14" s="5">
        <f>Assumptions!H122*Assumptions!H9</f>
        <v>3686457.9747594357</v>
      </c>
      <c r="H14" s="5">
        <f>Assumptions!I122*Assumptions!I9</f>
        <v>4521072.060244971</v>
      </c>
      <c r="I14" s="5">
        <f>Assumptions!J122*Assumptions!J9</f>
        <v>5390624.9198320881</v>
      </c>
      <c r="J14" s="5">
        <f>Assumptions!K122*Assumptions!K9</f>
        <v>6296249.9063638793</v>
      </c>
      <c r="K14" s="5">
        <f>Assumptions!L122*Assumptions!L9</f>
        <v>7239113.3298418699</v>
      </c>
      <c r="L14" s="5">
        <f>Assumptions!M122*Assumptions!M9</f>
        <v>8220415.358998212</v>
      </c>
      <c r="M14" s="5">
        <f>Assumptions!N122*Assumptions!N9</f>
        <v>9241390.9465857893</v>
      </c>
      <c r="N14" s="5">
        <f>Assumptions!O122*Assumptions!O9</f>
        <v>10303310.778993465</v>
      </c>
      <c r="O14" s="5">
        <f>Assumptions!P122*Assumptions!P9</f>
        <v>11407482.250808934</v>
      </c>
      <c r="P14" s="5">
        <f>Assumptions!Q122*Assumptions!Q9</f>
        <v>12555250.464967245</v>
      </c>
      <c r="Q14" s="5">
        <f>Assumptions!R122*Assumptions!R9</f>
        <v>13747999.259139135</v>
      </c>
      <c r="R14" s="5">
        <f>Assumptions!S122*Assumptions!S9</f>
        <v>14987152.259029543</v>
      </c>
      <c r="S14" s="5">
        <f>Assumptions!T122*Assumptions!T9</f>
        <v>16274173.959273703</v>
      </c>
      <c r="T14" s="5">
        <f>Assumptions!U122*Assumptions!U9</f>
        <v>17610570.832635239</v>
      </c>
      <c r="U14" s="5">
        <f>Assumptions!V122*Assumptions!V9</f>
        <v>18997892.468228392</v>
      </c>
      <c r="V14" s="5">
        <f>Assumptions!W122*Assumptions!W9</f>
        <v>20437732.73950465</v>
      </c>
      <c r="W14" s="5">
        <f>Assumptions!X122*Assumptions!X9</f>
        <v>21931731.002762441</v>
      </c>
      <c r="X14" s="5">
        <f>Assumptions!Y122*Assumptions!Y9</f>
        <v>23481573.32695765</v>
      </c>
      <c r="Y14" s="5">
        <f>Assumptions!Z122*Assumptions!Z9</f>
        <v>25088993.755612113</v>
      </c>
      <c r="Z14" s="5">
        <f>Assumptions!AA122*Assumptions!AA9</f>
        <v>26755775.601637129</v>
      </c>
      <c r="AA14" s="5">
        <f>Assumptions!AB122*Assumptions!AB9</f>
        <v>28483752.775909528</v>
      </c>
      <c r="AB14" s="5">
        <f>Assumptions!AC122*Assumptions!AC9</f>
        <v>30274811.150458727</v>
      </c>
      <c r="AC14" s="5">
        <f>Assumptions!AD122*Assumptions!AD9</f>
        <v>32130889.95714454</v>
      </c>
      <c r="AD14" s="5">
        <f>Assumptions!AE122*Assumptions!AE9</f>
        <v>34053983.222727716</v>
      </c>
      <c r="AE14" s="5">
        <f>Assumptions!AF122*Assumptions!AF9</f>
        <v>36046141.241257288</v>
      </c>
      <c r="AF14" s="5">
        <f>Assumptions!AG122*Assumptions!AG9</f>
        <v>38109472.084722362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5221326.3258542754</v>
      </c>
      <c r="D27" s="2">
        <f t="shared" ref="D27:AF27" si="8">D12+D13+D14+D19+D20+D22+D24+D25</f>
        <v>6075498.7959022559</v>
      </c>
      <c r="E27" s="2">
        <f t="shared" si="8"/>
        <v>6965247.5264627151</v>
      </c>
      <c r="F27" s="2">
        <f t="shared" si="8"/>
        <v>7891741.447462786</v>
      </c>
      <c r="G27" s="2">
        <f t="shared" si="8"/>
        <v>8856184.2584297229</v>
      </c>
      <c r="H27" s="2">
        <f t="shared" si="8"/>
        <v>9859815.4107555896</v>
      </c>
      <c r="I27" s="2">
        <f t="shared" si="8"/>
        <v>10903911.116946958</v>
      </c>
      <c r="J27" s="2">
        <f t="shared" si="8"/>
        <v>11989785.38759096</v>
      </c>
      <c r="K27" s="2">
        <f t="shared" si="8"/>
        <v>13118791.096788798</v>
      </c>
      <c r="L27" s="2">
        <f t="shared" si="8"/>
        <v>14292321.07682809</v>
      </c>
      <c r="M27" s="2">
        <f t="shared" si="8"/>
        <v>15511809.242886271</v>
      </c>
      <c r="N27" s="2">
        <f t="shared" si="8"/>
        <v>16778731.74857866</v>
      </c>
      <c r="O27" s="2">
        <f t="shared" si="8"/>
        <v>18094608.173186842</v>
      </c>
      <c r="P27" s="2">
        <f t="shared" si="8"/>
        <v>19461002.741425518</v>
      </c>
      <c r="Q27" s="2">
        <f t="shared" si="8"/>
        <v>20879525.576629277</v>
      </c>
      <c r="R27" s="2">
        <f t="shared" si="8"/>
        <v>22351833.988264441</v>
      </c>
      <c r="S27" s="2">
        <f t="shared" si="8"/>
        <v>23879633.794695713</v>
      </c>
      <c r="T27" s="2">
        <f t="shared" si="8"/>
        <v>25464680.682162512</v>
      </c>
      <c r="U27" s="2">
        <f t="shared" si="8"/>
        <v>27108781.60094557</v>
      </c>
      <c r="V27" s="2">
        <f t="shared" si="8"/>
        <v>28813796.199731041</v>
      </c>
      <c r="W27" s="2">
        <f t="shared" si="8"/>
        <v>30581638.299206566</v>
      </c>
      <c r="X27" s="2">
        <f t="shared" si="8"/>
        <v>32414277.405951709</v>
      </c>
      <c r="Y27" s="2">
        <f t="shared" si="8"/>
        <v>34313740.267713934</v>
      </c>
      <c r="Z27" s="2">
        <f t="shared" si="8"/>
        <v>36282112.471190937</v>
      </c>
      <c r="AA27" s="2">
        <f t="shared" si="8"/>
        <v>38321540.083470233</v>
      </c>
      <c r="AB27" s="2">
        <f t="shared" si="8"/>
        <v>40434231.338308498</v>
      </c>
      <c r="AC27" s="2">
        <f t="shared" si="8"/>
        <v>42622458.368464611</v>
      </c>
      <c r="AD27" s="2">
        <f t="shared" si="8"/>
        <v>44888558.985333912</v>
      </c>
      <c r="AE27" s="2">
        <f t="shared" si="8"/>
        <v>47234938.507164225</v>
      </c>
      <c r="AF27" s="2">
        <f t="shared" si="8"/>
        <v>49664071.637169719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3W2DU3RAJ5R2-1900874439-810</_dlc_DocId>
    <_dlc_DocIdUrl xmlns="f54e2983-00ce-40fc-8108-18f351fc47bf">
      <Url>https://dia.cohesion.net.nz/Sites/LGV/TWRP/CAE/_layouts/15/DocIdRedir.aspx?ID=3W2DU3RAJ5R2-1900874439-810</Url>
      <Description>3W2DU3RAJ5R2-1900874439-810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sharepoint/v3"/>
    <ds:schemaRef ds:uri="http://purl.org/dc/terms/"/>
    <ds:schemaRef ds:uri="http://schemas.microsoft.com/office/infopath/2007/PartnerControls"/>
    <ds:schemaRef ds:uri="http://purl.org/dc/elements/1.1/"/>
    <ds:schemaRef ds:uri="http://schemas.openxmlformats.org/package/2006/metadata/core-properties"/>
    <ds:schemaRef ds:uri="65b6d800-2dda-48d6-88d8-9e2b35e6f7ea"/>
    <ds:schemaRef ds:uri="http://www.w3.org/XML/1998/namespace"/>
    <ds:schemaRef ds:uri="08a23fc5-e034-477c-ac83-93bc1440f32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BC8C8279-A903-492A-A376-F2342A42F8DA}"/>
</file>

<file path=customXml/itemProps4.xml><?xml version="1.0" encoding="utf-8"?>
<ds:datastoreItem xmlns:ds="http://schemas.openxmlformats.org/officeDocument/2006/customXml" ds:itemID="{49C5950D-D4AF-4F11-9A17-E2CE8CE19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2021-07-02T08:59:58Z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3cfe3469-2ce5-44c0-9e77-6618ad26130d</vt:lpwstr>
  </property>
</Properties>
</file>