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4" documentId="8_{A265580B-725A-4F3E-9574-E29CA6BE158D}" xr6:coauthVersionLast="47" xr6:coauthVersionMax="47" xr10:uidLastSave="{6B3EA2FF-E0FA-4286-8AD5-8F806D8F2E51}"/>
  <bookViews>
    <workbookView xWindow="2070" yWindow="266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D23" i="2"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<sst xmlns="http://schemas.openxmlformats.org/spreadsheetml/2006/main" count="278" uniqueCount="206">
  <si>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</si>
  <si>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</si>
  <si>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</si>
  <si>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</si>
  <si>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</si>
  <si>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</si>
  <si>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</si>
  <si>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</si>
  <si>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</si>
  <si>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</si>
  <si>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</si>
  <si>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</si>
  <si>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</si>
  <si>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</si>
  <si>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</si>
  <si>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</si>
  <si>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</si>
  <si>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</si>
  <si>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</si>
  <si>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</si>
  <si>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</si>
  <si>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</si>
  <si>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</si>
  <si>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</si>
  <si>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</si>
  <si>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</si>
  <si>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</si>
  <si>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</si>
  <si>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</si>
  <si>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</si>
  <si>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</si>
  <si>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</si>
  <si>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</si>
  <si>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</si>
  <si>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</si>
  <si>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</si>
  <si>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</si>
  <si>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</si>
  <si>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</si>
  <si>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</si>
  <si>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</si>
  <si>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</si>
  <si>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</si>
  <si>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</si>
  <si>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</si>
  <si>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</si>
  <si>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</si>
  <si>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</si>
  <si>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</si>
  <si>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</si>
  <si>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</si>
  <si>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</si>
  <si>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</si>
  <si>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</si>
  <si>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</si>
  <si>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</si>
  <si>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</si>
  <si>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</si>
  <si>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</si>
  <si>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</si>
  <si>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</si>
  <si>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</si>
  <si>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</si>
  <si>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</si>
  <si>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</si>
  <si>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</si>
  <si>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</si>
  <si>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</si>
  <si>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</si>
  <si>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</si>
  <si>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</si>
  <si>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</si>
  <si>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</si>
  <si>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</si>
  <si>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</si>
  <si>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</si>
  <si>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</si>
  <si>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</si>
  <si>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</si>
  <si>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</si>
  <si>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</si>
  <si>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</si>
  <si>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</si>
  <si>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</si>
  <si>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</si>
  <si>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</si>
  <si>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</si>
  <si>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</si>
  <si>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</si>
  <si>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</si>
  <si>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</si>
  <si>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</si>
  <si>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</si>
  <si>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</si>
  <si>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</si>
  <si>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</si>
  <si>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</si>
  <si>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</si>
  <si>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</si>
  <si>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</si>
  <si>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</si>
  <si>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</si>
  <si>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</si>
  <si>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</si>
  <si>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</si>
  <si>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</si>
  <si>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</si>
  <si>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</si>
  <si>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</si>
  <si>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</si>
  <si>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</si>
  <si>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</si>
  <si>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</si>
  <si>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</si>
  <si>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</si>
  <si>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</si>
  <si>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</si>
  <si>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</si>
  <si>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</si>
  <si>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</si>
  <si>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</si>
  <si>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</si>
  <si>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</si>
  <si>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</si>
  <si>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</si>
  <si>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</si>
  <si>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</si>
  <si>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</si>
  <si>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</si>
  <si>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</si>
  <si>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</si>
  <si>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</si>
  <si>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</si>
  <si>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</si>
  <si>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</si>
  <si>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</si>
  <si>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</si>
  <si>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</si>
  <si>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</si>
  <si>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</si>
  <si>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</si>
  <si>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</si>
  <si>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</si>
  <si>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</si>
  <si>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</si>
  <si>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</si>
  <si>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</si>
  <si>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</si>
  <si>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</si>
  <si>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</si>
  <si>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</si>
  <si>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</si>
  <si>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</si>
  <si>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</si>
  <si>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</si>
  <si>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</si>
  <si>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</si>
  <si>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</si>
  <si>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</si>
  <si>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</si>
  <si>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</si>
  <si>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</si>
  <si>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</si>
  <si>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</si>
  <si>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</si>
  <si>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</si>
  <si>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</si>
  <si>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</si>
  <si>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</si>
  <si>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</si>
  <si>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</si>
  <si>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</si>
  <si>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</si>
  <si>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</si>
  <si>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</si>
  <si>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</si>
  <si>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</si>
  <si>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</si>
  <si>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</si>
  <si>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</si>
  <si>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</si>
  <si>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</si>
  <si>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</si>
  <si>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</si>
  <si>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</si>
  <si>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</si>
  <si>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</si>
  <si>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</si>
  <si>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</si>
  <si>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</si>
  <si>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</si>
  <si>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</si>
  <si>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</si>
  <si>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</si>
  <si>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</si>
  <si>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</si>
  <si>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</si>
  <si>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</si>
  <si>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Manawatu Stand-alone Council</t>
  </si>
  <si>
    <t>← FIS</t>
  </si>
  <si>
    <t>RFI Table F10; Lines F10.13 + F10.33 + F10.46 + F10.52 + F10.57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</si>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</sst>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0" xfId="0" applyFont="1" applyFill="1" applyBorder="1" applyAlignment="1">
      <alignment vertical="top" wrapText="1"/>
    </xf>
    <xf numFmtId="166" fontId="10" fillId="0" borderId="9" xfId="0" applyNumberFormat="1" applyFont="1" applyBorder="1" applyAlignment="1">
      <alignment vertical="top"/>
    </xf>
    <xf numFmtId="0" fontId="18" fillId="0" borderId="0" xfId="0" applyFont="1" applyAlignment="1">
      <alignment horizontal="left" vertical="center" wrapText="1"/>
    </xf>
    <xf numFmtId="0" fontId="0" fillId="0" borderId="0" xfId="0" applyAlignment="1">
      <alignment horizontal="left" vertical="center"/>
    </xf>
    <xf numFmtId="1"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381412319.29199994</v>
      </c>
      <c r="C6" s="12">
        <f ca="1">B6+Depreciation!C18+'Cash Flow'!C13</f>
        <v>391010479.34363943</v>
      </c>
      <c r="D6" s="1">
        <f ca="1">C6+Depreciation!D18</f>
        <v>426516021.50078332</v>
      </c>
      <c r="E6" s="1">
        <f ca="1">D6+Depreciation!E18</f>
        <v>463859798.40816641</v>
      </c>
      <c r="F6" s="1">
        <f ca="1">E6+Depreciation!F18</f>
        <v>503123099.414635</v>
      </c>
      <c r="G6" s="1">
        <f ca="1">F6+Depreciation!G18</f>
        <v>544390534.03497744</v>
      </c>
      <c r="H6" s="1">
        <f ca="1">G6+Depreciation!H18</f>
        <v>587750161.20025098</v>
      </c>
      <c r="I6" s="1">
        <f ca="1">H6+Depreciation!I18</f>
        <v>633293623.38028002</v>
      </c>
      <c r="J6" s="1">
        <f ca="1">I6+Depreciation!J18</f>
        <v>681116285.75779164</v>
      </c>
      <c r="K6" s="1">
        <f ca="1">J6+Depreciation!K18</f>
        <v>731317380.64015245</v>
      </c>
      <c r="L6" s="1">
        <f ca="1">K6+Depreciation!L18</f>
        <v>784000157.30139816</v>
      </c>
      <c r="M6" s="1">
        <f ca="1">L6+Depreciation!M18</f>
        <v>839272037.45421791</v>
      </c>
      <c r="N6" s="1">
        <f ca="1">M6+Depreciation!N18</f>
        <v>897244776.55877125</v>
      </c>
      <c r="O6" s="1">
        <f ca="1">N6+Depreciation!O18</f>
        <v>958034631.18269277</v>
      </c>
      <c r="P6" s="1">
        <f ca="1">O6+Depreciation!P18</f>
        <v>1021762532.6343788</v>
      </c>
      <c r="Q6" s="1">
        <f ca="1">P6+Depreciation!Q18</f>
        <v>1088554267.0996714</v>
      </c>
      <c r="R6" s="1">
        <f ca="1">Q6+Depreciation!R18</f>
        <v>1158540662.520355</v>
      </c>
      <c r="S6" s="1">
        <f ca="1">R6+Depreciation!S18</f>
        <v>1231857782.461482</v>
      </c>
      <c r="T6" s="1">
        <f ca="1">S6+Depreciation!T18</f>
        <v>1308647127.2234502</v>
      </c>
      <c r="U6" s="1">
        <f ca="1">T6+Depreciation!U18</f>
        <v>1389055842.4639735</v>
      </c>
      <c r="V6" s="1">
        <f ca="1">U6+Depreciation!V18</f>
        <v>1473236935.6046433</v>
      </c>
      <c r="W6" s="1">
        <f ca="1">V6+Depreciation!W18</f>
        <v>1561349500.3066628</v>
      </c>
      <c r="X6" s="1">
        <f ca="1">W6+Depreciation!X18</f>
        <v>1653558949.3105822</v>
      </c>
      <c r="Y6" s="1">
        <f ca="1">X6+Depreciation!Y18</f>
        <v>1750037255.9454682</v>
      </c>
      <c r="Z6" s="1">
        <f ca="1">Y6+Depreciation!Z18</f>
        <v>1850963204.6239228</v>
      </c>
      <c r="AA6" s="1">
        <f ca="1">Z6+Depreciation!AA18</f>
        <v>1956522650.6507401</v>
      </c>
      <c r="AB6" s="1">
        <f ca="1">AA6+Depreciation!AB18</f>
        <v>2066908789.6847687</v>
      </c>
      <c r="AC6" s="1">
        <f ca="1">AB6+Depreciation!AC18</f>
        <v>2182322437.2057385</v>
      </c>
      <c r="AD6" s="1">
        <f ca="1">AC6+Depreciation!AD18</f>
        <v>2302972318.3504429</v>
      </c>
      <c r="AE6" s="1">
        <f ca="1">AD6+Depreciation!AE18</f>
        <v>2429075368.4957395</v>
      </c>
      <c r="AF6" s="1"/>
      <c r="AG6" s="1"/>
      <c r="AH6" s="1"/>
      <c r="AI6" s="1"/>
      <c r="AJ6" s="1"/>
      <c r="AK6" s="1"/>
      <c r="AL6" s="1"/>
      <c r="AM6" s="1"/>
      <c r="AN6" s="1"/>
      <c r="AO6" s="1"/>
      <c r="AP6" s="1"/>
    </row>
    <row r="7" spans="1:42" x14ac:dyDescent="0.35">
      <c r="A7" t="s">
        <v>12</v>
      </c>
      <c r="B7" s="1">
        <f>Depreciation!C12</f>
        <v>196985145.27248046</v>
      </c>
      <c r="C7" s="1">
        <f>Depreciation!D12</f>
        <v>204145346.61847588</v>
      </c>
      <c r="D7" s="1">
        <f>Depreciation!E12</f>
        <v>212236731.8087537</v>
      </c>
      <c r="E7" s="1">
        <f>Depreciation!F12</f>
        <v>221311564.56316966</v>
      </c>
      <c r="F7" s="1">
        <f>Depreciation!G12</f>
        <v>231424499.94739377</v>
      </c>
      <c r="G7" s="1">
        <f>Depreciation!H12</f>
        <v>242632683.90099323</v>
      </c>
      <c r="H7" s="1">
        <f>Depreciation!I12</f>
        <v>254995856.68657461</v>
      </c>
      <c r="I7" s="1">
        <f>Depreciation!J12</f>
        <v>268576460.40901625</v>
      </c>
      <c r="J7" s="1">
        <f>Depreciation!K12</f>
        <v>283439750.75934488</v>
      </c>
      <c r="K7" s="1">
        <f>Depreciation!L12</f>
        <v>299653913.14353335</v>
      </c>
      <c r="L7" s="1">
        <f>Depreciation!M12</f>
        <v>317290183.36243004</v>
      </c>
      <c r="M7" s="1">
        <f>Depreciation!N12</f>
        <v>336422973.01517475</v>
      </c>
      <c r="N7" s="1">
        <f>Depreciation!O12</f>
        <v>357129999.80482972</v>
      </c>
      <c r="O7" s="1">
        <f>Depreciation!P12</f>
        <v>379492422.93155277</v>
      </c>
      <c r="P7" s="1">
        <f>Depreciation!Q12</f>
        <v>403594983.76548362</v>
      </c>
      <c r="Q7" s="1">
        <f>Depreciation!R12</f>
        <v>429526151.99860185</v>
      </c>
      <c r="R7" s="1">
        <f>Depreciation!S12</f>
        <v>457378277.48216146</v>
      </c>
      <c r="S7" s="1">
        <f>Depreciation!T12</f>
        <v>487247747.96392</v>
      </c>
      <c r="T7" s="1">
        <f>Depreciation!U12</f>
        <v>519235152.94726706</v>
      </c>
      <c r="U7" s="1">
        <f>Depreciation!V12</f>
        <v>553445453.90253091</v>
      </c>
      <c r="V7" s="1">
        <f>Depreciation!W12</f>
        <v>589988161.06921148</v>
      </c>
      <c r="W7" s="1">
        <f>Depreciation!X12</f>
        <v>628977517.09666109</v>
      </c>
      <c r="X7" s="1">
        <f>Depreciation!Y12</f>
        <v>670532687.77983022</v>
      </c>
      <c r="Y7" s="1">
        <f>Depreciation!Z12</f>
        <v>714777960.15611291</v>
      </c>
      <c r="Z7" s="1">
        <f>Depreciation!AA12</f>
        <v>761842948.23908889</v>
      </c>
      <c r="AA7" s="1">
        <f>Depreciation!AB12</f>
        <v>811862806.67507303</v>
      </c>
      <c r="AB7" s="1">
        <f>Depreciation!AC12</f>
        <v>864978452.6188612</v>
      </c>
      <c r="AC7" s="1">
        <f>Depreciation!AD12</f>
        <v>921336796.13591421</v>
      </c>
      <c r="AD7" s="1">
        <f>Depreciation!AE12</f>
        <v>981090979.44947445</v>
      </c>
      <c r="AE7" s="1">
        <f>Depreciation!AF12</f>
        <v>1044400625.3627571</v>
      </c>
      <c r="AF7" s="1"/>
      <c r="AG7" s="1"/>
      <c r="AH7" s="1"/>
      <c r="AI7" s="1"/>
      <c r="AJ7" s="1"/>
      <c r="AK7" s="1"/>
      <c r="AL7" s="1"/>
      <c r="AM7" s="1"/>
      <c r="AN7" s="1"/>
      <c r="AO7" s="1"/>
      <c r="AP7" s="1"/>
    </row>
    <row r="8" spans="1:42" x14ac:dyDescent="0.35">
      <c r="A8" t="s">
        <v>191</v>
      </c>
      <c r="B8" s="1">
        <f t="shared" ref="B8:AE8" si="1">B6-B7</f>
        <v>184427174.01951948</v>
      </c>
      <c r="C8" s="1">
        <f t="shared" ca="1" si="1"/>
        <v>186865132.72516355</v>
      </c>
      <c r="D8" s="1">
        <f ca="1">D6-D7</f>
        <v>214279289.69202963</v>
      </c>
      <c r="E8" s="1">
        <f t="shared" ca="1" si="1"/>
        <v>242548233.84499675</v>
      </c>
      <c r="F8" s="1">
        <f t="shared" ca="1" si="1"/>
        <v>271698599.46724123</v>
      </c>
      <c r="G8" s="1">
        <f t="shared" ca="1" si="1"/>
        <v>301757850.13398421</v>
      </c>
      <c r="H8" s="1">
        <f t="shared" ca="1" si="1"/>
        <v>332754304.5136764</v>
      </c>
      <c r="I8" s="1">
        <f t="shared" ca="1" si="1"/>
        <v>364717162.97126377</v>
      </c>
      <c r="J8" s="1">
        <f t="shared" ca="1" si="1"/>
        <v>397676534.99844676</v>
      </c>
      <c r="K8" s="1">
        <f t="shared" ca="1" si="1"/>
        <v>431663467.49661911</v>
      </c>
      <c r="L8" s="1">
        <f t="shared" ca="1" si="1"/>
        <v>466709973.93896812</v>
      </c>
      <c r="M8" s="1">
        <f t="shared" ca="1" si="1"/>
        <v>502849064.43904316</v>
      </c>
      <c r="N8" s="1">
        <f t="shared" ca="1" si="1"/>
        <v>540114776.75394154</v>
      </c>
      <c r="O8" s="1">
        <f t="shared" ca="1" si="1"/>
        <v>578542208.25114</v>
      </c>
      <c r="P8" s="1">
        <f t="shared" ca="1" si="1"/>
        <v>618167548.86889517</v>
      </c>
      <c r="Q8" s="1">
        <f t="shared" ca="1" si="1"/>
        <v>659028115.10106945</v>
      </c>
      <c r="R8" s="1">
        <f t="shared" ca="1" si="1"/>
        <v>701162385.03819346</v>
      </c>
      <c r="S8" s="1">
        <f t="shared" ca="1" si="1"/>
        <v>744610034.49756205</v>
      </c>
      <c r="T8" s="1">
        <f t="shared" ca="1" si="1"/>
        <v>789411974.27618313</v>
      </c>
      <c r="U8" s="1">
        <f t="shared" ca="1" si="1"/>
        <v>835610388.56144261</v>
      </c>
      <c r="V8" s="1">
        <f t="shared" ca="1" si="1"/>
        <v>883248774.53543186</v>
      </c>
      <c r="W8" s="1">
        <f t="shared" ca="1" si="1"/>
        <v>932371983.21000171</v>
      </c>
      <c r="X8" s="1">
        <f t="shared" ca="1" si="1"/>
        <v>983026261.53075194</v>
      </c>
      <c r="Y8" s="1">
        <f t="shared" ca="1" si="1"/>
        <v>1035259295.7893553</v>
      </c>
      <c r="Z8" s="1">
        <f t="shared" ca="1" si="1"/>
        <v>1089120256.3848338</v>
      </c>
      <c r="AA8" s="1">
        <f t="shared" ca="1" si="1"/>
        <v>1144659843.975667</v>
      </c>
      <c r="AB8" s="1">
        <f t="shared" ca="1" si="1"/>
        <v>1201930337.0659075</v>
      </c>
      <c r="AC8" s="1">
        <f t="shared" ca="1" si="1"/>
        <v>1260985641.0698242</v>
      </c>
      <c r="AD8" s="1">
        <f t="shared" ca="1" si="1"/>
        <v>1321881338.9009686</v>
      </c>
      <c r="AE8" s="1">
        <f t="shared" ca="1" si="1"/>
        <v>1384674743.1329823</v>
      </c>
      <c r="AF8" s="1"/>
      <c r="AG8" s="1"/>
      <c r="AH8" s="1"/>
      <c r="AI8" s="1"/>
      <c r="AJ8" s="1"/>
      <c r="AK8" s="1"/>
      <c r="AL8" s="1"/>
      <c r="AM8" s="1"/>
      <c r="AN8" s="1"/>
      <c r="AO8" s="1"/>
      <c r="AP8" s="1"/>
    </row>
    <row r="10" spans="1:42" x14ac:dyDescent="0.35">
      <c r="A10" t="s">
        <v>17</v>
      </c>
      <c r="B10" s="1">
        <f>B8-B11</f>
        <v>164750424.01951948</v>
      </c>
      <c r="C10" s="1">
        <f ca="1">C8-C11</f>
        <v>143041141.63564378</v>
      </c>
      <c r="D10" s="1">
        <f ca="1">D8-D11</f>
        <v>147634058.71357113</v>
      </c>
      <c r="E10" s="1">
        <f t="shared" ref="E10:AE10" ca="1" si="2">E8-E11</f>
        <v>155693390.30210599</v>
      </c>
      <c r="F10" s="1">
        <f t="shared" ca="1" si="2"/>
        <v>167361405.28273848</v>
      </c>
      <c r="G10" s="1">
        <f ca="1">G8-G11</f>
        <v>184057173.13318616</v>
      </c>
      <c r="H10" s="1">
        <f t="shared" ca="1" si="2"/>
        <v>202910717.81777617</v>
      </c>
      <c r="I10" s="1">
        <f t="shared" ca="1" si="2"/>
        <v>224435615.94573188</v>
      </c>
      <c r="J10" s="1">
        <f t="shared" ca="1" si="2"/>
        <v>246923811.96190423</v>
      </c>
      <c r="K10" s="1">
        <f t="shared" ca="1" si="2"/>
        <v>270546580.33916783</v>
      </c>
      <c r="L10" s="1">
        <f t="shared" ca="1" si="2"/>
        <v>295497140.52485567</v>
      </c>
      <c r="M10" s="1">
        <f t="shared" ca="1" si="2"/>
        <v>321992825.36552775</v>
      </c>
      <c r="N10" s="1">
        <f t="shared" ca="1" si="2"/>
        <v>349515516.05541402</v>
      </c>
      <c r="O10" s="1">
        <f t="shared" ca="1" si="2"/>
        <v>378207225.26184523</v>
      </c>
      <c r="P10" s="1">
        <f t="shared" ca="1" si="2"/>
        <v>408226522.67082018</v>
      </c>
      <c r="Q10" s="1">
        <f t="shared" ca="1" si="2"/>
        <v>439750040.88097769</v>
      </c>
      <c r="R10" s="1">
        <f t="shared" ca="1" si="2"/>
        <v>472002536.24673146</v>
      </c>
      <c r="S10" s="1">
        <f t="shared" ca="1" si="2"/>
        <v>505054623.77526069</v>
      </c>
      <c r="T10" s="1">
        <f t="shared" ca="1" si="2"/>
        <v>538985215.18082261</v>
      </c>
      <c r="U10" s="1">
        <f t="shared" ca="1" si="2"/>
        <v>573882258.57428086</v>
      </c>
      <c r="V10" s="1">
        <f t="shared" ca="1" si="2"/>
        <v>609843533.11258781</v>
      </c>
      <c r="W10" s="1">
        <f t="shared" ca="1" si="2"/>
        <v>646977502.26081944</v>
      </c>
      <c r="X10" s="1">
        <f t="shared" ca="1" si="2"/>
        <v>685404229.54537368</v>
      </c>
      <c r="Y10" s="1">
        <f t="shared" ca="1" si="2"/>
        <v>725256360.9162972</v>
      </c>
      <c r="Z10" s="1">
        <f t="shared" ca="1" si="2"/>
        <v>765216833.4479568</v>
      </c>
      <c r="AA10" s="1">
        <f t="shared" ca="1" si="2"/>
        <v>804034366.63814855</v>
      </c>
      <c r="AB10" s="1">
        <f t="shared" ca="1" si="2"/>
        <v>841539197.30466974</v>
      </c>
      <c r="AC10" s="1">
        <f t="shared" ca="1" si="2"/>
        <v>877550283.64766347</v>
      </c>
      <c r="AD10" s="1">
        <f t="shared" ca="1" si="2"/>
        <v>911874706.55924404</v>
      </c>
      <c r="AE10" s="1">
        <f t="shared" ca="1" si="2"/>
        <v>944307042.41773176</v>
      </c>
      <c r="AF10" s="1"/>
      <c r="AG10" s="1"/>
      <c r="AH10" s="1"/>
      <c r="AI10" s="1"/>
      <c r="AJ10" s="1"/>
      <c r="AK10" s="1"/>
      <c r="AL10" s="1"/>
      <c r="AM10" s="1"/>
      <c r="AN10" s="1"/>
      <c r="AO10" s="1"/>
    </row>
    <row r="11" spans="1:42" x14ac:dyDescent="0.35">
      <c r="A11" t="s">
        <v>9</v>
      </c>
      <c r="B11" s="1">
        <f>Assumptions!$C$20</f>
        <v>19676750</v>
      </c>
      <c r="C11" s="1">
        <f ca="1">'Debt worksheet'!D5</f>
        <v>43823991.089519784</v>
      </c>
      <c r="D11" s="1">
        <f ca="1">'Debt worksheet'!E5</f>
        <v>66645230.978458509</v>
      </c>
      <c r="E11" s="1">
        <f ca="1">'Debt worksheet'!F5</f>
        <v>86854843.542890757</v>
      </c>
      <c r="F11" s="1">
        <f ca="1">'Debt worksheet'!G5</f>
        <v>104337194.18450275</v>
      </c>
      <c r="G11" s="1">
        <f ca="1">'Debt worksheet'!H5</f>
        <v>117700677.00079805</v>
      </c>
      <c r="H11" s="1">
        <f ca="1">'Debt worksheet'!I5</f>
        <v>129843586.69590023</v>
      </c>
      <c r="I11" s="1">
        <f ca="1">'Debt worksheet'!J5</f>
        <v>140281547.02553189</v>
      </c>
      <c r="J11" s="1">
        <f ca="1">'Debt worksheet'!K5</f>
        <v>150752723.03654253</v>
      </c>
      <c r="K11" s="1">
        <f ca="1">'Debt worksheet'!L5</f>
        <v>161116887.15745124</v>
      </c>
      <c r="L11" s="1">
        <f ca="1">'Debt worksheet'!M5</f>
        <v>171212833.41411245</v>
      </c>
      <c r="M11" s="1">
        <f ca="1">'Debt worksheet'!N5</f>
        <v>180856239.07351542</v>
      </c>
      <c r="N11" s="1">
        <f ca="1">'Debt worksheet'!O5</f>
        <v>190599260.69852751</v>
      </c>
      <c r="O11" s="1">
        <f ca="1">'Debt worksheet'!P5</f>
        <v>200334982.98929477</v>
      </c>
      <c r="P11" s="1">
        <f ca="1">'Debt worksheet'!Q5</f>
        <v>209941026.198075</v>
      </c>
      <c r="Q11" s="1">
        <f ca="1">'Debt worksheet'!R5</f>
        <v>219278074.22009176</v>
      </c>
      <c r="R11" s="1">
        <f ca="1">'Debt worksheet'!S5</f>
        <v>229159848.791462</v>
      </c>
      <c r="S11" s="1">
        <f ca="1">'Debt worksheet'!T5</f>
        <v>239555410.72230136</v>
      </c>
      <c r="T11" s="1">
        <f ca="1">'Debt worksheet'!U5</f>
        <v>250426759.09536052</v>
      </c>
      <c r="U11" s="1">
        <f ca="1">'Debt worksheet'!V5</f>
        <v>261728129.98716176</v>
      </c>
      <c r="V11" s="1">
        <f ca="1">'Debt worksheet'!W5</f>
        <v>273405241.42284405</v>
      </c>
      <c r="W11" s="1">
        <f ca="1">'Debt worksheet'!X5</f>
        <v>285394480.94918221</v>
      </c>
      <c r="X11" s="1">
        <f ca="1">'Debt worksheet'!Y5</f>
        <v>297622031.98537832</v>
      </c>
      <c r="Y11" s="1">
        <f ca="1">'Debt worksheet'!Z5</f>
        <v>310002934.87305814</v>
      </c>
      <c r="Z11" s="1">
        <f ca="1">'Debt worksheet'!AA5</f>
        <v>323903422.93687701</v>
      </c>
      <c r="AA11" s="1">
        <f ca="1">'Debt worksheet'!AB5</f>
        <v>340625477.33751851</v>
      </c>
      <c r="AB11" s="1">
        <f ca="1">'Debt worksheet'!AC5</f>
        <v>360391139.76123774</v>
      </c>
      <c r="AC11" s="1">
        <f ca="1">'Debt worksheet'!AD5</f>
        <v>383435357.42216074</v>
      </c>
      <c r="AD11" s="1">
        <f ca="1">'Debt worksheet'!AE5</f>
        <v>410006632.34172451</v>
      </c>
      <c r="AE11" s="1">
        <f ca="1">'Debt worksheet'!AF5</f>
        <v>440367700.71525049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3319174.4251589933</v>
      </c>
      <c r="D5" s="4">
        <f ca="1">'Profit and Loss'!D9</f>
        <v>5524100.9222097676</v>
      </c>
      <c r="E5" s="4">
        <f ca="1">'Profit and Loss'!E9</f>
        <v>9042779.1526729949</v>
      </c>
      <c r="F5" s="4">
        <f ca="1">'Profit and Loss'!F9</f>
        <v>12706117.610440629</v>
      </c>
      <c r="G5" s="4">
        <f ca="1">'Profit and Loss'!G9</f>
        <v>17791016.41982301</v>
      </c>
      <c r="H5" s="4">
        <f ca="1">'Profit and Loss'!H9</f>
        <v>20008533.516571902</v>
      </c>
      <c r="I5" s="4">
        <f ca="1">'Profit and Loss'!I9</f>
        <v>22742329.064815998</v>
      </c>
      <c r="J5" s="4">
        <f ca="1">'Profit and Loss'!J9</f>
        <v>23770882.644059353</v>
      </c>
      <c r="K5" s="4">
        <f ca="1">'Profit and Loss'!K9</f>
        <v>24973640.411123514</v>
      </c>
      <c r="L5" s="4">
        <f ca="1">'Profit and Loss'!L9</f>
        <v>26372668.020396046</v>
      </c>
      <c r="M5" s="4">
        <f ca="1">'Profit and Loss'!M9</f>
        <v>27992204.274520118</v>
      </c>
      <c r="N5" s="4">
        <f ca="1">'Profit and Loss'!N9</f>
        <v>29096927.826796532</v>
      </c>
      <c r="O5" s="4">
        <f ca="1">'Profit and Loss'!O9</f>
        <v>30347105.543499254</v>
      </c>
      <c r="P5" s="4">
        <f ca="1">'Profit and Loss'!P9</f>
        <v>31759435.116182804</v>
      </c>
      <c r="Q5" s="4">
        <f ca="1">'Profit and Loss'!Q9</f>
        <v>33352125.609345056</v>
      </c>
      <c r="R5" s="4">
        <f ca="1">'Profit and Loss'!R9</f>
        <v>34173452.61619518</v>
      </c>
      <c r="S5" s="4">
        <f ca="1">'Profit and Loss'!S9</f>
        <v>35069432.526728176</v>
      </c>
      <c r="T5" s="4">
        <f ca="1">'Profit and Loss'!T9</f>
        <v>36048525.907150507</v>
      </c>
      <c r="U5" s="4">
        <f ca="1">'Profit and Loss'!U9</f>
        <v>37119939.365375146</v>
      </c>
      <c r="V5" s="4">
        <f ca="1">'Profit and Loss'!V9</f>
        <v>38293680.74972374</v>
      </c>
      <c r="W5" s="4">
        <f ca="1">'Profit and Loss'!W9</f>
        <v>39580618.009000845</v>
      </c>
      <c r="X5" s="4">
        <f ca="1">'Profit and Loss'!X9</f>
        <v>40992541.940273747</v>
      </c>
      <c r="Y5" s="4">
        <f ca="1">'Profit and Loss'!Y9</f>
        <v>42542233.06403707</v>
      </c>
      <c r="Z5" s="4">
        <f ca="1">'Profit and Loss'!Z9</f>
        <v>42780188.238352969</v>
      </c>
      <c r="AA5" s="4">
        <f ca="1">'Profit and Loss'!AA9</f>
        <v>41772403.543199845</v>
      </c>
      <c r="AB5" s="4">
        <f ca="1">'Profit and Loss'!AB9</f>
        <v>40600618.174325056</v>
      </c>
      <c r="AC5" s="4">
        <f ca="1">'Profit and Loss'!AC9</f>
        <v>39253783.916258648</v>
      </c>
      <c r="AD5" s="4">
        <f ca="1">'Profit and Loss'!AD9</f>
        <v>37720262.708087742</v>
      </c>
      <c r="AE5" s="4">
        <f ca="1">'Profit and Loss'!AE9</f>
        <v>35987798.458210379</v>
      </c>
      <c r="AF5" s="4">
        <f ca="1">'Profit and Loss'!AF9</f>
        <v>34043487.596645094</v>
      </c>
      <c r="AG5" s="4"/>
      <c r="AH5" s="4"/>
      <c r="AI5" s="4"/>
      <c r="AJ5" s="4"/>
      <c r="AK5" s="4"/>
      <c r="AL5" s="4"/>
      <c r="AM5" s="4"/>
      <c r="AN5" s="4"/>
      <c r="AO5" s="4"/>
      <c r="AP5" s="4"/>
    </row>
    <row r="6" spans="1:42" x14ac:dyDescent="0.35">
      <c r="A6" t="s">
        <v>21</v>
      </c>
      <c r="C6" s="4">
        <f>Depreciation!C8+Depreciation!C9</f>
        <v>6278985.6264804862</v>
      </c>
      <c r="D6" s="4">
        <f>Depreciation!D8+Depreciation!D9</f>
        <v>7160201.3459954252</v>
      </c>
      <c r="E6" s="4">
        <f>Depreciation!E8+Depreciation!E9</f>
        <v>8091385.1902778046</v>
      </c>
      <c r="F6" s="4">
        <f>Depreciation!F8+Depreciation!F9</f>
        <v>9074832.7544159573</v>
      </c>
      <c r="G6" s="4">
        <f>Depreciation!G8+Depreciation!G9</f>
        <v>10112935.384224109</v>
      </c>
      <c r="H6" s="4">
        <f>Depreciation!H8+Depreciation!H9</f>
        <v>11208183.953599457</v>
      </c>
      <c r="I6" s="4">
        <f>Depreciation!I8+Depreciation!I9</f>
        <v>12363172.78558138</v>
      </c>
      <c r="J6" s="4">
        <f>Depreciation!J8+Depreciation!J9</f>
        <v>13580603.722441666</v>
      </c>
      <c r="K6" s="4">
        <f>Depreciation!K8+Depreciation!K9</f>
        <v>14863290.350328574</v>
      </c>
      <c r="L6" s="4">
        <f>Depreciation!L8+Depreciation!L9</f>
        <v>16214162.384188458</v>
      </c>
      <c r="M6" s="4">
        <f>Depreciation!M8+Depreciation!M9</f>
        <v>17636270.218896642</v>
      </c>
      <c r="N6" s="4">
        <f>Depreciation!N8+Depreciation!N9</f>
        <v>19132789.652744744</v>
      </c>
      <c r="O6" s="4">
        <f>Depreciation!O8+Depreciation!O9</f>
        <v>20707026.78965497</v>
      </c>
      <c r="P6" s="4">
        <f>Depreciation!P8+Depreciation!P9</f>
        <v>22362423.126723036</v>
      </c>
      <c r="Q6" s="4">
        <f>Depreciation!Q8+Depreciation!Q9</f>
        <v>24102560.833930857</v>
      </c>
      <c r="R6" s="4">
        <f>Depreciation!R8+Depreciation!R9</f>
        <v>25931168.233118217</v>
      </c>
      <c r="S6" s="4">
        <f>Depreciation!S8+Depreciation!S9</f>
        <v>27852125.483559623</v>
      </c>
      <c r="T6" s="4">
        <f>Depreciation!T8+Depreciation!T9</f>
        <v>29869470.481758565</v>
      </c>
      <c r="U6" s="4">
        <f>Depreciation!U8+Depreciation!U9</f>
        <v>31987404.983347066</v>
      </c>
      <c r="V6" s="4">
        <f>Depreciation!V8+Depreciation!V9</f>
        <v>34210300.955263913</v>
      </c>
      <c r="W6" s="4">
        <f>Depreciation!W8+Depreciation!W9</f>
        <v>36542707.166680507</v>
      </c>
      <c r="X6" s="4">
        <f>Depreciation!X8+Depreciation!X9</f>
        <v>38989356.027449556</v>
      </c>
      <c r="Y6" s="4">
        <f>Depreciation!Y8+Depreciation!Y9</f>
        <v>41555170.683169141</v>
      </c>
      <c r="Z6" s="4">
        <f>Depreciation!Z8+Depreciation!Z9</f>
        <v>44245272.376282685</v>
      </c>
      <c r="AA6" s="4">
        <f>Depreciation!AA8+Depreciation!AA9</f>
        <v>47064988.082975939</v>
      </c>
      <c r="AB6" s="4">
        <f>Depreciation!AB8+Depreciation!AB9</f>
        <v>50019858.435984224</v>
      </c>
      <c r="AC6" s="4">
        <f>Depreciation!AC8+Depreciation!AC9</f>
        <v>53115645.943788074</v>
      </c>
      <c r="AD6" s="4">
        <f>Depreciation!AD8+Depreciation!AD9</f>
        <v>56358343.517052934</v>
      </c>
      <c r="AE6" s="4">
        <f>Depreciation!AE8+Depreciation!AE9</f>
        <v>59754183.313560307</v>
      </c>
      <c r="AF6" s="4">
        <f>Depreciation!AF8+Depreciation!AF9</f>
        <v>63309645.913282678</v>
      </c>
      <c r="AG6" s="4"/>
      <c r="AH6" s="4"/>
      <c r="AI6" s="4"/>
      <c r="AJ6" s="4"/>
      <c r="AK6" s="4"/>
      <c r="AL6" s="4"/>
      <c r="AM6" s="4"/>
      <c r="AN6" s="4"/>
      <c r="AO6" s="4"/>
      <c r="AP6" s="4"/>
    </row>
    <row r="7" spans="1:42" x14ac:dyDescent="0.35">
      <c r="A7" t="s">
        <v>23</v>
      </c>
      <c r="C7" s="4">
        <f ca="1">C6+C5</f>
        <v>9598160.0516394787</v>
      </c>
      <c r="D7" s="4">
        <f ca="1">D6+D5</f>
        <v>12684302.268205192</v>
      </c>
      <c r="E7" s="4">
        <f t="shared" ref="E7:AF7" ca="1" si="1">E6+E5</f>
        <v>17134164.342950799</v>
      </c>
      <c r="F7" s="4">
        <f t="shared" ca="1" si="1"/>
        <v>21780950.364856586</v>
      </c>
      <c r="G7" s="4">
        <f ca="1">G6+G5</f>
        <v>27903951.804047119</v>
      </c>
      <c r="H7" s="4">
        <f t="shared" ca="1" si="1"/>
        <v>31216717.470171358</v>
      </c>
      <c r="I7" s="4">
        <f t="shared" ca="1" si="1"/>
        <v>35105501.850397378</v>
      </c>
      <c r="J7" s="4">
        <f t="shared" ca="1" si="1"/>
        <v>37351486.366501018</v>
      </c>
      <c r="K7" s="4">
        <f t="shared" ca="1" si="1"/>
        <v>39836930.761452086</v>
      </c>
      <c r="L7" s="4">
        <f t="shared" ca="1" si="1"/>
        <v>42586830.404584505</v>
      </c>
      <c r="M7" s="4">
        <f t="shared" ca="1" si="1"/>
        <v>45628474.493416756</v>
      </c>
      <c r="N7" s="4">
        <f t="shared" ca="1" si="1"/>
        <v>48229717.479541272</v>
      </c>
      <c r="O7" s="4">
        <f t="shared" ca="1" si="1"/>
        <v>51054132.333154224</v>
      </c>
      <c r="P7" s="4">
        <f t="shared" ca="1" si="1"/>
        <v>54121858.24290584</v>
      </c>
      <c r="Q7" s="4">
        <f t="shared" ca="1" si="1"/>
        <v>57454686.443275914</v>
      </c>
      <c r="R7" s="4">
        <f t="shared" ca="1" si="1"/>
        <v>60104620.849313393</v>
      </c>
      <c r="S7" s="4">
        <f t="shared" ca="1" si="1"/>
        <v>62921558.010287799</v>
      </c>
      <c r="T7" s="4">
        <f t="shared" ca="1" si="1"/>
        <v>65917996.388909072</v>
      </c>
      <c r="U7" s="4">
        <f t="shared" ca="1" si="1"/>
        <v>69107344.348722219</v>
      </c>
      <c r="V7" s="4">
        <f t="shared" ca="1" si="1"/>
        <v>72503981.704987645</v>
      </c>
      <c r="W7" s="4">
        <f t="shared" ca="1" si="1"/>
        <v>76123325.175681353</v>
      </c>
      <c r="X7" s="4">
        <f t="shared" ca="1" si="1"/>
        <v>79981897.96772331</v>
      </c>
      <c r="Y7" s="4">
        <f t="shared" ca="1" si="1"/>
        <v>84097403.747206211</v>
      </c>
      <c r="Z7" s="4">
        <f t="shared" ca="1" si="1"/>
        <v>87025460.614635646</v>
      </c>
      <c r="AA7" s="4">
        <f t="shared" ca="1" si="1"/>
        <v>88837391.626175791</v>
      </c>
      <c r="AB7" s="4">
        <f t="shared" ca="1" si="1"/>
        <v>90620476.610309273</v>
      </c>
      <c r="AC7" s="4">
        <f t="shared" ca="1" si="1"/>
        <v>92369429.860046715</v>
      </c>
      <c r="AD7" s="4">
        <f t="shared" ca="1" si="1"/>
        <v>94078606.225140676</v>
      </c>
      <c r="AE7" s="4">
        <f t="shared" ca="1" si="1"/>
        <v>95741981.771770686</v>
      </c>
      <c r="AF7" s="4">
        <f t="shared" ca="1" si="1"/>
        <v>97353133.509927779</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33745401.141159266</v>
      </c>
      <c r="D10" s="9">
        <f>Investment!D25</f>
        <v>35505542.157143921</v>
      </c>
      <c r="E10" s="9">
        <f>Investment!E25</f>
        <v>37343776.907383054</v>
      </c>
      <c r="F10" s="9">
        <f>Investment!F25</f>
        <v>39263301.006468572</v>
      </c>
      <c r="G10" s="9">
        <f>Investment!G25</f>
        <v>41267434.620342411</v>
      </c>
      <c r="H10" s="9">
        <f>Investment!H25</f>
        <v>43359627.16527354</v>
      </c>
      <c r="I10" s="9">
        <f>Investment!I25</f>
        <v>45543462.180029035</v>
      </c>
      <c r="J10" s="9">
        <f>Investment!J25</f>
        <v>47822662.37751165</v>
      </c>
      <c r="K10" s="9">
        <f>Investment!K25</f>
        <v>50201094.882360801</v>
      </c>
      <c r="L10" s="9">
        <f>Investment!L25</f>
        <v>52682776.661245719</v>
      </c>
      <c r="M10" s="9">
        <f>Investment!M25</f>
        <v>55271880.152819723</v>
      </c>
      <c r="N10" s="9">
        <f>Investment!N25</f>
        <v>57972739.104553364</v>
      </c>
      <c r="O10" s="9">
        <f>Investment!O25</f>
        <v>60789854.623921484</v>
      </c>
      <c r="P10" s="9">
        <f>Investment!P25</f>
        <v>63727901.451686062</v>
      </c>
      <c r="Q10" s="9">
        <f>Investment!Q25</f>
        <v>66791734.465292692</v>
      </c>
      <c r="R10" s="9">
        <f>Investment!R25</f>
        <v>69986395.420683637</v>
      </c>
      <c r="S10" s="9">
        <f>Investment!S25</f>
        <v>73317119.941127151</v>
      </c>
      <c r="T10" s="9">
        <f>Investment!T25</f>
        <v>76789344.76196824</v>
      </c>
      <c r="U10" s="9">
        <f>Investment!U25</f>
        <v>80408715.240523443</v>
      </c>
      <c r="V10" s="9">
        <f>Investment!V25</f>
        <v>84181093.140669942</v>
      </c>
      <c r="W10" s="9">
        <f>Investment!W25</f>
        <v>88112564.702019528</v>
      </c>
      <c r="X10" s="9">
        <f>Investment!X25</f>
        <v>92209449.003919423</v>
      </c>
      <c r="Y10" s="9">
        <f>Investment!Y25</f>
        <v>96478306.634886026</v>
      </c>
      <c r="Z10" s="9">
        <f>Investment!Z25</f>
        <v>100925948.67845452</v>
      </c>
      <c r="AA10" s="9">
        <f>Investment!AA25</f>
        <v>105559446.02681729</v>
      </c>
      <c r="AB10" s="9">
        <f>Investment!AB25</f>
        <v>110386139.03402849</v>
      </c>
      <c r="AC10" s="9">
        <f>Investment!AC25</f>
        <v>115413647.52096975</v>
      </c>
      <c r="AD10" s="9">
        <f>Investment!AD25</f>
        <v>120649881.14470443</v>
      </c>
      <c r="AE10" s="9">
        <f>Investment!AE25</f>
        <v>126103050.14529666</v>
      </c>
      <c r="AF10" s="9">
        <f>Investment!AF25</f>
        <v>131781676.48363459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-24147241.089519788</v>
      </c>
      <c r="D12" s="1">
        <f t="shared" ref="D12:AF12" ca="1" si="2">D7-D9-D10</f>
        <v>-22821239.888938729</v>
      </c>
      <c r="E12" s="1">
        <f ca="1">E7-E9-E10</f>
        <v>-20209612.564432256</v>
      </c>
      <c r="F12" s="1">
        <f t="shared" ca="1" si="2"/>
        <v>-17482350.641611986</v>
      </c>
      <c r="G12" s="1">
        <f ca="1">G7-G9-G10</f>
        <v>-13363482.816295292</v>
      </c>
      <c r="H12" s="1">
        <f t="shared" ca="1" si="2"/>
        <v>-12142909.695102181</v>
      </c>
      <c r="I12" s="1">
        <f t="shared" ca="1" si="2"/>
        <v>-10437960.329631656</v>
      </c>
      <c r="J12" s="1">
        <f t="shared" ca="1" si="2"/>
        <v>-10471176.011010632</v>
      </c>
      <c r="K12" s="1">
        <f t="shared" ca="1" si="2"/>
        <v>-10364164.120908715</v>
      </c>
      <c r="L12" s="1">
        <f t="shared" ca="1" si="2"/>
        <v>-10095946.256661214</v>
      </c>
      <c r="M12" s="1">
        <f t="shared" ca="1" si="2"/>
        <v>-9643405.6594029665</v>
      </c>
      <c r="N12" s="1">
        <f t="shared" ca="1" si="2"/>
        <v>-9743021.6250120923</v>
      </c>
      <c r="O12" s="1">
        <f t="shared" ca="1" si="2"/>
        <v>-9735722.2907672599</v>
      </c>
      <c r="P12" s="1">
        <f t="shared" ca="1" si="2"/>
        <v>-9606043.2087802216</v>
      </c>
      <c r="Q12" s="1">
        <f t="shared" ca="1" si="2"/>
        <v>-9337048.0220167786</v>
      </c>
      <c r="R12" s="1">
        <f t="shared" ca="1" si="2"/>
        <v>-9881774.571370244</v>
      </c>
      <c r="S12" s="1">
        <f t="shared" ca="1" si="2"/>
        <v>-10395561.930839352</v>
      </c>
      <c r="T12" s="1">
        <f t="shared" ca="1" si="2"/>
        <v>-10871348.373059168</v>
      </c>
      <c r="U12" s="1">
        <f t="shared" ca="1" si="2"/>
        <v>-11301370.891801223</v>
      </c>
      <c r="V12" s="1">
        <f t="shared" ca="1" si="2"/>
        <v>-11677111.435682297</v>
      </c>
      <c r="W12" s="1">
        <f t="shared" ca="1" si="2"/>
        <v>-11989239.526338175</v>
      </c>
      <c r="X12" s="1">
        <f t="shared" ca="1" si="2"/>
        <v>-12227551.036196113</v>
      </c>
      <c r="Y12" s="1">
        <f t="shared" ca="1" si="2"/>
        <v>-12380902.887679815</v>
      </c>
      <c r="Z12" s="1">
        <f t="shared" ca="1" si="2"/>
        <v>-13900488.063818872</v>
      </c>
      <c r="AA12" s="1">
        <f t="shared" ca="1" si="2"/>
        <v>-16722054.400641501</v>
      </c>
      <c r="AB12" s="1">
        <f t="shared" ca="1" si="2"/>
        <v>-19765662.423719212</v>
      </c>
      <c r="AC12" s="1">
        <f t="shared" ca="1" si="2"/>
        <v>-23044217.660923034</v>
      </c>
      <c r="AD12" s="1">
        <f t="shared" ca="1" si="2"/>
        <v>-26571274.919563755</v>
      </c>
      <c r="AE12" s="1">
        <f t="shared" ca="1" si="2"/>
        <v>-30361068.373525977</v>
      </c>
      <c r="AF12" s="1">
        <f t="shared" ca="1" si="2"/>
        <v>-34428542.973706812</v>
      </c>
      <c r="AG12" s="1"/>
      <c r="AH12" s="1"/>
      <c r="AI12" s="1"/>
      <c r="AJ12" s="1"/>
      <c r="AK12" s="1"/>
      <c r="AL12" s="1"/>
      <c r="AM12" s="1"/>
      <c r="AN12" s="1"/>
      <c r="AO12" s="1"/>
      <c r="AP12" s="1"/>
    </row>
    <row r="13" spans="1:42" x14ac:dyDescent="0.35">
      <c r="A13" t="s">
        <v>19</v>
      </c>
      <c r="C13" s="1">
        <f ca="1">C12</f>
        <v>-24147241.089519788</v>
      </c>
      <c r="D13" s="1">
        <f ca="1">D12</f>
        <v>-22821239.888938729</v>
      </c>
      <c r="E13" s="1">
        <f ca="1">E12</f>
        <v>-20209612.564432256</v>
      </c>
      <c r="F13" s="1">
        <f t="shared" ref="F13:AF13" ca="1" si="3">F12</f>
        <v>-17482350.641611986</v>
      </c>
      <c r="G13" s="1">
        <f ca="1">G12</f>
        <v>-13363482.816295292</v>
      </c>
      <c r="H13" s="1">
        <f t="shared" ca="1" si="3"/>
        <v>-12142909.695102181</v>
      </c>
      <c r="I13" s="1">
        <f t="shared" ca="1" si="3"/>
        <v>-10437960.329631656</v>
      </c>
      <c r="J13" s="1">
        <f t="shared" ca="1" si="3"/>
        <v>-10471176.011010632</v>
      </c>
      <c r="K13" s="1">
        <f t="shared" ca="1" si="3"/>
        <v>-10364164.120908715</v>
      </c>
      <c r="L13" s="1">
        <f t="shared" ca="1" si="3"/>
        <v>-10095946.256661214</v>
      </c>
      <c r="M13" s="1">
        <f t="shared" ca="1" si="3"/>
        <v>-9643405.6594029665</v>
      </c>
      <c r="N13" s="1">
        <f t="shared" ca="1" si="3"/>
        <v>-9743021.6250120923</v>
      </c>
      <c r="O13" s="1">
        <f t="shared" ca="1" si="3"/>
        <v>-9735722.2907672599</v>
      </c>
      <c r="P13" s="1">
        <f t="shared" ca="1" si="3"/>
        <v>-9606043.2087802216</v>
      </c>
      <c r="Q13" s="1">
        <f t="shared" ca="1" si="3"/>
        <v>-9337048.0220167786</v>
      </c>
      <c r="R13" s="1">
        <f t="shared" ca="1" si="3"/>
        <v>-9881774.571370244</v>
      </c>
      <c r="S13" s="1">
        <f t="shared" ca="1" si="3"/>
        <v>-10395561.930839352</v>
      </c>
      <c r="T13" s="1">
        <f t="shared" ca="1" si="3"/>
        <v>-10871348.373059168</v>
      </c>
      <c r="U13" s="1">
        <f t="shared" ca="1" si="3"/>
        <v>-11301370.891801223</v>
      </c>
      <c r="V13" s="1">
        <f t="shared" ca="1" si="3"/>
        <v>-11677111.435682297</v>
      </c>
      <c r="W13" s="1">
        <f t="shared" ca="1" si="3"/>
        <v>-11989239.526338175</v>
      </c>
      <c r="X13" s="1">
        <f t="shared" ca="1" si="3"/>
        <v>-12227551.036196113</v>
      </c>
      <c r="Y13" s="1">
        <f t="shared" ca="1" si="3"/>
        <v>-12380902.887679815</v>
      </c>
      <c r="Z13" s="1">
        <f t="shared" ca="1" si="3"/>
        <v>-13900488.063818872</v>
      </c>
      <c r="AA13" s="1">
        <f t="shared" ca="1" si="3"/>
        <v>-16722054.400641501</v>
      </c>
      <c r="AB13" s="1">
        <f t="shared" ca="1" si="3"/>
        <v>-19765662.423719212</v>
      </c>
      <c r="AC13" s="1">
        <f t="shared" ca="1" si="3"/>
        <v>-23044217.660923034</v>
      </c>
      <c r="AD13" s="1">
        <f t="shared" ca="1" si="3"/>
        <v>-26571274.919563755</v>
      </c>
      <c r="AE13" s="1">
        <f t="shared" ca="1" si="3"/>
        <v>-30361068.373525977</v>
      </c>
      <c r="AF13" s="1">
        <f t="shared" ca="1" si="3"/>
        <v>-34428542.973706812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381412319.29199994</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190706159.64599997</v>
      </c>
      <c r="D7" s="9">
        <f>C12</f>
        <v>196985145.27248046</v>
      </c>
      <c r="E7" s="9">
        <f>D12</f>
        <v>204145346.61847588</v>
      </c>
      <c r="F7" s="9">
        <f t="shared" ref="F7:H7" si="1">E12</f>
        <v>212236731.8087537</v>
      </c>
      <c r="G7" s="9">
        <f t="shared" si="1"/>
        <v>221311564.56316966</v>
      </c>
      <c r="H7" s="9">
        <f t="shared" si="1"/>
        <v>231424499.94739377</v>
      </c>
      <c r="I7" s="9">
        <f t="shared" ref="I7" si="2">H12</f>
        <v>242632683.90099323</v>
      </c>
      <c r="J7" s="9">
        <f t="shared" ref="J7" si="3">I12</f>
        <v>254995856.68657461</v>
      </c>
      <c r="K7" s="9">
        <f t="shared" ref="K7" si="4">J12</f>
        <v>268576460.40901625</v>
      </c>
      <c r="L7" s="9">
        <f t="shared" ref="L7" si="5">K12</f>
        <v>283439750.75934488</v>
      </c>
      <c r="M7" s="9">
        <f t="shared" ref="M7" si="6">L12</f>
        <v>299653913.14353335</v>
      </c>
      <c r="N7" s="9">
        <f t="shared" ref="N7" si="7">M12</f>
        <v>317290183.36243004</v>
      </c>
      <c r="O7" s="9">
        <f t="shared" ref="O7" si="8">N12</f>
        <v>336422973.01517475</v>
      </c>
      <c r="P7" s="9">
        <f t="shared" ref="P7" si="9">O12</f>
        <v>357129999.80482972</v>
      </c>
      <c r="Q7" s="9">
        <f t="shared" ref="Q7" si="10">P12</f>
        <v>379492422.93155277</v>
      </c>
      <c r="R7" s="9">
        <f t="shared" ref="R7" si="11">Q12</f>
        <v>403594983.76548362</v>
      </c>
      <c r="S7" s="9">
        <f t="shared" ref="S7" si="12">R12</f>
        <v>429526151.99860185</v>
      </c>
      <c r="T7" s="9">
        <f t="shared" ref="T7" si="13">S12</f>
        <v>457378277.48216146</v>
      </c>
      <c r="U7" s="9">
        <f t="shared" ref="U7" si="14">T12</f>
        <v>487247747.96392</v>
      </c>
      <c r="V7" s="9">
        <f t="shared" ref="V7" si="15">U12</f>
        <v>519235152.94726706</v>
      </c>
      <c r="W7" s="9">
        <f t="shared" ref="W7" si="16">V12</f>
        <v>553445453.90253091</v>
      </c>
      <c r="X7" s="9">
        <f t="shared" ref="X7" si="17">W12</f>
        <v>589988161.06921148</v>
      </c>
      <c r="Y7" s="9">
        <f t="shared" ref="Y7" si="18">X12</f>
        <v>628977517.09666109</v>
      </c>
      <c r="Z7" s="9">
        <f t="shared" ref="Z7" si="19">Y12</f>
        <v>670532687.77983022</v>
      </c>
      <c r="AA7" s="9">
        <f t="shared" ref="AA7" si="20">Z12</f>
        <v>714777960.15611291</v>
      </c>
      <c r="AB7" s="9">
        <f t="shared" ref="AB7" si="21">AA12</f>
        <v>761842948.23908889</v>
      </c>
      <c r="AC7" s="9">
        <f t="shared" ref="AC7" si="22">AB12</f>
        <v>811862806.67507303</v>
      </c>
      <c r="AD7" s="9">
        <f t="shared" ref="AD7" si="23">AC12</f>
        <v>864978452.6188612</v>
      </c>
      <c r="AE7" s="9">
        <f t="shared" ref="AE7" si="24">AD12</f>
        <v>921336796.13591421</v>
      </c>
      <c r="AF7" s="9">
        <f t="shared" ref="AF7" si="25">AE12</f>
        <v>981090979.44947445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5619791.6541281957</v>
      </c>
      <c r="D8" s="9">
        <f>Assumptions!E111*Assumptions!E11</f>
        <v>5799624.9870602973</v>
      </c>
      <c r="E8" s="9">
        <f>Assumptions!F111*Assumptions!F11</f>
        <v>5985212.9866462266</v>
      </c>
      <c r="F8" s="9">
        <f>Assumptions!G111*Assumptions!G11</f>
        <v>6176739.8022189066</v>
      </c>
      <c r="G8" s="9">
        <f>Assumptions!H111*Assumptions!H11</f>
        <v>6374395.4758899119</v>
      </c>
      <c r="H8" s="9">
        <f>Assumptions!I111*Assumptions!I11</f>
        <v>6578376.1311183879</v>
      </c>
      <c r="I8" s="9">
        <f>Assumptions!J111*Assumptions!J11</f>
        <v>6788884.1673141755</v>
      </c>
      <c r="J8" s="9">
        <f>Assumptions!K111*Assumptions!K11</f>
        <v>7006128.4606682304</v>
      </c>
      <c r="K8" s="9">
        <f>Assumptions!L111*Assumptions!L11</f>
        <v>7230324.5714096148</v>
      </c>
      <c r="L8" s="9">
        <f>Assumptions!M111*Assumptions!M11</f>
        <v>7461694.9576947214</v>
      </c>
      <c r="M8" s="9">
        <f>Assumptions!N111*Assumptions!N11</f>
        <v>7700469.1963409521</v>
      </c>
      <c r="N8" s="9">
        <f>Assumptions!O111*Assumptions!O11</f>
        <v>7946884.2106238632</v>
      </c>
      <c r="O8" s="9">
        <f>Assumptions!P111*Assumptions!P11</f>
        <v>8201184.5053638276</v>
      </c>
      <c r="P8" s="9">
        <f>Assumptions!Q111*Assumptions!Q11</f>
        <v>8463622.4095354676</v>
      </c>
      <c r="Q8" s="9">
        <f>Assumptions!R111*Assumptions!R11</f>
        <v>8734458.3266406022</v>
      </c>
      <c r="R8" s="9">
        <f>Assumptions!S111*Assumptions!S11</f>
        <v>9013960.9930931032</v>
      </c>
      <c r="S8" s="9">
        <f>Assumptions!T111*Assumptions!T11</f>
        <v>9302407.7448720839</v>
      </c>
      <c r="T8" s="9">
        <f>Assumptions!U111*Assumptions!U11</f>
        <v>9600084.792707989</v>
      </c>
      <c r="U8" s="9">
        <f>Assumptions!V111*Assumptions!V11</f>
        <v>9907287.5060746428</v>
      </c>
      <c r="V8" s="9">
        <f>Assumptions!W111*Assumptions!W11</f>
        <v>10224320.706269033</v>
      </c>
      <c r="W8" s="9">
        <f>Assumptions!X111*Assumptions!X11</f>
        <v>10551498.968869643</v>
      </c>
      <c r="X8" s="9">
        <f>Assumptions!Y111*Assumptions!Y11</f>
        <v>10889146.935873469</v>
      </c>
      <c r="Y8" s="9">
        <f>Assumptions!Z111*Assumptions!Z11</f>
        <v>11237599.637821419</v>
      </c>
      <c r="Z8" s="9">
        <f>Assumptions!AA111*Assumptions!AA11</f>
        <v>11597202.826231705</v>
      </c>
      <c r="AA8" s="9">
        <f>Assumptions!AB111*Assumptions!AB11</f>
        <v>11968313.316671124</v>
      </c>
      <c r="AB8" s="9">
        <f>Assumptions!AC111*Assumptions!AC11</f>
        <v>12351299.342804596</v>
      </c>
      <c r="AC8" s="9">
        <f>Assumptions!AD111*Assumptions!AD11</f>
        <v>12746540.921774343</v>
      </c>
      <c r="AD8" s="9">
        <f>Assumptions!AE111*Assumptions!AE11</f>
        <v>13154430.231271124</v>
      </c>
      <c r="AE8" s="9">
        <f>Assumptions!AF111*Assumptions!AF11</f>
        <v>13575371.9986718</v>
      </c>
      <c r="AF8" s="9">
        <f>Assumptions!AG111*Assumptions!AG11</f>
        <v>14009783.902629295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659193.97235229076</v>
      </c>
      <c r="D9" s="9">
        <f>Assumptions!E120*Assumptions!E11</f>
        <v>1360576.358935128</v>
      </c>
      <c r="E9" s="9">
        <f>Assumptions!F120*Assumptions!F11</f>
        <v>2106172.203631578</v>
      </c>
      <c r="F9" s="9">
        <f>Assumptions!G120*Assumptions!G11</f>
        <v>2898092.9521970511</v>
      </c>
      <c r="G9" s="9">
        <f>Assumptions!H120*Assumptions!H11</f>
        <v>3738539.9083341965</v>
      </c>
      <c r="H9" s="9">
        <f>Assumptions!I120*Assumptions!I11</f>
        <v>4629807.8224810679</v>
      </c>
      <c r="I9" s="9">
        <f>Assumptions!J120*Assumptions!J11</f>
        <v>5574288.6182672046</v>
      </c>
      <c r="J9" s="9">
        <f>Assumptions!K120*Assumptions!K11</f>
        <v>6574475.2617734354</v>
      </c>
      <c r="K9" s="9">
        <f>Assumptions!L120*Assumptions!L11</f>
        <v>7632965.7789189592</v>
      </c>
      <c r="L9" s="9">
        <f>Assumptions!M120*Assumptions!M11</f>
        <v>8752467.4264937378</v>
      </c>
      <c r="M9" s="9">
        <f>Assumptions!N120*Assumptions!N11</f>
        <v>9935801.0225556921</v>
      </c>
      <c r="N9" s="9">
        <f>Assumptions!O120*Assumptions!O11</f>
        <v>11185905.44212088</v>
      </c>
      <c r="O9" s="9">
        <f>Assumptions!P120*Assumptions!P11</f>
        <v>12505842.284291144</v>
      </c>
      <c r="P9" s="9">
        <f>Assumptions!Q120*Assumptions!Q11</f>
        <v>13898800.71718757</v>
      </c>
      <c r="Q9" s="9">
        <f>Assumptions!R120*Assumptions!R11</f>
        <v>15368102.507290255</v>
      </c>
      <c r="R9" s="9">
        <f>Assumptions!S120*Assumptions!S11</f>
        <v>16917207.240025114</v>
      </c>
      <c r="S9" s="9">
        <f>Assumptions!T120*Assumptions!T11</f>
        <v>18549717.738687541</v>
      </c>
      <c r="T9" s="9">
        <f>Assumptions!U120*Assumptions!U11</f>
        <v>20269385.689050574</v>
      </c>
      <c r="U9" s="9">
        <f>Assumptions!V120*Assumptions!V11</f>
        <v>22080117.477272421</v>
      </c>
      <c r="V9" s="9">
        <f>Assumptions!W120*Assumptions!W11</f>
        <v>23985980.248994883</v>
      </c>
      <c r="W9" s="9">
        <f>Assumptions!X120*Assumptions!X11</f>
        <v>25991208.197810862</v>
      </c>
      <c r="X9" s="9">
        <f>Assumptions!Y120*Assumptions!Y11</f>
        <v>28100209.091576088</v>
      </c>
      <c r="Y9" s="9">
        <f>Assumptions!Z120*Assumptions!Z11</f>
        <v>30317571.04534772</v>
      </c>
      <c r="Z9" s="9">
        <f>Assumptions!AA120*Assumptions!AA11</f>
        <v>32648069.550050978</v>
      </c>
      <c r="AA9" s="9">
        <f>Assumptions!AB120*Assumptions!AB11</f>
        <v>35096674.766304813</v>
      </c>
      <c r="AB9" s="9">
        <f>Assumptions!AC120*Assumptions!AC11</f>
        <v>37668559.093179628</v>
      </c>
      <c r="AC9" s="9">
        <f>Assumptions!AD120*Assumptions!AD11</f>
        <v>40369105.022013731</v>
      </c>
      <c r="AD9" s="9">
        <f>Assumptions!AE120*Assumptions!AE11</f>
        <v>43203913.285781808</v>
      </c>
      <c r="AE9" s="9">
        <f>Assumptions!AF120*Assumptions!AF11</f>
        <v>46178811.314888507</v>
      </c>
      <c r="AF9" s="9">
        <f>Assumptions!AG120*Assumptions!AG11</f>
        <v>49299862.010653384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6278985.6264804862</v>
      </c>
      <c r="D10" s="9">
        <f>SUM($C$8:D9)</f>
        <v>13439186.972475912</v>
      </c>
      <c r="E10" s="9">
        <f>SUM($C$8:E9)</f>
        <v>21530572.162753716</v>
      </c>
      <c r="F10" s="9">
        <f>SUM($C$8:F9)</f>
        <v>30605404.917169675</v>
      </c>
      <c r="G10" s="9">
        <f>SUM($C$8:G9)</f>
        <v>40718340.301393785</v>
      </c>
      <c r="H10" s="9">
        <f>SUM($C$8:H9)</f>
        <v>51926524.25499323</v>
      </c>
      <c r="I10" s="9">
        <f>SUM($C$8:I9)</f>
        <v>64289697.04057461</v>
      </c>
      <c r="J10" s="9">
        <f>SUM($C$8:J9)</f>
        <v>77870300.763016284</v>
      </c>
      <c r="K10" s="9">
        <f>SUM($C$8:K9)</f>
        <v>92733591.113344848</v>
      </c>
      <c r="L10" s="9">
        <f>SUM($C$8:L9)</f>
        <v>108947753.49753329</v>
      </c>
      <c r="M10" s="9">
        <f>SUM($C$8:M9)</f>
        <v>126584023.71642996</v>
      </c>
      <c r="N10" s="9">
        <f>SUM($C$8:N9)</f>
        <v>145716813.36917469</v>
      </c>
      <c r="O10" s="9">
        <f>SUM($C$8:O9)</f>
        <v>166423840.15882966</v>
      </c>
      <c r="P10" s="9">
        <f>SUM($C$8:P9)</f>
        <v>188786263.28555271</v>
      </c>
      <c r="Q10" s="9">
        <f>SUM($C$8:Q9)</f>
        <v>212888824.11948356</v>
      </c>
      <c r="R10" s="9">
        <f>SUM($C$8:R9)</f>
        <v>238819992.35260177</v>
      </c>
      <c r="S10" s="9">
        <f>SUM($C$8:S9)</f>
        <v>266672117.8361614</v>
      </c>
      <c r="T10" s="9">
        <f>SUM($C$8:T9)</f>
        <v>296541588.31791991</v>
      </c>
      <c r="U10" s="9">
        <f>SUM($C$8:U9)</f>
        <v>328528993.30126703</v>
      </c>
      <c r="V10" s="9">
        <f>SUM($C$8:V9)</f>
        <v>362739294.25653094</v>
      </c>
      <c r="W10" s="9">
        <f>SUM($C$8:W9)</f>
        <v>399282001.4232114</v>
      </c>
      <c r="X10" s="9">
        <f>SUM($C$8:X9)</f>
        <v>438271357.450661</v>
      </c>
      <c r="Y10" s="9">
        <f>SUM($C$8:Y9)</f>
        <v>479826528.13383019</v>
      </c>
      <c r="Z10" s="9">
        <f>SUM($C$8:Z9)</f>
        <v>524071800.51011288</v>
      </c>
      <c r="AA10" s="9">
        <f>SUM($C$8:AA9)</f>
        <v>571136788.59308887</v>
      </c>
      <c r="AB10" s="9">
        <f>SUM($C$8:AB9)</f>
        <v>621156647.029073</v>
      </c>
      <c r="AC10" s="9">
        <f>SUM($C$8:AC9)</f>
        <v>674272292.97286117</v>
      </c>
      <c r="AD10" s="9">
        <f>SUM($C$8:AD9)</f>
        <v>730630636.48991406</v>
      </c>
      <c r="AE10" s="9">
        <f>SUM($C$8:AE9)</f>
        <v>790384819.80347443</v>
      </c>
      <c r="AF10" s="9">
        <f>SUM($C$8:AF9)</f>
        <v>853694465.71675694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196985145.27248046</v>
      </c>
      <c r="D12" s="9">
        <f>D7+D8+D9</f>
        <v>204145346.61847588</v>
      </c>
      <c r="E12" s="9">
        <f>E7+E8+E9</f>
        <v>212236731.8087537</v>
      </c>
      <c r="F12" s="9">
        <f t="shared" ref="F12:H12" si="26">F7+F8+F9</f>
        <v>221311564.56316966</v>
      </c>
      <c r="G12" s="9">
        <f t="shared" si="26"/>
        <v>231424499.94739377</v>
      </c>
      <c r="H12" s="9">
        <f t="shared" si="26"/>
        <v>242632683.90099323</v>
      </c>
      <c r="I12" s="9">
        <f t="shared" ref="I12:AF12" si="27">I7+I8+I9</f>
        <v>254995856.68657461</v>
      </c>
      <c r="J12" s="9">
        <f t="shared" si="27"/>
        <v>268576460.40901625</v>
      </c>
      <c r="K12" s="9">
        <f t="shared" si="27"/>
        <v>283439750.75934488</v>
      </c>
      <c r="L12" s="9">
        <f t="shared" si="27"/>
        <v>299653913.14353335</v>
      </c>
      <c r="M12" s="9">
        <f t="shared" si="27"/>
        <v>317290183.36243004</v>
      </c>
      <c r="N12" s="9">
        <f t="shared" si="27"/>
        <v>336422973.01517475</v>
      </c>
      <c r="O12" s="9">
        <f t="shared" si="27"/>
        <v>357129999.80482972</v>
      </c>
      <c r="P12" s="9">
        <f t="shared" si="27"/>
        <v>379492422.93155277</v>
      </c>
      <c r="Q12" s="9">
        <f t="shared" si="27"/>
        <v>403594983.76548362</v>
      </c>
      <c r="R12" s="9">
        <f t="shared" si="27"/>
        <v>429526151.99860185</v>
      </c>
      <c r="S12" s="9">
        <f t="shared" si="27"/>
        <v>457378277.48216146</v>
      </c>
      <c r="T12" s="9">
        <f t="shared" si="27"/>
        <v>487247747.96392</v>
      </c>
      <c r="U12" s="9">
        <f t="shared" si="27"/>
        <v>519235152.94726706</v>
      </c>
      <c r="V12" s="9">
        <f t="shared" si="27"/>
        <v>553445453.90253091</v>
      </c>
      <c r="W12" s="9">
        <f t="shared" si="27"/>
        <v>589988161.06921148</v>
      </c>
      <c r="X12" s="9">
        <f t="shared" si="27"/>
        <v>628977517.09666109</v>
      </c>
      <c r="Y12" s="9">
        <f t="shared" si="27"/>
        <v>670532687.77983022</v>
      </c>
      <c r="Z12" s="9">
        <f t="shared" si="27"/>
        <v>714777960.15611291</v>
      </c>
      <c r="AA12" s="9">
        <f t="shared" si="27"/>
        <v>761842948.23908889</v>
      </c>
      <c r="AB12" s="9">
        <f t="shared" si="27"/>
        <v>811862806.67507303</v>
      </c>
      <c r="AC12" s="9">
        <f t="shared" si="27"/>
        <v>864978452.6188612</v>
      </c>
      <c r="AD12" s="9">
        <f t="shared" si="27"/>
        <v>921336796.13591421</v>
      </c>
      <c r="AE12" s="9">
        <f t="shared" si="27"/>
        <v>981090979.44947445</v>
      </c>
      <c r="AF12" s="9">
        <f t="shared" si="27"/>
        <v>1044400625.3627571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33745401.141159266</v>
      </c>
      <c r="D18" s="9">
        <f>Investment!D25</f>
        <v>35505542.157143921</v>
      </c>
      <c r="E18" s="9">
        <f>Investment!E25</f>
        <v>37343776.907383054</v>
      </c>
      <c r="F18" s="9">
        <f>Investment!F25</f>
        <v>39263301.006468572</v>
      </c>
      <c r="G18" s="9">
        <f>Investment!G25</f>
        <v>41267434.620342411</v>
      </c>
      <c r="H18" s="9">
        <f>Investment!H25</f>
        <v>43359627.16527354</v>
      </c>
      <c r="I18" s="9">
        <f>Investment!I25</f>
        <v>45543462.180029035</v>
      </c>
      <c r="J18" s="9">
        <f>Investment!J25</f>
        <v>47822662.37751165</v>
      </c>
      <c r="K18" s="9">
        <f>Investment!K25</f>
        <v>50201094.882360801</v>
      </c>
      <c r="L18" s="9">
        <f>Investment!L25</f>
        <v>52682776.661245719</v>
      </c>
      <c r="M18" s="9">
        <f>Investment!M25</f>
        <v>55271880.152819723</v>
      </c>
      <c r="N18" s="9">
        <f>Investment!N25</f>
        <v>57972739.104553364</v>
      </c>
      <c r="O18" s="9">
        <f>Investment!O25</f>
        <v>60789854.623921484</v>
      </c>
      <c r="P18" s="9">
        <f>Investment!P25</f>
        <v>63727901.451686062</v>
      </c>
      <c r="Q18" s="9">
        <f>Investment!Q25</f>
        <v>66791734.465292692</v>
      </c>
      <c r="R18" s="9">
        <f>Investment!R25</f>
        <v>69986395.420683637</v>
      </c>
      <c r="S18" s="9">
        <f>Investment!S25</f>
        <v>73317119.941127151</v>
      </c>
      <c r="T18" s="9">
        <f>Investment!T25</f>
        <v>76789344.76196824</v>
      </c>
      <c r="U18" s="9">
        <f>Investment!U25</f>
        <v>80408715.240523443</v>
      </c>
      <c r="V18" s="9">
        <f>Investment!V25</f>
        <v>84181093.140669942</v>
      </c>
      <c r="W18" s="9">
        <f>Investment!W25</f>
        <v>88112564.702019528</v>
      </c>
      <c r="X18" s="9">
        <f>Investment!X25</f>
        <v>92209449.003919423</v>
      </c>
      <c r="Y18" s="9">
        <f>Investment!Y25</f>
        <v>96478306.634886026</v>
      </c>
      <c r="Z18" s="9">
        <f>Investment!Z25</f>
        <v>100925948.67845452</v>
      </c>
      <c r="AA18" s="9">
        <f>Investment!AA25</f>
        <v>105559446.02681729</v>
      </c>
      <c r="AB18" s="9">
        <f>Investment!AB25</f>
        <v>110386139.03402849</v>
      </c>
      <c r="AC18" s="9">
        <f>Investment!AC25</f>
        <v>115413647.52096975</v>
      </c>
      <c r="AD18" s="9">
        <f>Investment!AD25</f>
        <v>120649881.14470443</v>
      </c>
      <c r="AE18" s="9">
        <f>Investment!AE25</f>
        <v>126103050.14529666</v>
      </c>
      <c r="AF18" s="9">
        <f>Investment!AF25</f>
        <v>131781676.48363459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224451560.78715923</v>
      </c>
      <c r="D19" s="9">
        <f>D18+C20</f>
        <v>253678117.31782266</v>
      </c>
      <c r="E19" s="9">
        <f>E18+D20</f>
        <v>283861692.87921029</v>
      </c>
      <c r="F19" s="9">
        <f t="shared" ref="F19:AF19" si="28">F18+E20</f>
        <v>315033608.69540107</v>
      </c>
      <c r="G19" s="9">
        <f t="shared" si="28"/>
        <v>347226210.56132752</v>
      </c>
      <c r="H19" s="9">
        <f t="shared" si="28"/>
        <v>380472902.34237695</v>
      </c>
      <c r="I19" s="9">
        <f t="shared" si="28"/>
        <v>414808180.56880647</v>
      </c>
      <c r="J19" s="9">
        <f t="shared" si="28"/>
        <v>450267670.1607368</v>
      </c>
      <c r="K19" s="9">
        <f t="shared" si="28"/>
        <v>486888161.320656</v>
      </c>
      <c r="L19" s="9">
        <f t="shared" si="28"/>
        <v>524707647.63157308</v>
      </c>
      <c r="M19" s="9">
        <f t="shared" si="28"/>
        <v>563765365.4002043</v>
      </c>
      <c r="N19" s="9">
        <f t="shared" si="28"/>
        <v>604101834.28586102</v>
      </c>
      <c r="O19" s="9">
        <f t="shared" si="28"/>
        <v>645758899.25703776</v>
      </c>
      <c r="P19" s="9">
        <f t="shared" si="28"/>
        <v>688779773.91906881</v>
      </c>
      <c r="Q19" s="9">
        <f t="shared" si="28"/>
        <v>733209085.25763857</v>
      </c>
      <c r="R19" s="9">
        <f t="shared" si="28"/>
        <v>779092919.84439135</v>
      </c>
      <c r="S19" s="9">
        <f t="shared" si="28"/>
        <v>826478871.55240023</v>
      </c>
      <c r="T19" s="9">
        <f t="shared" si="28"/>
        <v>875416090.83080888</v>
      </c>
      <c r="U19" s="9">
        <f t="shared" si="28"/>
        <v>925955335.58957374</v>
      </c>
      <c r="V19" s="9">
        <f t="shared" si="28"/>
        <v>978149023.74689662</v>
      </c>
      <c r="W19" s="9">
        <f t="shared" si="28"/>
        <v>1032051287.4936523</v>
      </c>
      <c r="X19" s="9">
        <f t="shared" si="28"/>
        <v>1087718029.3308911</v>
      </c>
      <c r="Y19" s="9">
        <f t="shared" si="28"/>
        <v>1145206979.9383276</v>
      </c>
      <c r="Z19" s="9">
        <f t="shared" si="28"/>
        <v>1204577757.9336128</v>
      </c>
      <c r="AA19" s="9">
        <f t="shared" si="28"/>
        <v>1265891931.5841475</v>
      </c>
      <c r="AB19" s="9">
        <f t="shared" si="28"/>
        <v>1329213082.5352001</v>
      </c>
      <c r="AC19" s="9">
        <f t="shared" si="28"/>
        <v>1394606871.6201854</v>
      </c>
      <c r="AD19" s="9">
        <f t="shared" si="28"/>
        <v>1462141106.8211017</v>
      </c>
      <c r="AE19" s="9">
        <f t="shared" si="28"/>
        <v>1531885813.4493454</v>
      </c>
      <c r="AF19" s="9">
        <f t="shared" si="28"/>
        <v>1603913306.6194196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218172575.16067874</v>
      </c>
      <c r="D20" s="9">
        <f>D19-D8-D9</f>
        <v>246517915.97182724</v>
      </c>
      <c r="E20" s="9">
        <f t="shared" ref="E20:AF20" si="29">E19-E8-E9</f>
        <v>275770307.68893248</v>
      </c>
      <c r="F20" s="9">
        <f t="shared" si="29"/>
        <v>305958775.94098508</v>
      </c>
      <c r="G20" s="9">
        <f t="shared" si="29"/>
        <v>337113275.1771034</v>
      </c>
      <c r="H20" s="9">
        <f t="shared" si="29"/>
        <v>369264718.38877743</v>
      </c>
      <c r="I20" s="9">
        <f t="shared" si="29"/>
        <v>402445007.78322512</v>
      </c>
      <c r="J20" s="9">
        <f t="shared" si="29"/>
        <v>436687066.43829519</v>
      </c>
      <c r="K20" s="9">
        <f t="shared" si="29"/>
        <v>472024870.97032738</v>
      </c>
      <c r="L20" s="9">
        <f t="shared" si="29"/>
        <v>508493485.24738461</v>
      </c>
      <c r="M20" s="9">
        <f t="shared" si="29"/>
        <v>546129095.18130767</v>
      </c>
      <c r="N20" s="9">
        <f t="shared" si="29"/>
        <v>584969044.63311625</v>
      </c>
      <c r="O20" s="9">
        <f t="shared" si="29"/>
        <v>625051872.46738279</v>
      </c>
      <c r="P20" s="9">
        <f t="shared" si="29"/>
        <v>666417350.79234588</v>
      </c>
      <c r="Q20" s="9">
        <f t="shared" si="29"/>
        <v>709106524.42370772</v>
      </c>
      <c r="R20" s="9">
        <f t="shared" si="29"/>
        <v>753161751.61127305</v>
      </c>
      <c r="S20" s="9">
        <f t="shared" si="29"/>
        <v>798626746.06884062</v>
      </c>
      <c r="T20" s="9">
        <f t="shared" si="29"/>
        <v>845546620.34905028</v>
      </c>
      <c r="U20" s="9">
        <f t="shared" si="29"/>
        <v>893967930.60622668</v>
      </c>
      <c r="V20" s="9">
        <f t="shared" si="29"/>
        <v>943938722.79163277</v>
      </c>
      <c r="W20" s="9">
        <f t="shared" si="29"/>
        <v>995508580.32697177</v>
      </c>
      <c r="X20" s="9">
        <f t="shared" si="29"/>
        <v>1048728673.3034415</v>
      </c>
      <c r="Y20" s="9">
        <f t="shared" si="29"/>
        <v>1103651809.2551584</v>
      </c>
      <c r="Z20" s="9">
        <f t="shared" si="29"/>
        <v>1160332485.5573301</v>
      </c>
      <c r="AA20" s="9">
        <f t="shared" si="29"/>
        <v>1218826943.5011716</v>
      </c>
      <c r="AB20" s="9">
        <f t="shared" si="29"/>
        <v>1279193224.0992157</v>
      </c>
      <c r="AC20" s="9">
        <f t="shared" si="29"/>
        <v>1341491225.6763973</v>
      </c>
      <c r="AD20" s="9">
        <f t="shared" si="29"/>
        <v>1405782763.3040488</v>
      </c>
      <c r="AE20" s="9">
        <f t="shared" si="29"/>
        <v>1472131630.1357851</v>
      </c>
      <c r="AF20" s="9">
        <f t="shared" si="29"/>
        <v>1540603660.7061367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19676750</v>
      </c>
      <c r="D22" s="9">
        <f ca="1">'Balance Sheet'!C11</f>
        <v>43823991.089519784</v>
      </c>
      <c r="E22" s="9">
        <f ca="1">'Balance Sheet'!D11</f>
        <v>66645230.978458509</v>
      </c>
      <c r="F22" s="9">
        <f ca="1">'Balance Sheet'!E11</f>
        <v>86854843.542890757</v>
      </c>
      <c r="G22" s="9">
        <f ca="1">'Balance Sheet'!F11</f>
        <v>104337194.18450275</v>
      </c>
      <c r="H22" s="9">
        <f ca="1">'Balance Sheet'!G11</f>
        <v>117700677.00079805</v>
      </c>
      <c r="I22" s="9">
        <f ca="1">'Balance Sheet'!H11</f>
        <v>129843586.69590023</v>
      </c>
      <c r="J22" s="9">
        <f ca="1">'Balance Sheet'!I11</f>
        <v>140281547.02553189</v>
      </c>
      <c r="K22" s="9">
        <f ca="1">'Balance Sheet'!J11</f>
        <v>150752723.03654253</v>
      </c>
      <c r="L22" s="9">
        <f ca="1">'Balance Sheet'!K11</f>
        <v>161116887.15745124</v>
      </c>
      <c r="M22" s="9">
        <f ca="1">'Balance Sheet'!L11</f>
        <v>171212833.41411245</v>
      </c>
      <c r="N22" s="9">
        <f ca="1">'Balance Sheet'!M11</f>
        <v>180856239.07351542</v>
      </c>
      <c r="O22" s="9">
        <f ca="1">'Balance Sheet'!N11</f>
        <v>190599260.69852751</v>
      </c>
      <c r="P22" s="9">
        <f ca="1">'Balance Sheet'!O11</f>
        <v>200334982.98929477</v>
      </c>
      <c r="Q22" s="9">
        <f ca="1">'Balance Sheet'!P11</f>
        <v>209941026.198075</v>
      </c>
      <c r="R22" s="9">
        <f ca="1">'Balance Sheet'!Q11</f>
        <v>219278074.22009176</v>
      </c>
      <c r="S22" s="9">
        <f ca="1">'Balance Sheet'!R11</f>
        <v>229159848.791462</v>
      </c>
      <c r="T22" s="9">
        <f ca="1">'Balance Sheet'!S11</f>
        <v>239555410.72230136</v>
      </c>
      <c r="U22" s="9">
        <f ca="1">'Balance Sheet'!T11</f>
        <v>250426759.09536052</v>
      </c>
      <c r="V22" s="9">
        <f ca="1">'Balance Sheet'!U11</f>
        <v>261728129.98716176</v>
      </c>
      <c r="W22" s="9">
        <f ca="1">'Balance Sheet'!V11</f>
        <v>273405241.42284405</v>
      </c>
      <c r="X22" s="9">
        <f ca="1">'Balance Sheet'!W11</f>
        <v>285394480.94918221</v>
      </c>
      <c r="Y22" s="9">
        <f ca="1">'Balance Sheet'!X11</f>
        <v>297622031.98537832</v>
      </c>
      <c r="Z22" s="9">
        <f ca="1">'Balance Sheet'!Y11</f>
        <v>310002934.87305814</v>
      </c>
      <c r="AA22" s="9">
        <f ca="1">'Balance Sheet'!Z11</f>
        <v>323903422.93687701</v>
      </c>
      <c r="AB22" s="9">
        <f ca="1">'Balance Sheet'!AA11</f>
        <v>340625477.33751851</v>
      </c>
      <c r="AC22" s="9">
        <f ca="1">'Balance Sheet'!AB11</f>
        <v>360391139.76123774</v>
      </c>
      <c r="AD22" s="9">
        <f ca="1">'Balance Sheet'!AC11</f>
        <v>383435357.42216074</v>
      </c>
      <c r="AE22" s="9">
        <f ca="1">'Balance Sheet'!AD11</f>
        <v>410006632.34172451</v>
      </c>
      <c r="AF22" s="9">
        <f ca="1">'Balance Sheet'!AE11</f>
        <v>440367700.71525049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198495825.16067874</v>
      </c>
      <c r="D23" s="9">
        <f t="shared" ref="D23:AF23" ca="1" si="30">D20-D22</f>
        <v>202693924.88230747</v>
      </c>
      <c r="E23" s="9">
        <f t="shared" ca="1" si="30"/>
        <v>209125076.71047395</v>
      </c>
      <c r="F23" s="9">
        <f t="shared" ca="1" si="30"/>
        <v>219103932.39809433</v>
      </c>
      <c r="G23" s="9">
        <f t="shared" ca="1" si="30"/>
        <v>232776080.99260065</v>
      </c>
      <c r="H23" s="9">
        <f t="shared" ca="1" si="30"/>
        <v>251564041.38797939</v>
      </c>
      <c r="I23" s="9">
        <f t="shared" ca="1" si="30"/>
        <v>272601421.08732486</v>
      </c>
      <c r="J23" s="9">
        <f ca="1">J20-J22</f>
        <v>296405519.4127633</v>
      </c>
      <c r="K23" s="9">
        <f t="shared" ca="1" si="30"/>
        <v>321272147.93378484</v>
      </c>
      <c r="L23" s="9">
        <f t="shared" ca="1" si="30"/>
        <v>347376598.0899334</v>
      </c>
      <c r="M23" s="9">
        <f t="shared" ca="1" si="30"/>
        <v>374916261.76719522</v>
      </c>
      <c r="N23" s="9">
        <f t="shared" ca="1" si="30"/>
        <v>404112805.55960083</v>
      </c>
      <c r="O23" s="9">
        <f t="shared" ca="1" si="30"/>
        <v>434452611.76885527</v>
      </c>
      <c r="P23" s="9">
        <f t="shared" ca="1" si="30"/>
        <v>466082367.80305111</v>
      </c>
      <c r="Q23" s="9">
        <f t="shared" ca="1" si="30"/>
        <v>499165498.22563273</v>
      </c>
      <c r="R23" s="9">
        <f t="shared" ca="1" si="30"/>
        <v>533883677.39118129</v>
      </c>
      <c r="S23" s="9">
        <f t="shared" ca="1" si="30"/>
        <v>569466897.27737856</v>
      </c>
      <c r="T23" s="9">
        <f t="shared" ca="1" si="30"/>
        <v>605991209.62674892</v>
      </c>
      <c r="U23" s="9">
        <f t="shared" ca="1" si="30"/>
        <v>643541171.51086617</v>
      </c>
      <c r="V23" s="9">
        <f t="shared" ca="1" si="30"/>
        <v>682210592.80447102</v>
      </c>
      <c r="W23" s="9">
        <f t="shared" ca="1" si="30"/>
        <v>722103338.90412772</v>
      </c>
      <c r="X23" s="9">
        <f t="shared" ca="1" si="30"/>
        <v>763334192.35425925</v>
      </c>
      <c r="Y23" s="9">
        <f t="shared" ca="1" si="30"/>
        <v>806029777.26978016</v>
      </c>
      <c r="Z23" s="9">
        <f t="shared" ca="1" si="30"/>
        <v>850329550.68427205</v>
      </c>
      <c r="AA23" s="9">
        <f t="shared" ca="1" si="30"/>
        <v>894923520.56429458</v>
      </c>
      <c r="AB23" s="9">
        <f t="shared" ca="1" si="30"/>
        <v>938567746.76169729</v>
      </c>
      <c r="AC23" s="9">
        <f t="shared" ca="1" si="30"/>
        <v>981100085.91515958</v>
      </c>
      <c r="AD23" s="9">
        <f t="shared" ca="1" si="30"/>
        <v>1022347405.881888</v>
      </c>
      <c r="AE23" s="9">
        <f t="shared" ca="1" si="30"/>
        <v>1062124997.7940606</v>
      </c>
      <c r="AF23" s="9">
        <f t="shared" ca="1" si="30"/>
        <v>1100235959.9908862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19676750</v>
      </c>
      <c r="D5" s="1">
        <f ca="1">C5+C6</f>
        <v>43823991.089519784</v>
      </c>
      <c r="E5" s="1">
        <f t="shared" ref="E5:AF5" ca="1" si="1">D5+D6</f>
        <v>66645230.978458509</v>
      </c>
      <c r="F5" s="1">
        <f t="shared" ca="1" si="1"/>
        <v>86854843.542890757</v>
      </c>
      <c r="G5" s="1">
        <f t="shared" ca="1" si="1"/>
        <v>104337194.18450275</v>
      </c>
      <c r="H5" s="1">
        <f t="shared" ca="1" si="1"/>
        <v>117700677.00079805</v>
      </c>
      <c r="I5" s="1">
        <f t="shared" ca="1" si="1"/>
        <v>129843586.69590023</v>
      </c>
      <c r="J5" s="1">
        <f t="shared" ca="1" si="1"/>
        <v>140281547.02553189</v>
      </c>
      <c r="K5" s="1">
        <f t="shared" ca="1" si="1"/>
        <v>150752723.03654253</v>
      </c>
      <c r="L5" s="1">
        <f t="shared" ca="1" si="1"/>
        <v>161116887.15745124</v>
      </c>
      <c r="M5" s="1">
        <f t="shared" ca="1" si="1"/>
        <v>171212833.41411245</v>
      </c>
      <c r="N5" s="1">
        <f t="shared" ca="1" si="1"/>
        <v>180856239.07351542</v>
      </c>
      <c r="O5" s="1">
        <f t="shared" ca="1" si="1"/>
        <v>190599260.69852751</v>
      </c>
      <c r="P5" s="1">
        <f t="shared" ca="1" si="1"/>
        <v>200334982.98929477</v>
      </c>
      <c r="Q5" s="1">
        <f t="shared" ca="1" si="1"/>
        <v>209941026.198075</v>
      </c>
      <c r="R5" s="1">
        <f t="shared" ca="1" si="1"/>
        <v>219278074.22009176</v>
      </c>
      <c r="S5" s="1">
        <f t="shared" ca="1" si="1"/>
        <v>229159848.791462</v>
      </c>
      <c r="T5" s="1">
        <f t="shared" ca="1" si="1"/>
        <v>239555410.72230136</v>
      </c>
      <c r="U5" s="1">
        <f t="shared" ca="1" si="1"/>
        <v>250426759.09536052</v>
      </c>
      <c r="V5" s="1">
        <f t="shared" ca="1" si="1"/>
        <v>261728129.98716176</v>
      </c>
      <c r="W5" s="1">
        <f t="shared" ca="1" si="1"/>
        <v>273405241.42284405</v>
      </c>
      <c r="X5" s="1">
        <f t="shared" ca="1" si="1"/>
        <v>285394480.94918221</v>
      </c>
      <c r="Y5" s="1">
        <f t="shared" ca="1" si="1"/>
        <v>297622031.98537832</v>
      </c>
      <c r="Z5" s="1">
        <f t="shared" ca="1" si="1"/>
        <v>310002934.87305814</v>
      </c>
      <c r="AA5" s="1">
        <f t="shared" ca="1" si="1"/>
        <v>323903422.93687701</v>
      </c>
      <c r="AB5" s="1">
        <f t="shared" ca="1" si="1"/>
        <v>340625477.33751851</v>
      </c>
      <c r="AC5" s="1">
        <f t="shared" ca="1" si="1"/>
        <v>360391139.76123774</v>
      </c>
      <c r="AD5" s="1">
        <f t="shared" ca="1" si="1"/>
        <v>383435357.42216074</v>
      </c>
      <c r="AE5" s="1">
        <f t="shared" ca="1" si="1"/>
        <v>410006632.34172451</v>
      </c>
      <c r="AF5" s="1">
        <f t="shared" ca="1" si="1"/>
        <v>440367700.71525049</v>
      </c>
      <c r="AG5" s="1"/>
      <c r="AH5" s="1"/>
      <c r="AI5" s="1"/>
      <c r="AJ5" s="1"/>
      <c r="AK5" s="1"/>
      <c r="AL5" s="1"/>
      <c r="AM5" s="1"/>
      <c r="AN5" s="1"/>
      <c r="AO5" s="1"/>
      <c r="AP5" s="1"/>
    </row>
    <row r="6" spans="1:42" x14ac:dyDescent="0.35">
      <c r="A6" s="63" t="s">
        <v>3</v>
      </c>
      <c r="C6" s="1">
        <f ca="1">-'Cash Flow'!C13</f>
        <v>24147241.089519788</v>
      </c>
      <c r="D6" s="1">
        <f ca="1">-'Cash Flow'!D13</f>
        <v>22821239.888938729</v>
      </c>
      <c r="E6" s="1">
        <f ca="1">-'Cash Flow'!E13</f>
        <v>20209612.564432256</v>
      </c>
      <c r="F6" s="1">
        <f ca="1">-'Cash Flow'!F13</f>
        <v>17482350.641611986</v>
      </c>
      <c r="G6" s="1">
        <f ca="1">-'Cash Flow'!G13</f>
        <v>13363482.816295292</v>
      </c>
      <c r="H6" s="1">
        <f ca="1">-'Cash Flow'!H13</f>
        <v>12142909.695102181</v>
      </c>
      <c r="I6" s="1">
        <f ca="1">-'Cash Flow'!I13</f>
        <v>10437960.329631656</v>
      </c>
      <c r="J6" s="1">
        <f ca="1">-'Cash Flow'!J13</f>
        <v>10471176.011010632</v>
      </c>
      <c r="K6" s="1">
        <f ca="1">-'Cash Flow'!K13</f>
        <v>10364164.120908715</v>
      </c>
      <c r="L6" s="1">
        <f ca="1">-'Cash Flow'!L13</f>
        <v>10095946.256661214</v>
      </c>
      <c r="M6" s="1">
        <f ca="1">-'Cash Flow'!M13</f>
        <v>9643405.6594029665</v>
      </c>
      <c r="N6" s="1">
        <f ca="1">-'Cash Flow'!N13</f>
        <v>9743021.6250120923</v>
      </c>
      <c r="O6" s="1">
        <f ca="1">-'Cash Flow'!O13</f>
        <v>9735722.2907672599</v>
      </c>
      <c r="P6" s="1">
        <f ca="1">-'Cash Flow'!P13</f>
        <v>9606043.2087802216</v>
      </c>
      <c r="Q6" s="1">
        <f ca="1">-'Cash Flow'!Q13</f>
        <v>9337048.0220167786</v>
      </c>
      <c r="R6" s="1">
        <f ca="1">-'Cash Flow'!R13</f>
        <v>9881774.571370244</v>
      </c>
      <c r="S6" s="1">
        <f ca="1">-'Cash Flow'!S13</f>
        <v>10395561.930839352</v>
      </c>
      <c r="T6" s="1">
        <f ca="1">-'Cash Flow'!T13</f>
        <v>10871348.373059168</v>
      </c>
      <c r="U6" s="1">
        <f ca="1">-'Cash Flow'!U13</f>
        <v>11301370.891801223</v>
      </c>
      <c r="V6" s="1">
        <f ca="1">-'Cash Flow'!V13</f>
        <v>11677111.435682297</v>
      </c>
      <c r="W6" s="1">
        <f ca="1">-'Cash Flow'!W13</f>
        <v>11989239.526338175</v>
      </c>
      <c r="X6" s="1">
        <f ca="1">-'Cash Flow'!X13</f>
        <v>12227551.036196113</v>
      </c>
      <c r="Y6" s="1">
        <f ca="1">-'Cash Flow'!Y13</f>
        <v>12380902.887679815</v>
      </c>
      <c r="Z6" s="1">
        <f ca="1">-'Cash Flow'!Z13</f>
        <v>13900488.063818872</v>
      </c>
      <c r="AA6" s="1">
        <f ca="1">-'Cash Flow'!AA13</f>
        <v>16722054.400641501</v>
      </c>
      <c r="AB6" s="1">
        <f ca="1">-'Cash Flow'!AB13</f>
        <v>19765662.423719212</v>
      </c>
      <c r="AC6" s="1">
        <f ca="1">-'Cash Flow'!AC13</f>
        <v>23044217.660923034</v>
      </c>
      <c r="AD6" s="1">
        <f ca="1">-'Cash Flow'!AD13</f>
        <v>26571274.919563755</v>
      </c>
      <c r="AE6" s="1">
        <f ca="1">-'Cash Flow'!AE13</f>
        <v>30361068.373525977</v>
      </c>
      <c r="AF6" s="1">
        <f ca="1">-'Cash Flow'!AF13</f>
        <v>34428542.973706812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1533839.6881331925</v>
      </c>
      <c r="D8" s="1">
        <f ca="1">IF(SUM(D5:D6)&gt;0,Assumptions!$C$26*SUM(D5:D6),Assumptions!$C$27*(SUM(D5:D6)))</f>
        <v>2332583.0842460482</v>
      </c>
      <c r="E8" s="1">
        <f ca="1">IF(SUM(E5:E6)&gt;0,Assumptions!$C$26*SUM(E5:E6),Assumptions!$C$27*(SUM(E5:E6)))</f>
        <v>3039919.5240011769</v>
      </c>
      <c r="F8" s="1">
        <f ca="1">IF(SUM(F5:F6)&gt;0,Assumptions!$C$26*SUM(F5:F6),Assumptions!$C$27*(SUM(F5:F6)))</f>
        <v>3651801.7964575966</v>
      </c>
      <c r="G8" s="1">
        <f ca="1">IF(SUM(G5:G6)&gt;0,Assumptions!$C$26*SUM(G5:G6),Assumptions!$C$27*(SUM(G5:G6)))</f>
        <v>4119523.6950279321</v>
      </c>
      <c r="H8" s="1">
        <f ca="1">IF(SUM(H5:H6)&gt;0,Assumptions!$C$26*SUM(H5:H6),Assumptions!$C$27*(SUM(H5:H6)))</f>
        <v>4544525.5343565084</v>
      </c>
      <c r="I8" s="1">
        <f ca="1">IF(SUM(I5:I6)&gt;0,Assumptions!$C$26*SUM(I5:I6),Assumptions!$C$27*(SUM(I5:I6)))</f>
        <v>4909854.1458936166</v>
      </c>
      <c r="J8" s="1">
        <f ca="1">IF(SUM(J5:J6)&gt;0,Assumptions!$C$26*SUM(J5:J6),Assumptions!$C$27*(SUM(J5:J6)))</f>
        <v>5276345.3062789897</v>
      </c>
      <c r="K8" s="1">
        <f ca="1">IF(SUM(K5:K6)&gt;0,Assumptions!$C$26*SUM(K5:K6),Assumptions!$C$27*(SUM(K5:K6)))</f>
        <v>5639091.0505107939</v>
      </c>
      <c r="L8" s="1">
        <f ca="1">IF(SUM(L5:L6)&gt;0,Assumptions!$C$26*SUM(L5:L6),Assumptions!$C$27*(SUM(L5:L6)))</f>
        <v>5992449.169493936</v>
      </c>
      <c r="M8" s="1">
        <f ca="1">IF(SUM(M5:M6)&gt;0,Assumptions!$C$26*SUM(M5:M6),Assumptions!$C$27*(SUM(M5:M6)))</f>
        <v>6329968.3675730405</v>
      </c>
      <c r="N8" s="1">
        <f ca="1">IF(SUM(N5:N6)&gt;0,Assumptions!$C$26*SUM(N5:N6),Assumptions!$C$27*(SUM(N5:N6)))</f>
        <v>6670974.1244484633</v>
      </c>
      <c r="O8" s="1">
        <f ca="1">IF(SUM(O5:O6)&gt;0,Assumptions!$C$26*SUM(O5:O6),Assumptions!$C$27*(SUM(O5:O6)))</f>
        <v>7011724.4046253171</v>
      </c>
      <c r="P8" s="1">
        <f ca="1">IF(SUM(P5:P6)&gt;0,Assumptions!$C$26*SUM(P5:P6),Assumptions!$C$27*(SUM(P5:P6)))</f>
        <v>7347935.9169326257</v>
      </c>
      <c r="Q8" s="1">
        <f ca="1">IF(SUM(Q5:Q6)&gt;0,Assumptions!$C$26*SUM(Q5:Q6),Assumptions!$C$27*(SUM(Q5:Q6)))</f>
        <v>7674732.5977032119</v>
      </c>
      <c r="R8" s="1">
        <f ca="1">IF(SUM(R5:R6)&gt;0,Assumptions!$C$26*SUM(R5:R6),Assumptions!$C$27*(SUM(R5:R6)))</f>
        <v>8020594.7077011708</v>
      </c>
      <c r="S8" s="1">
        <f ca="1">IF(SUM(S5:S6)&gt;0,Assumptions!$C$26*SUM(S5:S6),Assumptions!$C$27*(SUM(S5:S6)))</f>
        <v>8384439.3752805488</v>
      </c>
      <c r="T8" s="1">
        <f ca="1">IF(SUM(T5:T6)&gt;0,Assumptions!$C$26*SUM(T5:T6),Assumptions!$C$27*(SUM(T5:T6)))</f>
        <v>8764936.5683376193</v>
      </c>
      <c r="U8" s="1">
        <f ca="1">IF(SUM(U5:U6)&gt;0,Assumptions!$C$26*SUM(U5:U6),Assumptions!$C$27*(SUM(U5:U6)))</f>
        <v>9160484.5495506618</v>
      </c>
      <c r="V8" s="1">
        <f ca="1">IF(SUM(V5:V6)&gt;0,Assumptions!$C$26*SUM(V5:V6),Assumptions!$C$27*(SUM(V5:V6)))</f>
        <v>9569183.4497995432</v>
      </c>
      <c r="W8" s="1">
        <f ca="1">IF(SUM(W5:W6)&gt;0,Assumptions!$C$26*SUM(W5:W6),Assumptions!$C$27*(SUM(W5:W6)))</f>
        <v>9988806.8332213778</v>
      </c>
      <c r="X8" s="1">
        <f ca="1">IF(SUM(X5:X6)&gt;0,Assumptions!$C$26*SUM(X5:X6),Assumptions!$C$27*(SUM(X5:X6)))</f>
        <v>10416771.119488243</v>
      </c>
      <c r="Y8" s="1">
        <f ca="1">IF(SUM(Y5:Y6)&gt;0,Assumptions!$C$26*SUM(Y5:Y6),Assumptions!$C$27*(SUM(Y5:Y6)))</f>
        <v>10850102.720557036</v>
      </c>
      <c r="Z8" s="1">
        <f ca="1">IF(SUM(Z5:Z6)&gt;0,Assumptions!$C$26*SUM(Z5:Z6),Assumptions!$C$27*(SUM(Z5:Z6)))</f>
        <v>11336619.802790696</v>
      </c>
      <c r="AA8" s="1">
        <f ca="1">IF(SUM(AA5:AA6)&gt;0,Assumptions!$C$26*SUM(AA5:AA6),Assumptions!$C$27*(SUM(AA5:AA6)))</f>
        <v>11921891.706813149</v>
      </c>
      <c r="AB8" s="1">
        <f ca="1">IF(SUM(AB5:AB6)&gt;0,Assumptions!$C$26*SUM(AB5:AB6),Assumptions!$C$27*(SUM(AB5:AB6)))</f>
        <v>12613689.891643323</v>
      </c>
      <c r="AC8" s="1">
        <f ca="1">IF(SUM(AC5:AC6)&gt;0,Assumptions!$C$26*SUM(AC5:AC6),Assumptions!$C$27*(SUM(AC5:AC6)))</f>
        <v>13420237.509775627</v>
      </c>
      <c r="AD8" s="1">
        <f ca="1">IF(SUM(AD5:AD6)&gt;0,Assumptions!$C$26*SUM(AD5:AD6),Assumptions!$C$27*(SUM(AD5:AD6)))</f>
        <v>14350232.131960358</v>
      </c>
      <c r="AE8" s="1">
        <f ca="1">IF(SUM(AE5:AE6)&gt;0,Assumptions!$C$26*SUM(AE5:AE6),Assumptions!$C$27*(SUM(AE5:AE6)))</f>
        <v>15412869.525033768</v>
      </c>
      <c r="AF8" s="1">
        <f ca="1">IF(SUM(AF5:AF6)&gt;0,Assumptions!$C$26*SUM(AF5:AF6),Assumptions!$C$27*(SUM(AF5:AF6)))</f>
        <v>16617868.529113509</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B1" zoomScale="80" zoomScaleNormal="80" workbookViewId="0">
      <selection sqref="A1:XFD1048576"/>
    </sheetView>
  </sheetViews>
  <sheetFormatPr defaultRowHeight="15.5" x14ac:dyDescent="0.35"/>
  <cols>
    <col min="1" max="1" width="107.9140625" style="63" customWidth="1"/>
    <col min="2" max="2" width="19.6640625" style="63" customWidth="1"/>
    <col min="3" max="3" width="101.33203125" style="63" bestFit="1"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97</v>
      </c>
      <c r="B7" s="185">
        <f>Assumptions!C24</f>
        <v>14252433.27</v>
      </c>
      <c r="C7" s="181" t="str">
        <f>Assumptions!B24</f>
        <v>RFI Table F10; Lines F10.13 + F10.33 + F10.46 + F10.52 + F10.57 + F10.70</v>
      </c>
    </row>
    <row r="8" spans="1:3" ht="18.5" x14ac:dyDescent="0.45">
      <c r="A8" s="90" t="s">
        <v>174</v>
      </c>
      <c r="B8" s="186">
        <f>Assumptions!$C$133</f>
        <v>0.7</v>
      </c>
      <c r="C8" s="181" t="s">
        <v>201</v>
      </c>
    </row>
    <row r="9" spans="1:3" ht="18.5" x14ac:dyDescent="0.45">
      <c r="A9" s="90"/>
      <c r="B9" s="187"/>
      <c r="C9" s="181"/>
    </row>
    <row r="10" spans="1:3" ht="34" x14ac:dyDescent="0.45">
      <c r="A10" s="94" t="s">
        <v>103</v>
      </c>
      <c r="B10" s="188">
        <f>Assumptions!C135</f>
        <v>7590.74074074074</v>
      </c>
      <c r="C10" s="181" t="s">
        <v>202</v>
      </c>
    </row>
    <row r="11" spans="1:3" ht="18.5" x14ac:dyDescent="0.45">
      <c r="A11" s="94"/>
      <c r="B11" s="189"/>
      <c r="C11" s="181"/>
    </row>
    <row r="12" spans="1:3" ht="18.5" x14ac:dyDescent="0.45">
      <c r="A12" s="94" t="s">
        <v>184</v>
      </c>
      <c r="B12" s="185">
        <f>(B7*B8)/B10</f>
        <v>1314.3253905977067</v>
      </c>
      <c r="C12" s="181"/>
    </row>
    <row r="13" spans="1:3" ht="18.5" x14ac:dyDescent="0.45">
      <c r="A13" s="96"/>
      <c r="B13" s="190"/>
      <c r="C13" s="181"/>
    </row>
    <row r="14" spans="1:3" ht="18.5" x14ac:dyDescent="0.45">
      <c r="A14" s="94" t="s">
        <v>104</v>
      </c>
      <c r="B14" s="184">
        <v>1</v>
      </c>
      <c r="C14" s="181"/>
    </row>
    <row r="15" spans="1:3" ht="18.5" x14ac:dyDescent="0.45">
      <c r="A15" s="96"/>
      <c r="B15" s="183"/>
      <c r="C15" s="181"/>
    </row>
    <row r="16" spans="1:3" ht="18.5" x14ac:dyDescent="0.45">
      <c r="A16" s="96" t="s">
        <v>179</v>
      </c>
      <c r="B16" s="191">
        <f>B12/B14</f>
        <v>1314.3253905977067</v>
      </c>
      <c r="C16" s="181"/>
    </row>
    <row r="17" spans="1:3" ht="18.5" x14ac:dyDescent="0.45">
      <c r="A17" s="94"/>
      <c r="B17" s="192"/>
      <c r="C17" s="181"/>
    </row>
    <row r="18" spans="1:3" ht="18.5" x14ac:dyDescent="0.45">
      <c r="A18" s="102" t="s">
        <v>178</v>
      </c>
      <c r="B18" s="192"/>
      <c r="C18" s="181"/>
    </row>
    <row r="19" spans="1:3" ht="18.5" x14ac:dyDescent="0.45">
      <c r="A19" s="94"/>
      <c r="B19" s="192"/>
      <c r="C19" s="181"/>
    </row>
    <row r="20" spans="1:3" ht="18.5" x14ac:dyDescent="0.45">
      <c r="A20" s="94" t="s">
        <v>66</v>
      </c>
      <c r="B20" s="185">
        <f>'Profit and Loss'!L5</f>
        <v>67721850.052421927</v>
      </c>
      <c r="C20" s="181" t="s">
        <v>203</v>
      </c>
    </row>
    <row r="21" spans="1:3" ht="18.5" x14ac:dyDescent="0.45">
      <c r="A21" s="94" t="str">
        <f>A8</f>
        <v>Assumed revenue from households</v>
      </c>
      <c r="B21" s="186">
        <f>B8</f>
        <v>0.7</v>
      </c>
      <c r="C21" s="181" t="s">
        <v>201</v>
      </c>
    </row>
    <row r="22" spans="1:3" ht="18.5" x14ac:dyDescent="0.45">
      <c r="A22" s="94"/>
      <c r="B22" s="189"/>
      <c r="C22" s="181"/>
    </row>
    <row r="23" spans="1:3" ht="18.5" x14ac:dyDescent="0.45">
      <c r="A23" s="94" t="s">
        <v>102</v>
      </c>
      <c r="B23" s="188">
        <f>Assumptions!M135</f>
        <v>8556.4796043646475</v>
      </c>
      <c r="C23" s="181" t="s">
        <v>204</v>
      </c>
    </row>
    <row r="24" spans="1:3" ht="18.5" x14ac:dyDescent="0.45">
      <c r="A24" s="94"/>
      <c r="B24" s="189"/>
      <c r="C24" s="181"/>
    </row>
    <row r="25" spans="1:3" ht="18.5" x14ac:dyDescent="0.45">
      <c r="A25" s="94" t="s">
        <v>183</v>
      </c>
      <c r="B25" s="185">
        <f>(B20*B21)/B23</f>
        <v>5540.2802587776841</v>
      </c>
      <c r="C25" s="181"/>
    </row>
    <row r="26" spans="1:3" ht="18.5" x14ac:dyDescent="0.45">
      <c r="A26" s="94"/>
      <c r="B26" s="185"/>
      <c r="C26" s="181"/>
    </row>
    <row r="27" spans="1:3" ht="18.5" x14ac:dyDescent="0.45">
      <c r="A27" s="94" t="s">
        <v>104</v>
      </c>
      <c r="B27" s="184">
        <f>1.022^11</f>
        <v>1.2704566586717592</v>
      </c>
      <c r="C27" s="181" t="s">
        <v>205</v>
      </c>
    </row>
    <row r="28" spans="1:3" ht="18.5" x14ac:dyDescent="0.45">
      <c r="A28" s="96"/>
      <c r="B28" s="190"/>
      <c r="C28" s="181"/>
    </row>
    <row r="29" spans="1:3" ht="18.5" x14ac:dyDescent="0.45">
      <c r="A29" s="96" t="s">
        <v>180</v>
      </c>
      <c r="B29" s="185">
        <f>B25/B27</f>
        <v>4360.8573507497322</v>
      </c>
      <c r="C29" s="181"/>
    </row>
    <row r="30" spans="1:3" ht="18.5" x14ac:dyDescent="0.45">
      <c r="A30" s="96"/>
      <c r="B30" s="190"/>
      <c r="C30" s="181"/>
    </row>
    <row r="31" spans="1:3" ht="18.5" x14ac:dyDescent="0.45">
      <c r="A31" s="102" t="s">
        <v>186</v>
      </c>
      <c r="B31" s="193"/>
      <c r="C31" s="181"/>
    </row>
    <row r="32" spans="1:3" ht="18.5" x14ac:dyDescent="0.45">
      <c r="A32" s="94"/>
      <c r="B32" s="185"/>
      <c r="C32" s="181"/>
    </row>
    <row r="33" spans="1:3" ht="18.5" x14ac:dyDescent="0.45">
      <c r="A33" s="94" t="s">
        <v>67</v>
      </c>
      <c r="B33" s="185">
        <f>'Profit and Loss'!AF5</f>
        <v>178083265.72427177</v>
      </c>
      <c r="C33" s="181" t="s">
        <v>203</v>
      </c>
    </row>
    <row r="34" spans="1:3" ht="18.5" x14ac:dyDescent="0.45">
      <c r="A34" s="94" t="str">
        <f>A21</f>
        <v>Assumed revenue from households</v>
      </c>
      <c r="B34" s="186">
        <f>B21</f>
        <v>0.7</v>
      </c>
      <c r="C34" s="181" t="s">
        <v>201</v>
      </c>
    </row>
    <row r="35" spans="1:3" ht="18.5" x14ac:dyDescent="0.45">
      <c r="A35" s="94"/>
      <c r="B35" s="189"/>
      <c r="C35" s="181"/>
    </row>
    <row r="36" spans="1:3" ht="18.5" x14ac:dyDescent="0.45">
      <c r="A36" s="94" t="s">
        <v>101</v>
      </c>
      <c r="B36" s="188">
        <f>Assumptions!AG135</f>
        <v>10872.190201104553</v>
      </c>
      <c r="C36" s="181" t="s">
        <v>204</v>
      </c>
    </row>
    <row r="37" spans="1:3" ht="18.5" x14ac:dyDescent="0.45">
      <c r="A37" s="94"/>
      <c r="B37" s="189"/>
      <c r="C37" s="181"/>
    </row>
    <row r="38" spans="1:3" ht="18.5" x14ac:dyDescent="0.45">
      <c r="A38" s="94" t="s">
        <v>182</v>
      </c>
      <c r="B38" s="185">
        <f>(B33*B34)/B36</f>
        <v>11465.793340731443</v>
      </c>
      <c r="C38" s="181"/>
    </row>
    <row r="39" spans="1:3" ht="18.5" x14ac:dyDescent="0.45">
      <c r="A39" s="94"/>
      <c r="B39" s="189"/>
      <c r="C39" s="181"/>
    </row>
    <row r="40" spans="1:3" ht="18.5" x14ac:dyDescent="0.45">
      <c r="A40" s="94" t="s">
        <v>104</v>
      </c>
      <c r="B40" s="184">
        <f>1.022^31</f>
        <v>1.9632597808456462</v>
      </c>
      <c r="C40" s="181" t="s">
        <v>205</v>
      </c>
    </row>
    <row r="41" spans="1:3" ht="18.5" x14ac:dyDescent="0.45">
      <c r="A41" s="96"/>
      <c r="B41" s="190"/>
      <c r="C41" s="182"/>
    </row>
    <row r="42" spans="1:3" ht="18.5" x14ac:dyDescent="0.45">
      <c r="A42" s="96" t="s">
        <v>181</v>
      </c>
      <c r="B42" s="185">
        <f>B38/B40</f>
        <v>5840.1814434321659</v>
      </c>
      <c r="C42" s="1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4" t="s">
        <v>28</v>
      </c>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1.204796536155861E-2</v>
      </c>
      <c r="D13" s="128">
        <f t="shared" ref="D13:AG13" si="3">(1+$C$13)^D8</f>
        <v>1.0120479653615586</v>
      </c>
      <c r="E13" s="128">
        <f t="shared" si="3"/>
        <v>1.0242410841924705</v>
      </c>
      <c r="F13" s="128">
        <f t="shared" si="3"/>
        <v>1.0365811052967067</v>
      </c>
      <c r="G13" s="128">
        <f t="shared" si="3"/>
        <v>1.0490697985477675</v>
      </c>
      <c r="H13" s="128">
        <f t="shared" si="3"/>
        <v>1.0617089551425283</v>
      </c>
      <c r="I13" s="128">
        <f t="shared" si="3"/>
        <v>1.0745003878581421</v>
      </c>
      <c r="J13" s="128">
        <f t="shared" si="3"/>
        <v>1.0874459313120381</v>
      </c>
      <c r="K13" s="128">
        <f t="shared" si="3"/>
        <v>1.1005474422250534</v>
      </c>
      <c r="L13" s="128">
        <f t="shared" si="3"/>
        <v>1.1138067996877328</v>
      </c>
      <c r="M13" s="128">
        <f t="shared" si="3"/>
        <v>1.127225905429839</v>
      </c>
      <c r="N13" s="128">
        <f t="shared" si="3"/>
        <v>1.1408066840931093</v>
      </c>
      <c r="O13" s="128">
        <f t="shared" si="3"/>
        <v>1.1545510835072976</v>
      </c>
      <c r="P13" s="128">
        <f t="shared" si="3"/>
        <v>1.1684610749695434</v>
      </c>
      <c r="Q13" s="128">
        <f t="shared" si="3"/>
        <v>1.1825386535271061</v>
      </c>
      <c r="R13" s="128">
        <f t="shared" si="3"/>
        <v>1.1967858382635046</v>
      </c>
      <c r="S13" s="128">
        <f t="shared" si="3"/>
        <v>1.2112046725881074</v>
      </c>
      <c r="T13" s="128">
        <f t="shared" si="3"/>
        <v>1.2257972245292068</v>
      </c>
      <c r="U13" s="128">
        <f t="shared" si="3"/>
        <v>1.2405655870306294</v>
      </c>
      <c r="V13" s="128">
        <f t="shared" si="3"/>
        <v>1.2555118782519161</v>
      </c>
      <c r="W13" s="128">
        <f t="shared" si="3"/>
        <v>1.2706382418721205</v>
      </c>
      <c r="X13" s="128">
        <f t="shared" si="3"/>
        <v>1.2859468473972675</v>
      </c>
      <c r="Y13" s="128">
        <f t="shared" si="3"/>
        <v>1.3014398904715154</v>
      </c>
      <c r="Z13" s="128">
        <f t="shared" si="3"/>
        <v>1.3171195931920667</v>
      </c>
      <c r="AA13" s="128">
        <f t="shared" si="3"/>
        <v>1.3329882044278749</v>
      </c>
      <c r="AB13" s="128">
        <f t="shared" si="3"/>
        <v>1.3490480001421881</v>
      </c>
      <c r="AC13" s="128">
        <f t="shared" si="3"/>
        <v>1.3653012837189811</v>
      </c>
      <c r="AD13" s="128">
        <f t="shared" si="3"/>
        <v>1.3817503862933189</v>
      </c>
      <c r="AE13" s="128">
        <f t="shared" si="3"/>
        <v>1.398397667085701</v>
      </c>
      <c r="AF13" s="128">
        <f t="shared" si="3"/>
        <v>1.4152455137404338</v>
      </c>
      <c r="AG13" s="128">
        <f t="shared" si="3"/>
        <v>1.4322963426680799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170</v>
      </c>
      <c r="C17" s="136">
        <f>AVERAGE(C49:C50)</f>
        <v>381412319.29199994</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190706159.64599997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19676750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f>185+823+237+5393+1468+313+3952+263</f>
        <v>12634</v>
      </c>
      <c r="E23" s="73" t="s">
        <v>199</v>
      </c>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06" t="s">
        <v>200</v>
      </c>
      <c r="C24" s="180">
        <v>14252433.27</v>
      </c>
      <c r="D24" s="140"/>
      <c r="E24" s="179"/>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6577682.0000000009</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331632508.07999992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136</v>
      </c>
      <c r="C50" s="71">
        <v>431192130.50400001</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979491.1746023189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1801160.1748910337</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1390325.6747466763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2669819.5382966986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4618929.2090689009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3644374.3736827997</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5445534.548573833</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70" t="s">
        <v>176</v>
      </c>
      <c r="C77" s="87">
        <v>43718989.706902236</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768789490.38896525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740657153.14367104</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812508480.09586751</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784376142.8505733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19590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21400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20495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39644.229328903028</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38271.585403784986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812508480.09586751</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784376142.8505733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798442311.47322035</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798442311.47322035</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26614743.715774011</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5445534.548573833</v>
      </c>
      <c r="E111" s="149">
        <f t="shared" si="9"/>
        <v>5445534.548573833</v>
      </c>
      <c r="F111" s="149">
        <f t="shared" si="9"/>
        <v>5445534.548573833</v>
      </c>
      <c r="G111" s="149">
        <f t="shared" si="9"/>
        <v>5445534.548573833</v>
      </c>
      <c r="H111" s="149">
        <f t="shared" si="9"/>
        <v>5445534.548573833</v>
      </c>
      <c r="I111" s="149">
        <f t="shared" si="9"/>
        <v>5445534.548573833</v>
      </c>
      <c r="J111" s="149">
        <f t="shared" si="9"/>
        <v>5445534.548573833</v>
      </c>
      <c r="K111" s="149">
        <f t="shared" si="9"/>
        <v>5445534.548573833</v>
      </c>
      <c r="L111" s="149">
        <f t="shared" si="9"/>
        <v>5445534.548573833</v>
      </c>
      <c r="M111" s="149">
        <f t="shared" si="9"/>
        <v>5445534.548573833</v>
      </c>
      <c r="N111" s="149">
        <f t="shared" si="9"/>
        <v>5445534.548573833</v>
      </c>
      <c r="O111" s="149">
        <f t="shared" si="9"/>
        <v>5445534.548573833</v>
      </c>
      <c r="P111" s="149">
        <f t="shared" si="9"/>
        <v>5445534.548573833</v>
      </c>
      <c r="Q111" s="149">
        <f t="shared" si="9"/>
        <v>5445534.548573833</v>
      </c>
      <c r="R111" s="149">
        <f t="shared" si="9"/>
        <v>5445534.548573833</v>
      </c>
      <c r="S111" s="149">
        <f t="shared" si="9"/>
        <v>5445534.548573833</v>
      </c>
      <c r="T111" s="149">
        <f t="shared" si="9"/>
        <v>5445534.548573833</v>
      </c>
      <c r="U111" s="149">
        <f t="shared" si="9"/>
        <v>5445534.548573833</v>
      </c>
      <c r="V111" s="149">
        <f t="shared" si="9"/>
        <v>5445534.548573833</v>
      </c>
      <c r="W111" s="149">
        <f t="shared" si="9"/>
        <v>5445534.548573833</v>
      </c>
      <c r="X111" s="149">
        <f t="shared" si="9"/>
        <v>5445534.548573833</v>
      </c>
      <c r="Y111" s="149">
        <f t="shared" si="9"/>
        <v>5445534.548573833</v>
      </c>
      <c r="Z111" s="149">
        <f t="shared" si="9"/>
        <v>5445534.548573833</v>
      </c>
      <c r="AA111" s="149">
        <f t="shared" si="9"/>
        <v>5445534.548573833</v>
      </c>
      <c r="AB111" s="149">
        <f t="shared" si="9"/>
        <v>5445534.548573833</v>
      </c>
      <c r="AC111" s="149">
        <f t="shared" si="9"/>
        <v>5445534.548573833</v>
      </c>
      <c r="AD111" s="149">
        <f t="shared" si="9"/>
        <v>5445534.548573833</v>
      </c>
      <c r="AE111" s="149">
        <f t="shared" si="9"/>
        <v>5445534.548573833</v>
      </c>
      <c r="AF111" s="149">
        <f t="shared" si="9"/>
        <v>5445534.548573833</v>
      </c>
      <c r="AG111" s="149">
        <f t="shared" si="9"/>
        <v>5445534.548573833</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798442311.47322059</v>
      </c>
      <c r="D113" s="149">
        <f t="shared" ref="D113:AG113" si="10">$C$102</f>
        <v>26614743.715774011</v>
      </c>
      <c r="E113" s="149">
        <f t="shared" si="10"/>
        <v>26614743.715774011</v>
      </c>
      <c r="F113" s="149">
        <f t="shared" si="10"/>
        <v>26614743.715774011</v>
      </c>
      <c r="G113" s="149">
        <f t="shared" si="10"/>
        <v>26614743.715774011</v>
      </c>
      <c r="H113" s="149">
        <f t="shared" si="10"/>
        <v>26614743.715774011</v>
      </c>
      <c r="I113" s="149">
        <f t="shared" si="10"/>
        <v>26614743.715774011</v>
      </c>
      <c r="J113" s="149">
        <f t="shared" si="10"/>
        <v>26614743.715774011</v>
      </c>
      <c r="K113" s="149">
        <f t="shared" si="10"/>
        <v>26614743.715774011</v>
      </c>
      <c r="L113" s="149">
        <f t="shared" si="10"/>
        <v>26614743.715774011</v>
      </c>
      <c r="M113" s="149">
        <f t="shared" si="10"/>
        <v>26614743.715774011</v>
      </c>
      <c r="N113" s="149">
        <f t="shared" si="10"/>
        <v>26614743.715774011</v>
      </c>
      <c r="O113" s="149">
        <f t="shared" si="10"/>
        <v>26614743.715774011</v>
      </c>
      <c r="P113" s="149">
        <f t="shared" si="10"/>
        <v>26614743.715774011</v>
      </c>
      <c r="Q113" s="149">
        <f t="shared" si="10"/>
        <v>26614743.715774011</v>
      </c>
      <c r="R113" s="149">
        <f t="shared" si="10"/>
        <v>26614743.715774011</v>
      </c>
      <c r="S113" s="149">
        <f t="shared" si="10"/>
        <v>26614743.715774011</v>
      </c>
      <c r="T113" s="149">
        <f t="shared" si="10"/>
        <v>26614743.715774011</v>
      </c>
      <c r="U113" s="149">
        <f t="shared" si="10"/>
        <v>26614743.715774011</v>
      </c>
      <c r="V113" s="149">
        <f t="shared" si="10"/>
        <v>26614743.715774011</v>
      </c>
      <c r="W113" s="149">
        <f t="shared" si="10"/>
        <v>26614743.715774011</v>
      </c>
      <c r="X113" s="149">
        <f t="shared" si="10"/>
        <v>26614743.715774011</v>
      </c>
      <c r="Y113" s="149">
        <f t="shared" si="10"/>
        <v>26614743.715774011</v>
      </c>
      <c r="Z113" s="149">
        <f t="shared" si="10"/>
        <v>26614743.715774011</v>
      </c>
      <c r="AA113" s="149">
        <f t="shared" si="10"/>
        <v>26614743.715774011</v>
      </c>
      <c r="AB113" s="149">
        <f t="shared" si="10"/>
        <v>26614743.715774011</v>
      </c>
      <c r="AC113" s="149">
        <f t="shared" si="10"/>
        <v>26614743.715774011</v>
      </c>
      <c r="AD113" s="149">
        <f t="shared" si="10"/>
        <v>26614743.715774011</v>
      </c>
      <c r="AE113" s="149">
        <f t="shared" si="10"/>
        <v>26614743.715774011</v>
      </c>
      <c r="AF113" s="149">
        <f t="shared" si="10"/>
        <v>26614743.715774011</v>
      </c>
      <c r="AG113" s="149">
        <f t="shared" si="10"/>
        <v>26614743.715774011</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26614743.715774011</v>
      </c>
      <c r="E118" s="149">
        <f t="shared" ref="E118:AG118" si="13">E113+E115+E116</f>
        <v>26614743.715774011</v>
      </c>
      <c r="F118" s="149">
        <f>F113+F115+F116</f>
        <v>26614743.715774011</v>
      </c>
      <c r="G118" s="149">
        <f t="shared" si="13"/>
        <v>26614743.715774011</v>
      </c>
      <c r="H118" s="149">
        <f t="shared" si="13"/>
        <v>26614743.715774011</v>
      </c>
      <c r="I118" s="149">
        <f t="shared" si="13"/>
        <v>26614743.715774011</v>
      </c>
      <c r="J118" s="149">
        <f t="shared" si="13"/>
        <v>26614743.715774011</v>
      </c>
      <c r="K118" s="149">
        <f t="shared" si="13"/>
        <v>26614743.715774011</v>
      </c>
      <c r="L118" s="149">
        <f t="shared" si="13"/>
        <v>26614743.715774011</v>
      </c>
      <c r="M118" s="149">
        <f t="shared" si="13"/>
        <v>26614743.715774011</v>
      </c>
      <c r="N118" s="149">
        <f t="shared" si="13"/>
        <v>26614743.715774011</v>
      </c>
      <c r="O118" s="149">
        <f t="shared" si="13"/>
        <v>26614743.715774011</v>
      </c>
      <c r="P118" s="149">
        <f t="shared" si="13"/>
        <v>26614743.715774011</v>
      </c>
      <c r="Q118" s="149">
        <f t="shared" si="13"/>
        <v>26614743.715774011</v>
      </c>
      <c r="R118" s="149">
        <f t="shared" si="13"/>
        <v>26614743.715774011</v>
      </c>
      <c r="S118" s="149">
        <f t="shared" si="13"/>
        <v>26614743.715774011</v>
      </c>
      <c r="T118" s="149">
        <f t="shared" si="13"/>
        <v>26614743.715774011</v>
      </c>
      <c r="U118" s="149">
        <f t="shared" si="13"/>
        <v>26614743.715774011</v>
      </c>
      <c r="V118" s="149">
        <f t="shared" si="13"/>
        <v>26614743.715774011</v>
      </c>
      <c r="W118" s="149">
        <f t="shared" si="13"/>
        <v>26614743.715774011</v>
      </c>
      <c r="X118" s="149">
        <f t="shared" si="13"/>
        <v>26614743.715774011</v>
      </c>
      <c r="Y118" s="149">
        <f t="shared" si="13"/>
        <v>26614743.715774011</v>
      </c>
      <c r="Z118" s="149">
        <f t="shared" si="13"/>
        <v>26614743.715774011</v>
      </c>
      <c r="AA118" s="149">
        <f t="shared" si="13"/>
        <v>26614743.715774011</v>
      </c>
      <c r="AB118" s="149">
        <f t="shared" si="13"/>
        <v>26614743.715774011</v>
      </c>
      <c r="AC118" s="149">
        <f t="shared" si="13"/>
        <v>26614743.715774011</v>
      </c>
      <c r="AD118" s="149">
        <f t="shared" si="13"/>
        <v>26614743.715774011</v>
      </c>
      <c r="AE118" s="149">
        <f t="shared" si="13"/>
        <v>26614743.715774011</v>
      </c>
      <c r="AF118" s="149">
        <f t="shared" si="13"/>
        <v>26614743.715774011</v>
      </c>
      <c r="AG118" s="149">
        <f t="shared" si="13"/>
        <v>26614743.715774011</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638753.84917857626</v>
      </c>
      <c r="E120" s="149">
        <f>(SUM($D$118:E118)*$C$104/$C$106)+(SUM($D$118:E118)*$C$105/$C$107)</f>
        <v>1277507.6983571525</v>
      </c>
      <c r="F120" s="149">
        <f>(SUM($D$118:F118)*$C$104/$C$106)+(SUM($D$118:F118)*$C$105/$C$107)</f>
        <v>1916261.5475357287</v>
      </c>
      <c r="G120" s="149">
        <f>(SUM($D$118:G118)*$C$104/$C$106)+(SUM($D$118:G118)*$C$105/$C$107)</f>
        <v>2555015.396714305</v>
      </c>
      <c r="H120" s="149">
        <f>(SUM($D$118:H118)*$C$104/$C$106)+(SUM($D$118:H118)*$C$105/$C$107)</f>
        <v>3193769.2458928814</v>
      </c>
      <c r="I120" s="149">
        <f>(SUM($D$118:I118)*$C$104/$C$106)+(SUM($D$118:I118)*$C$105/$C$107)</f>
        <v>3832523.0950714573</v>
      </c>
      <c r="J120" s="149">
        <f>(SUM($D$118:J118)*$C$104/$C$106)+(SUM($D$118:J118)*$C$105/$C$107)</f>
        <v>4471276.9442500332</v>
      </c>
      <c r="K120" s="149">
        <f>(SUM($D$118:K118)*$C$104/$C$106)+(SUM($D$118:K118)*$C$105/$C$107)</f>
        <v>5110030.7934286091</v>
      </c>
      <c r="L120" s="149">
        <f>(SUM($D$118:L118)*$C$104/$C$106)+(SUM($D$118:L118)*$C$105/$C$107)</f>
        <v>5748784.6426071851</v>
      </c>
      <c r="M120" s="149">
        <f>(SUM($D$118:M118)*$C$104/$C$106)+(SUM($D$118:M118)*$C$105/$C$107)</f>
        <v>6387538.491785761</v>
      </c>
      <c r="N120" s="149">
        <f>(SUM($D$118:N118)*$C$104/$C$106)+(SUM($D$118:N118)*$C$105/$C$107)</f>
        <v>7026292.3409643378</v>
      </c>
      <c r="O120" s="149">
        <f>(SUM($D$118:O118)*$C$104/$C$106)+(SUM($D$118:O118)*$C$105/$C$107)</f>
        <v>7665046.1901429128</v>
      </c>
      <c r="P120" s="149">
        <f>(SUM($D$118:P118)*$C$104/$C$106)+(SUM($D$118:P118)*$C$105/$C$107)</f>
        <v>8303800.0393214887</v>
      </c>
      <c r="Q120" s="149">
        <f>(SUM($D$118:Q118)*$C$104/$C$106)+(SUM($D$118:Q118)*$C$105/$C$107)</f>
        <v>8942553.8885000646</v>
      </c>
      <c r="R120" s="149">
        <f>(SUM($D$118:R118)*$C$104/$C$106)+(SUM($D$118:R118)*$C$105/$C$107)</f>
        <v>9581307.7376786415</v>
      </c>
      <c r="S120" s="149">
        <f>(SUM($D$118:S118)*$C$104/$C$106)+(SUM($D$118:S118)*$C$105/$C$107)</f>
        <v>10220061.586857216</v>
      </c>
      <c r="T120" s="149">
        <f>(SUM($D$118:T118)*$C$104/$C$106)+(SUM($D$118:T118)*$C$105/$C$107)</f>
        <v>10858815.436035791</v>
      </c>
      <c r="U120" s="149">
        <f>(SUM($D$118:U118)*$C$104/$C$106)+(SUM($D$118:U118)*$C$105/$C$107)</f>
        <v>11497569.28521437</v>
      </c>
      <c r="V120" s="149">
        <f>(SUM($D$118:V118)*$C$104/$C$106)+(SUM($D$118:V118)*$C$105/$C$107)</f>
        <v>12136323.134392945</v>
      </c>
      <c r="W120" s="149">
        <f>(SUM($D$118:W118)*$C$104/$C$106)+(SUM($D$118:W118)*$C$105/$C$107)</f>
        <v>12775076.98357152</v>
      </c>
      <c r="X120" s="149">
        <f>(SUM($D$118:X118)*$C$104/$C$106)+(SUM($D$118:X118)*$C$105/$C$107)</f>
        <v>13413830.832750097</v>
      </c>
      <c r="Y120" s="149">
        <f>(SUM($D$118:Y118)*$C$104/$C$106)+(SUM($D$118:Y118)*$C$105/$C$107)</f>
        <v>14052584.681928676</v>
      </c>
      <c r="Z120" s="149">
        <f>(SUM($D$118:Z118)*$C$104/$C$106)+(SUM($D$118:Z118)*$C$105/$C$107)</f>
        <v>14691338.531107251</v>
      </c>
      <c r="AA120" s="149">
        <f>(SUM($D$118:AA118)*$C$104/$C$106)+(SUM($D$118:AA118)*$C$105/$C$107)</f>
        <v>15330092.380285829</v>
      </c>
      <c r="AB120" s="149">
        <f>(SUM($D$118:AB118)*$C$104/$C$106)+(SUM($D$118:AB118)*$C$105/$C$107)</f>
        <v>15968846.229464406</v>
      </c>
      <c r="AC120" s="149">
        <f>(SUM($D$118:AC118)*$C$104/$C$106)+(SUM($D$118:AC118)*$C$105/$C$107)</f>
        <v>16607600.078642985</v>
      </c>
      <c r="AD120" s="149">
        <f>(SUM($D$118:AD118)*$C$104/$C$106)+(SUM($D$118:AD118)*$C$105/$C$107)</f>
        <v>17246353.927821562</v>
      </c>
      <c r="AE120" s="149">
        <f>(SUM($D$118:AE118)*$C$104/$C$106)+(SUM($D$118:AE118)*$C$105/$C$107)</f>
        <v>17885107.777000137</v>
      </c>
      <c r="AF120" s="149">
        <f>(SUM($D$118:AF118)*$C$104/$C$106)+(SUM($D$118:AF118)*$C$105/$C$107)</f>
        <v>18523861.626178715</v>
      </c>
      <c r="AG120" s="149">
        <f>(SUM($D$118:AG118)*$C$104/$C$106)+(SUM($D$118:AG118)*$C$105/$C$107)</f>
        <v>19162615.475357294</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798442.31147322035</v>
      </c>
      <c r="E122" s="72">
        <f>(SUM($D$118:E118)*$C$109)</f>
        <v>1596884.6229464407</v>
      </c>
      <c r="F122" s="72">
        <f>(SUM($D$118:F118)*$C$109)</f>
        <v>2395326.9344196608</v>
      </c>
      <c r="G122" s="72">
        <f>(SUM($D$118:G118)*$C$109)</f>
        <v>3193769.2458928814</v>
      </c>
      <c r="H122" s="72">
        <f>(SUM($D$118:H118)*$C$109)</f>
        <v>3992211.5573661015</v>
      </c>
      <c r="I122" s="72">
        <f>(SUM($D$118:I118)*$C$109)</f>
        <v>4790653.8688393217</v>
      </c>
      <c r="J122" s="72">
        <f>(SUM($D$118:J118)*$C$109)</f>
        <v>5589096.1803125413</v>
      </c>
      <c r="K122" s="72">
        <f>(SUM($D$118:K118)*$C$109)</f>
        <v>6387538.4917857619</v>
      </c>
      <c r="L122" s="72">
        <f>(SUM($D$118:L118)*$C$109)</f>
        <v>7185980.8032589816</v>
      </c>
      <c r="M122" s="72">
        <f>(SUM($D$118:M118)*$C$109)</f>
        <v>7984423.1147322012</v>
      </c>
      <c r="N122" s="72">
        <f>(SUM($D$118:N118)*$C$109)</f>
        <v>8782865.4262054209</v>
      </c>
      <c r="O122" s="72">
        <f>(SUM($D$118:O118)*$C$109)</f>
        <v>9581307.7376786415</v>
      </c>
      <c r="P122" s="72">
        <f>(SUM($D$118:P118)*$C$109)</f>
        <v>10379750.049151862</v>
      </c>
      <c r="Q122" s="72">
        <f>(SUM($D$118:Q118)*$C$109)</f>
        <v>11178192.360625081</v>
      </c>
      <c r="R122" s="72">
        <f>(SUM($D$118:R118)*$C$109)</f>
        <v>11976634.672098301</v>
      </c>
      <c r="S122" s="72">
        <f>(SUM($D$118:S118)*$C$109)</f>
        <v>12775076.983571522</v>
      </c>
      <c r="T122" s="72">
        <f>(SUM($D$118:T118)*$C$109)</f>
        <v>13573519.295044741</v>
      </c>
      <c r="U122" s="72">
        <f>(SUM($D$118:U118)*$C$109)</f>
        <v>14371961.606517961</v>
      </c>
      <c r="V122" s="72">
        <f>(SUM($D$118:V118)*$C$109)</f>
        <v>15170403.917991182</v>
      </c>
      <c r="W122" s="72">
        <f>(SUM($D$118:W118)*$C$109)</f>
        <v>15968846.229464401</v>
      </c>
      <c r="X122" s="72">
        <f>(SUM($D$118:X118)*$C$109)</f>
        <v>16767288.540937621</v>
      </c>
      <c r="Y122" s="72">
        <f>(SUM($D$118:Y118)*$C$109)</f>
        <v>17565730.852410842</v>
      </c>
      <c r="Z122" s="72">
        <f>(SUM($D$118:Z118)*$C$109)</f>
        <v>18364173.163884066</v>
      </c>
      <c r="AA122" s="72">
        <f>(SUM($D$118:AA118)*$C$109)</f>
        <v>19162615.475357287</v>
      </c>
      <c r="AB122" s="72">
        <f>(SUM($D$118:AB118)*$C$109)</f>
        <v>19961057.786830507</v>
      </c>
      <c r="AC122" s="72">
        <f>(SUM($D$118:AC118)*$C$109)</f>
        <v>20759500.098303732</v>
      </c>
      <c r="AD122" s="72">
        <f>(SUM($D$118:AD118)*$C$109)</f>
        <v>21557942.409776952</v>
      </c>
      <c r="AE122" s="72">
        <f>(SUM($D$118:AE118)*$C$109)</f>
        <v>22356384.721250173</v>
      </c>
      <c r="AF122" s="72">
        <f>(SUM($D$118:AF118)*$C$109)</f>
        <v>23154827.032723393</v>
      </c>
      <c r="AG122" s="72">
        <f>(SUM($D$118:AG118)*$C$109)</f>
        <v>23953269.344196618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19590</v>
      </c>
      <c r="D126" s="140"/>
    </row>
    <row r="127" spans="1:33" x14ac:dyDescent="0.35">
      <c r="A127" s="77" t="s">
        <v>151</v>
      </c>
      <c r="B127" s="77" t="s">
        <v>134</v>
      </c>
      <c r="C127" s="126">
        <v>21400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20495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7590.74074074074</v>
      </c>
      <c r="D135" s="157">
        <f t="shared" ref="D135:AG135" si="14">$C$135*D13</f>
        <v>7682.1937222537563</v>
      </c>
      <c r="E135" s="157">
        <f t="shared" si="14"/>
        <v>7774.7485261202519</v>
      </c>
      <c r="F135" s="157">
        <f t="shared" si="14"/>
        <v>7868.418427057778</v>
      </c>
      <c r="G135" s="157">
        <f t="shared" si="14"/>
        <v>7963.2168597172194</v>
      </c>
      <c r="H135" s="157">
        <f t="shared" si="14"/>
        <v>8059.157420609672</v>
      </c>
      <c r="I135" s="157">
        <f t="shared" si="14"/>
        <v>8156.2538700565256</v>
      </c>
      <c r="J135" s="157">
        <f t="shared" si="14"/>
        <v>8254.5201341630436</v>
      </c>
      <c r="K135" s="157">
        <f t="shared" si="14"/>
        <v>8353.9703068157287</v>
      </c>
      <c r="L135" s="157">
        <f t="shared" si="14"/>
        <v>8454.6186517037331</v>
      </c>
      <c r="M135" s="157">
        <f t="shared" si="14"/>
        <v>8556.4796043646475</v>
      </c>
      <c r="N135" s="157">
        <f t="shared" si="14"/>
        <v>8659.567774254916</v>
      </c>
      <c r="O135" s="157">
        <f t="shared" si="14"/>
        <v>8763.8979468452089</v>
      </c>
      <c r="P135" s="157">
        <f t="shared" si="14"/>
        <v>8869.4850857410329</v>
      </c>
      <c r="Q135" s="157">
        <f t="shared" si="14"/>
        <v>8976.344334828902</v>
      </c>
      <c r="R135" s="157">
        <f t="shared" si="14"/>
        <v>9084.4910204483422</v>
      </c>
      <c r="S135" s="157">
        <f t="shared" si="14"/>
        <v>9193.9406535900962</v>
      </c>
      <c r="T135" s="157">
        <f t="shared" si="14"/>
        <v>9304.708932120775</v>
      </c>
      <c r="U135" s="157">
        <f t="shared" si="14"/>
        <v>9416.81174303435</v>
      </c>
      <c r="V135" s="157">
        <f t="shared" si="14"/>
        <v>9530.2651647307484</v>
      </c>
      <c r="W135" s="157">
        <f t="shared" si="14"/>
        <v>9645.0854693218917</v>
      </c>
      <c r="X135" s="157">
        <f t="shared" si="14"/>
        <v>9761.2891249655531</v>
      </c>
      <c r="Y135" s="157">
        <f t="shared" si="14"/>
        <v>9878.892798227298</v>
      </c>
      <c r="Z135" s="157">
        <f t="shared" si="14"/>
        <v>9997.91335647089</v>
      </c>
      <c r="AA135" s="157">
        <f t="shared" si="14"/>
        <v>10118.367870277516</v>
      </c>
      <c r="AB135" s="157">
        <f t="shared" si="14"/>
        <v>10240.273615894126</v>
      </c>
      <c r="AC135" s="157">
        <f t="shared" si="14"/>
        <v>10363.648077711301</v>
      </c>
      <c r="AD135" s="157">
        <f t="shared" si="14"/>
        <v>10488.508950770951</v>
      </c>
      <c r="AE135" s="157">
        <f t="shared" si="14"/>
        <v>10614.874143304236</v>
      </c>
      <c r="AF135" s="157">
        <f t="shared" si="14"/>
        <v>10742.76177930007</v>
      </c>
      <c r="AG135" s="157">
        <f t="shared" si="14"/>
        <v>10872.190201104553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0.3</v>
      </c>
      <c r="F4" s="65">
        <v>0.25</v>
      </c>
      <c r="G4" s="65">
        <v>0.25</v>
      </c>
      <c r="H4" s="65">
        <v>0.2</v>
      </c>
      <c r="I4" s="65">
        <v>0.2</v>
      </c>
      <c r="J4" s="65">
        <v>0.1</v>
      </c>
      <c r="K4" s="65">
        <v>0.1</v>
      </c>
      <c r="L4" s="65">
        <v>0.06</v>
      </c>
      <c r="M4" s="65">
        <v>0.06</v>
      </c>
      <c r="N4" s="65">
        <v>0.06</v>
      </c>
      <c r="O4" s="65">
        <v>0.06</v>
      </c>
      <c r="P4" s="65">
        <v>0.05</v>
      </c>
      <c r="Q4" s="65">
        <v>0.05</v>
      </c>
      <c r="R4" s="65">
        <v>0.05</v>
      </c>
      <c r="S4" s="65">
        <v>0.05</v>
      </c>
      <c r="T4" s="65">
        <v>0.04</v>
      </c>
      <c r="U4" s="65">
        <v>0.04</v>
      </c>
      <c r="V4" s="65">
        <v>0.04</v>
      </c>
      <c r="W4" s="65">
        <v>0.04</v>
      </c>
      <c r="X4" s="65">
        <v>0.04</v>
      </c>
      <c r="Y4" s="65">
        <v>0.04</v>
      </c>
      <c r="Z4" s="65">
        <v>0.04</v>
      </c>
      <c r="AA4" s="65">
        <v>0.04</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2.4728190991121899</v>
      </c>
      <c r="C6" s="25"/>
      <c r="D6" s="25"/>
      <c r="E6" s="27">
        <f>'Debt worksheet'!C5/'Profit and Loss'!C5</f>
        <v>1.0493488794101948</v>
      </c>
      <c r="F6" s="28">
        <f ca="1">'Debt worksheet'!D5/'Profit and Loss'!D5</f>
        <v>1.8474272819073478</v>
      </c>
      <c r="G6" s="28">
        <f ca="1">'Debt worksheet'!E5/'Profit and Loss'!E5</f>
        <v>2.2208201770960945</v>
      </c>
      <c r="H6" s="28">
        <f ca="1">'Debt worksheet'!F5/'Profit and Loss'!F5</f>
        <v>2.3831754545508339</v>
      </c>
      <c r="I6" s="28">
        <f ca="1">'Debt worksheet'!G5/'Profit and Loss'!G5</f>
        <v>2.3573213325346161</v>
      </c>
      <c r="J6" s="28">
        <f ca="1">'Debt worksheet'!H5/'Profit and Loss'!H5</f>
        <v>2.3887176162082464</v>
      </c>
      <c r="K6" s="28">
        <f ca="1">'Debt worksheet'!I5/'Profit and Loss'!I5</f>
        <v>2.3670780261975226</v>
      </c>
      <c r="L6" s="28">
        <f ca="1">'Debt worksheet'!J5/'Profit and Loss'!J5</f>
        <v>2.3838869463329586</v>
      </c>
      <c r="M6" s="28">
        <f ca="1">'Debt worksheet'!K5/'Profit and Loss'!K5</f>
        <v>2.3880494359497284</v>
      </c>
      <c r="N6" s="28">
        <f ca="1">'Debt worksheet'!L5/'Profit and Loss'!L5</f>
        <v>2.3790975443336881</v>
      </c>
      <c r="O6" s="28">
        <f ca="1">'Debt worksheet'!M5/'Profit and Loss'!M5</f>
        <v>2.356679582849238</v>
      </c>
      <c r="P6" s="28">
        <f ca="1">'Debt worksheet'!N5/'Profit and Loss'!N5</f>
        <v>2.3426495505924048</v>
      </c>
      <c r="Q6" s="28">
        <f ca="1">'Debt worksheet'!O5/'Profit and Loss'!O5</f>
        <v>2.3232965430953567</v>
      </c>
      <c r="R6" s="28">
        <f ca="1">'Debt worksheet'!P5/'Profit and Loss'!P5</f>
        <v>2.2979989863905534</v>
      </c>
      <c r="S6" s="28">
        <f ca="1">'Debt worksheet'!Q5/'Profit and Loss'!Q5</f>
        <v>2.2662089993836654</v>
      </c>
      <c r="T6" s="28">
        <f ca="1">'Debt worksheet'!R5/'Profit and Loss'!R5</f>
        <v>2.2488651644252657</v>
      </c>
      <c r="U6" s="28">
        <f ca="1">'Debt worksheet'!S5/'Profit and Loss'!S5</f>
        <v>2.2329155613469154</v>
      </c>
      <c r="V6" s="28">
        <f ca="1">'Debt worksheet'!T5/'Profit and Loss'!T5</f>
        <v>2.2177128987497459</v>
      </c>
      <c r="W6" s="28">
        <f ca="1">'Debt worksheet'!U5/'Profit and Loss'!U5</f>
        <v>2.2026507212068016</v>
      </c>
      <c r="X6" s="28">
        <f ca="1">'Debt worksheet'!V5/'Profit and Loss'!V5</f>
        <v>2.187161584721284</v>
      </c>
      <c r="Y6" s="28">
        <f ca="1">'Debt worksheet'!W5/'Profit and Loss'!W5</f>
        <v>2.1707153027121939</v>
      </c>
      <c r="Z6" s="28">
        <f ca="1">'Debt worksheet'!X5/'Profit and Loss'!X5</f>
        <v>2.1528172599973066</v>
      </c>
      <c r="AA6" s="28">
        <f ca="1">'Debt worksheet'!Y5/'Profit and Loss'!Y5</f>
        <v>2.1330067923303631</v>
      </c>
      <c r="AB6" s="28">
        <f ca="1">'Debt worksheet'!Z5/'Profit and Loss'!Z5</f>
        <v>2.1313493731055697</v>
      </c>
      <c r="AC6" s="28">
        <f ca="1">'Debt worksheet'!AA5/'Profit and Loss'!AA5</f>
        <v>2.1530414249106986</v>
      </c>
      <c r="AD6" s="28">
        <f ca="1">'Debt worksheet'!AB5/'Profit and Loss'!AB5</f>
        <v>2.1890817713043456</v>
      </c>
      <c r="AE6" s="28">
        <f ca="1">'Debt worksheet'!AC5/'Profit and Loss'!AC5</f>
        <v>2.2392726189928163</v>
      </c>
      <c r="AF6" s="28">
        <f ca="1">'Debt worksheet'!AD5/'Profit and Loss'!AD5</f>
        <v>2.3034194527353802</v>
      </c>
      <c r="AG6" s="28">
        <f ca="1">'Debt worksheet'!AE5/'Profit and Loss'!AE5</f>
        <v>2.381330983787119</v>
      </c>
      <c r="AH6" s="28">
        <f ca="1">'Debt worksheet'!AF5/'Profit and Loss'!AF5</f>
        <v>2.4728190991121899</v>
      </c>
      <c r="AI6" s="31"/>
    </row>
    <row r="7" spans="1:35" ht="21" x14ac:dyDescent="0.5">
      <c r="A7" s="19" t="s">
        <v>39</v>
      </c>
      <c r="B7" s="26">
        <f ca="1">MIN('Price and Financial ratios'!E7:AH7)</f>
        <v>0.22107237508973898</v>
      </c>
      <c r="C7" s="26"/>
      <c r="D7" s="26"/>
      <c r="E7" s="56">
        <f ca="1">'Cash Flow'!C7/'Debt worksheet'!C5</f>
        <v>0.48779193980913915</v>
      </c>
      <c r="F7" s="32">
        <f ca="1">'Cash Flow'!D7/'Debt worksheet'!D5</f>
        <v>0.28943740523985634</v>
      </c>
      <c r="G7" s="32">
        <f ca="1">'Cash Flow'!E7/'Debt worksheet'!E5</f>
        <v>0.25709513031005943</v>
      </c>
      <c r="H7" s="32">
        <f ca="1">'Cash Flow'!F7/'Debt worksheet'!F5</f>
        <v>0.2507741592338566</v>
      </c>
      <c r="I7" s="32">
        <f ca="1">'Cash Flow'!G7/'Debt worksheet'!G5</f>
        <v>0.26744012067933975</v>
      </c>
      <c r="J7" s="32">
        <f ca="1">'Cash Flow'!H7/'Debt worksheet'!H5</f>
        <v>0.26522122272890325</v>
      </c>
      <c r="K7" s="32">
        <f ca="1">'Cash Flow'!I7/'Debt worksheet'!I5</f>
        <v>0.27036762264289654</v>
      </c>
      <c r="L7" s="32">
        <f ca="1">'Cash Flow'!J7/'Debt worksheet'!J5</f>
        <v>0.26626086722370462</v>
      </c>
      <c r="M7" s="17">
        <f ca="1">'Cash Flow'!K7/'Debt worksheet'!K5</f>
        <v>0.26425347389443571</v>
      </c>
      <c r="N7" s="17">
        <f ca="1">'Cash Flow'!L7/'Debt worksheet'!L5</f>
        <v>0.26432257447331753</v>
      </c>
      <c r="O7" s="17">
        <f ca="1">'Cash Flow'!M7/'Debt worksheet'!M5</f>
        <v>0.2665014858030833</v>
      </c>
      <c r="P7" s="17">
        <f ca="1">'Cash Flow'!N7/'Debt worksheet'!N5</f>
        <v>0.26667433607273344</v>
      </c>
      <c r="Q7" s="17">
        <f ca="1">'Cash Flow'!O7/'Debt worksheet'!O5</f>
        <v>0.26786112467617063</v>
      </c>
      <c r="R7" s="17">
        <f ca="1">'Cash Flow'!P7/'Debt worksheet'!P5</f>
        <v>0.27015680154972199</v>
      </c>
      <c r="S7" s="17">
        <f ca="1">'Cash Flow'!Q7/'Debt worksheet'!Q5</f>
        <v>0.27367059923327519</v>
      </c>
      <c r="T7" s="17">
        <f ca="1">'Cash Flow'!R7/'Debt worksheet'!R5</f>
        <v>0.27410228342750648</v>
      </c>
      <c r="U7" s="17">
        <f ca="1">'Cash Flow'!S7/'Debt worksheet'!S5</f>
        <v>0.27457496739556286</v>
      </c>
      <c r="V7" s="17">
        <f ca="1">'Cash Flow'!T7/'Debt worksheet'!T5</f>
        <v>0.27516805481518791</v>
      </c>
      <c r="W7" s="17">
        <f ca="1">'Cash Flow'!U7/'Debt worksheet'!U5</f>
        <v>0.27595830652588804</v>
      </c>
      <c r="X7" s="17">
        <f ca="1">'Cash Flow'!V7/'Debt worksheet'!V5</f>
        <v>0.27702021066113186</v>
      </c>
      <c r="Y7" s="17">
        <f ca="1">'Cash Flow'!W7/'Debt worksheet'!W5</f>
        <v>0.27842672210497338</v>
      </c>
      <c r="Z7" s="17">
        <f ca="1">'Cash Flow'!X7/'Debt worksheet'!X5</f>
        <v>0.28025033175734398</v>
      </c>
      <c r="AA7" s="17">
        <f ca="1">'Cash Flow'!Y7/'Debt worksheet'!Y5</f>
        <v>0.28256444318388962</v>
      </c>
      <c r="AB7" s="17">
        <f ca="1">'Cash Flow'!Z7/'Debt worksheet'!Z5</f>
        <v>0.28072463459183494</v>
      </c>
      <c r="AC7" s="17">
        <f ca="1">'Cash Flow'!AA7/'Debt worksheet'!AA5</f>
        <v>0.27427123437188439</v>
      </c>
      <c r="AD7" s="17">
        <f ca="1">'Cash Flow'!AB7/'Debt worksheet'!AB5</f>
        <v>0.26604139337620769</v>
      </c>
      <c r="AE7" s="17">
        <f ca="1">'Cash Flow'!AC7/'Debt worksheet'!AC5</f>
        <v>0.25630327627155947</v>
      </c>
      <c r="AF7" s="17">
        <f ca="1">'Cash Flow'!AD7/'Debt worksheet'!AD5</f>
        <v>0.24535714926665075</v>
      </c>
      <c r="AG7" s="17">
        <f ca="1">'Cash Flow'!AE7/'Debt worksheet'!AE5</f>
        <v>0.23351325129778264</v>
      </c>
      <c r="AH7" s="17">
        <f ca="1">'Cash Flow'!AF7/'Debt worksheet'!AF5</f>
        <v>0.22107237508973898</v>
      </c>
      <c r="AI7" s="29"/>
    </row>
    <row r="8" spans="1:35" ht="21" x14ac:dyDescent="0.5">
      <c r="A8" s="19" t="s">
        <v>34</v>
      </c>
      <c r="B8" s="26">
        <f ca="1">MAX('Price and Financial ratios'!E8:AH8)</f>
        <v>0.39020858613885662</v>
      </c>
      <c r="C8" s="26"/>
      <c r="D8" s="176"/>
      <c r="E8" s="17">
        <f>'Balance Sheet'!B11/'Balance Sheet'!B8</f>
        <v>0.10669116470828449</v>
      </c>
      <c r="F8" s="17">
        <f ca="1">'Balance Sheet'!C11/'Balance Sheet'!C8</f>
        <v>0.23452203442348438</v>
      </c>
      <c r="G8" s="17">
        <f ca="1">'Balance Sheet'!D11/'Balance Sheet'!D8</f>
        <v>0.31102040273814413</v>
      </c>
      <c r="H8" s="17">
        <f ca="1">'Balance Sheet'!E11/'Balance Sheet'!E8</f>
        <v>0.35809307767788717</v>
      </c>
      <c r="I8" s="17">
        <f ca="1">'Balance Sheet'!F11/'Balance Sheet'!F8</f>
        <v>0.38401815242732862</v>
      </c>
      <c r="J8" s="17">
        <f ca="1">'Balance Sheet'!G11/'Balance Sheet'!G8</f>
        <v>0.39005009131837826</v>
      </c>
      <c r="K8" s="17">
        <f ca="1">'Balance Sheet'!H11/'Balance Sheet'!H8</f>
        <v>0.39020858613885662</v>
      </c>
      <c r="L8" s="17">
        <f ca="1">'Balance Sheet'!I11/'Balance Sheet'!I8</f>
        <v>0.38463105460322067</v>
      </c>
      <c r="M8" s="17">
        <f ca="1">'Balance Sheet'!J11/'Balance Sheet'!J8</f>
        <v>0.37908377731447329</v>
      </c>
      <c r="N8" s="17">
        <f ca="1">'Balance Sheet'!K11/'Balance Sheet'!K8</f>
        <v>0.37324652023908683</v>
      </c>
      <c r="O8" s="17">
        <f ca="1">'Balance Sheet'!L11/'Balance Sheet'!L8</f>
        <v>0.36685059881857601</v>
      </c>
      <c r="P8" s="17">
        <f ca="1">'Balance Sheet'!M11/'Balance Sheet'!M8</f>
        <v>0.3596630716122956</v>
      </c>
      <c r="Q8" s="17">
        <f ca="1">'Balance Sheet'!N11/'Balance Sheet'!N8</f>
        <v>0.35288658800267975</v>
      </c>
      <c r="R8" s="17">
        <f ca="1">'Balance Sheet'!O11/'Balance Sheet'!O8</f>
        <v>0.34627548367625954</v>
      </c>
      <c r="S8" s="17">
        <f ca="1">'Balance Sheet'!P11/'Balance Sheet'!P8</f>
        <v>0.33961832286767385</v>
      </c>
      <c r="T8" s="17">
        <f ca="1">'Balance Sheet'!Q11/'Balance Sheet'!Q8</f>
        <v>0.33272946812969123</v>
      </c>
      <c r="U8" s="17">
        <f ca="1">'Balance Sheet'!R11/'Balance Sheet'!R8</f>
        <v>0.32682849747990872</v>
      </c>
      <c r="V8" s="17">
        <f ca="1">'Balance Sheet'!S11/'Balance Sheet'!S8</f>
        <v>0.32171928878711037</v>
      </c>
      <c r="W8" s="17">
        <f ca="1">'Balance Sheet'!T11/'Balance Sheet'!T8</f>
        <v>0.31723202491953384</v>
      </c>
      <c r="X8" s="17">
        <f ca="1">'Balance Sheet'!U11/'Balance Sheet'!U8</f>
        <v>0.31321789864023075</v>
      </c>
      <c r="Y8" s="17">
        <f ca="1">'Balance Sheet'!V11/'Balance Sheet'!V8</f>
        <v>0.30954499944440772</v>
      </c>
      <c r="Z8" s="17">
        <f ca="1">'Balance Sheet'!W11/'Balance Sheet'!W8</f>
        <v>0.30609508446040651</v>
      </c>
      <c r="AA8" s="17">
        <f ca="1">'Balance Sheet'!X11/'Balance Sheet'!X8</f>
        <v>0.30276101832918106</v>
      </c>
      <c r="AB8" s="17">
        <f ca="1">'Balance Sheet'!Y11/'Balance Sheet'!Y8</f>
        <v>0.29944472475051759</v>
      </c>
      <c r="AC8" s="17">
        <f ca="1">'Balance Sheet'!Z11/'Balance Sheet'!Z8</f>
        <v>0.29739913571346505</v>
      </c>
      <c r="AD8" s="17">
        <f ca="1">'Balance Sheet'!AA11/'Balance Sheet'!AA8</f>
        <v>0.29757790415224827</v>
      </c>
      <c r="AE8" s="17">
        <f ca="1">'Balance Sheet'!AB11/'Balance Sheet'!AB8</f>
        <v>0.29984361709432067</v>
      </c>
      <c r="AF8" s="17">
        <f ca="1">'Balance Sheet'!AC11/'Balance Sheet'!AC8</f>
        <v>0.30407591088575203</v>
      </c>
      <c r="AG8" s="17">
        <f ca="1">'Balance Sheet'!AD11/'Balance Sheet'!AD8</f>
        <v>0.31016901462775021</v>
      </c>
      <c r="AH8" s="17">
        <f ca="1">'Balance Sheet'!AE11/'Balance Sheet'!AE8</f>
        <v>0.31802970545910952</v>
      </c>
      <c r="AI8" s="29"/>
    </row>
    <row r="9" spans="1:35" ht="21.5" thickBot="1" x14ac:dyDescent="0.55000000000000004">
      <c r="A9" s="20" t="s">
        <v>33</v>
      </c>
      <c r="B9" s="21">
        <f ca="1">MIN('Price and Financial ratios'!E9:AH9)</f>
        <v>6.4378780133806428</v>
      </c>
      <c r="C9" s="21"/>
      <c r="D9" s="177"/>
      <c r="E9" s="21">
        <f ca="1">('Cash Flow'!C7+'Profit and Loss'!C8)/('Profit and Loss'!C8)</f>
        <v>7.2576031419041058</v>
      </c>
      <c r="F9" s="21">
        <f ca="1">('Cash Flow'!D7+'Profit and Loss'!D8)/('Profit and Loss'!D8)</f>
        <v>6.4378780133806428</v>
      </c>
      <c r="G9" s="21">
        <f ca="1">('Cash Flow'!E7+'Profit and Loss'!E8)/('Profit and Loss'!E8)</f>
        <v>6.6363874792312316</v>
      </c>
      <c r="H9" s="21">
        <f ca="1">('Cash Flow'!F7+'Profit and Loss'!F8)/('Profit and Loss'!F8)</f>
        <v>6.9644393586708446</v>
      </c>
      <c r="I9" s="21">
        <f ca="1">('Cash Flow'!G7+'Profit and Loss'!G8)/('Profit and Loss'!G8)</f>
        <v>7.7735869167898839</v>
      </c>
      <c r="J9" s="21">
        <f ca="1">('Cash Flow'!H7+'Profit and Loss'!H8)/('Profit and Loss'!H8)</f>
        <v>7.8690817631397803</v>
      </c>
      <c r="K9" s="21">
        <f ca="1">('Cash Flow'!I7+'Profit and Loss'!I8)/('Profit and Loss'!I8)</f>
        <v>8.1500091056183521</v>
      </c>
      <c r="L9" s="21">
        <f ca="1">('Cash Flow'!J7+'Profit and Loss'!J8)/('Profit and Loss'!J8)</f>
        <v>8.0790450962433731</v>
      </c>
      <c r="M9" s="21">
        <f ca="1">('Cash Flow'!K7+'Profit and Loss'!K8)/('Profit and Loss'!K8)</f>
        <v>8.0644241074709413</v>
      </c>
      <c r="N9" s="21">
        <f ca="1">('Cash Flow'!L7+'Profit and Loss'!L8)/('Profit and Loss'!L8)</f>
        <v>8.1067487099237212</v>
      </c>
      <c r="O9" s="21">
        <f ca="1">('Cash Flow'!M7+'Profit and Loss'!M8)/('Profit and Loss'!M8)</f>
        <v>8.2083258310042808</v>
      </c>
      <c r="P9" s="21">
        <f ca="1">('Cash Flow'!N7+'Profit and Loss'!N8)/('Profit and Loss'!N8)</f>
        <v>8.2297863220281595</v>
      </c>
      <c r="Q9" s="21">
        <f ca="1">('Cash Flow'!O7+'Profit and Loss'!O8)/('Profit and Loss'!O8)</f>
        <v>8.2812519983637873</v>
      </c>
      <c r="R9" s="21">
        <f ca="1">('Cash Flow'!P7+'Profit and Loss'!P8)/('Profit and Loss'!P8)</f>
        <v>8.3655865884985641</v>
      </c>
      <c r="S9" s="21">
        <f ca="1">('Cash Flow'!Q7+'Profit and Loss'!Q8)/('Profit and Loss'!Q8)</f>
        <v>8.4862134558890236</v>
      </c>
      <c r="T9" s="21">
        <f ca="1">('Cash Flow'!R7+'Profit and Loss'!R8)/('Profit and Loss'!R8)</f>
        <v>8.4937860644675727</v>
      </c>
      <c r="U9" s="21">
        <f ca="1">('Cash Flow'!S7+'Profit and Loss'!S8)/('Profit and Loss'!S8)</f>
        <v>8.5045635365670957</v>
      </c>
      <c r="V9" s="21">
        <f ca="1">('Cash Flow'!T7+'Profit and Loss'!T8)/('Profit and Loss'!T8)</f>
        <v>8.5206472830654203</v>
      </c>
      <c r="W9" s="21">
        <f ca="1">('Cash Flow'!U7+'Profit and Loss'!U8)/('Profit and Loss'!U8)</f>
        <v>8.5440708376187438</v>
      </c>
      <c r="X9" s="21">
        <f ca="1">('Cash Flow'!V7+'Profit and Loss'!V8)/('Profit and Loss'!V8)</f>
        <v>8.5768201211051576</v>
      </c>
      <c r="Y9" s="21">
        <f ca="1">('Cash Flow'!W7+'Profit and Loss'!W8)/('Profit and Loss'!W8)</f>
        <v>8.6208626762613729</v>
      </c>
      <c r="Z9" s="21">
        <f ca="1">('Cash Flow'!X7+'Profit and Loss'!X8)/('Profit and Loss'!X8)</f>
        <v>8.6781852121228784</v>
      </c>
      <c r="AA9" s="21">
        <f ca="1">('Cash Flow'!Y7+'Profit and Loss'!Y8)/('Profit and Loss'!Y8)</f>
        <v>8.7508394079875327</v>
      </c>
      <c r="AB9" s="21">
        <f ca="1">('Cash Flow'!Z7+'Profit and Loss'!Z8)/('Profit and Loss'!Z8)</f>
        <v>8.6764910642247077</v>
      </c>
      <c r="AC9" s="21">
        <f ca="1">('Cash Flow'!AA7+'Profit and Loss'!AA8)/('Profit and Loss'!AA8)</f>
        <v>8.4516187372685838</v>
      </c>
      <c r="AD9" s="21">
        <f ca="1">('Cash Flow'!AB7+'Profit and Loss'!AB8)/('Profit and Loss'!AB8)</f>
        <v>8.1842955858892736</v>
      </c>
      <c r="AE9" s="21">
        <f ca="1">('Cash Flow'!AC7+'Profit and Loss'!AC8)/('Profit and Loss'!AC8)</f>
        <v>7.8828461338901468</v>
      </c>
      <c r="AF9" s="21">
        <f ca="1">('Cash Flow'!AD7+'Profit and Loss'!AD8)/('Profit and Loss'!AD8)</f>
        <v>7.5558943827544045</v>
      </c>
      <c r="AG9" s="21">
        <f ca="1">('Cash Flow'!AE7+'Profit and Loss'!AE8)/('Profit and Loss'!AE8)</f>
        <v>7.2118206876575064</v>
      </c>
      <c r="AH9" s="21">
        <f ca="1">('Cash Flow'!AF7+'Profit and Loss'!AF8)/('Profit and Loss'!AF8)</f>
        <v>6.858340577154701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5445534.548573833</v>
      </c>
      <c r="D5" s="1">
        <f>Assumptions!E111</f>
        <v>5445534.548573833</v>
      </c>
      <c r="E5" s="1">
        <f>Assumptions!F111</f>
        <v>5445534.548573833</v>
      </c>
      <c r="F5" s="1">
        <f>Assumptions!G111</f>
        <v>5445534.548573833</v>
      </c>
      <c r="G5" s="1">
        <f>Assumptions!H111</f>
        <v>5445534.548573833</v>
      </c>
      <c r="H5" s="1">
        <f>Assumptions!I111</f>
        <v>5445534.548573833</v>
      </c>
      <c r="I5" s="1">
        <f>Assumptions!J111</f>
        <v>5445534.548573833</v>
      </c>
      <c r="J5" s="1">
        <f>Assumptions!K111</f>
        <v>5445534.548573833</v>
      </c>
      <c r="K5" s="1">
        <f>Assumptions!L111</f>
        <v>5445534.548573833</v>
      </c>
      <c r="L5" s="1">
        <f>Assumptions!M111</f>
        <v>5445534.548573833</v>
      </c>
      <c r="M5" s="1">
        <f>Assumptions!N111</f>
        <v>5445534.548573833</v>
      </c>
      <c r="N5" s="1">
        <f>Assumptions!O111</f>
        <v>5445534.548573833</v>
      </c>
      <c r="O5" s="1">
        <f>Assumptions!P111</f>
        <v>5445534.548573833</v>
      </c>
      <c r="P5" s="1">
        <f>Assumptions!Q111</f>
        <v>5445534.548573833</v>
      </c>
      <c r="Q5" s="1">
        <f>Assumptions!R111</f>
        <v>5445534.548573833</v>
      </c>
      <c r="R5" s="1">
        <f>Assumptions!S111</f>
        <v>5445534.548573833</v>
      </c>
      <c r="S5" s="1">
        <f>Assumptions!T111</f>
        <v>5445534.548573833</v>
      </c>
      <c r="T5" s="1">
        <f>Assumptions!U111</f>
        <v>5445534.548573833</v>
      </c>
      <c r="U5" s="1">
        <f>Assumptions!V111</f>
        <v>5445534.548573833</v>
      </c>
      <c r="V5" s="1">
        <f>Assumptions!W111</f>
        <v>5445534.548573833</v>
      </c>
      <c r="W5" s="1">
        <f>Assumptions!X111</f>
        <v>5445534.548573833</v>
      </c>
      <c r="X5" s="1">
        <f>Assumptions!Y111</f>
        <v>5445534.548573833</v>
      </c>
      <c r="Y5" s="1">
        <f>Assumptions!Z111</f>
        <v>5445534.548573833</v>
      </c>
      <c r="Z5" s="1">
        <f>Assumptions!AA111</f>
        <v>5445534.548573833</v>
      </c>
      <c r="AA5" s="1">
        <f>Assumptions!AB111</f>
        <v>5445534.548573833</v>
      </c>
      <c r="AB5" s="1">
        <f>Assumptions!AC111</f>
        <v>5445534.548573833</v>
      </c>
      <c r="AC5" s="1">
        <f>Assumptions!AD111</f>
        <v>5445534.548573833</v>
      </c>
      <c r="AD5" s="1">
        <f>Assumptions!AE111</f>
        <v>5445534.548573833</v>
      </c>
      <c r="AE5" s="1">
        <f>Assumptions!AF111</f>
        <v>5445534.548573833</v>
      </c>
      <c r="AF5" s="1">
        <f>Assumptions!AG111</f>
        <v>5445534.548573833</v>
      </c>
    </row>
    <row r="6" spans="1:32" x14ac:dyDescent="0.35">
      <c r="A6" t="s">
        <v>69</v>
      </c>
      <c r="C6" s="1">
        <f>Assumptions!D113</f>
        <v>26614743.715774011</v>
      </c>
      <c r="D6" s="1">
        <f>Assumptions!E113</f>
        <v>26614743.715774011</v>
      </c>
      <c r="E6" s="1">
        <f>Assumptions!F113</f>
        <v>26614743.715774011</v>
      </c>
      <c r="F6" s="1">
        <f>Assumptions!G113</f>
        <v>26614743.715774011</v>
      </c>
      <c r="G6" s="1">
        <f>Assumptions!H113</f>
        <v>26614743.715774011</v>
      </c>
      <c r="H6" s="1">
        <f>Assumptions!I113</f>
        <v>26614743.715774011</v>
      </c>
      <c r="I6" s="1">
        <f>Assumptions!J113</f>
        <v>26614743.715774011</v>
      </c>
      <c r="J6" s="1">
        <f>Assumptions!K113</f>
        <v>26614743.715774011</v>
      </c>
      <c r="K6" s="1">
        <f>Assumptions!L113</f>
        <v>26614743.715774011</v>
      </c>
      <c r="L6" s="1">
        <f>Assumptions!M113</f>
        <v>26614743.715774011</v>
      </c>
      <c r="M6" s="1">
        <f>Assumptions!N113</f>
        <v>26614743.715774011</v>
      </c>
      <c r="N6" s="1">
        <f>Assumptions!O113</f>
        <v>26614743.715774011</v>
      </c>
      <c r="O6" s="1">
        <f>Assumptions!P113</f>
        <v>26614743.715774011</v>
      </c>
      <c r="P6" s="1">
        <f>Assumptions!Q113</f>
        <v>26614743.715774011</v>
      </c>
      <c r="Q6" s="1">
        <f>Assumptions!R113</f>
        <v>26614743.715774011</v>
      </c>
      <c r="R6" s="1">
        <f>Assumptions!S113</f>
        <v>26614743.715774011</v>
      </c>
      <c r="S6" s="1">
        <f>Assumptions!T113</f>
        <v>26614743.715774011</v>
      </c>
      <c r="T6" s="1">
        <f>Assumptions!U113</f>
        <v>26614743.715774011</v>
      </c>
      <c r="U6" s="1">
        <f>Assumptions!V113</f>
        <v>26614743.715774011</v>
      </c>
      <c r="V6" s="1">
        <f>Assumptions!W113</f>
        <v>26614743.715774011</v>
      </c>
      <c r="W6" s="1">
        <f>Assumptions!X113</f>
        <v>26614743.715774011</v>
      </c>
      <c r="X6" s="1">
        <f>Assumptions!Y113</f>
        <v>26614743.715774011</v>
      </c>
      <c r="Y6" s="1">
        <f>Assumptions!Z113</f>
        <v>26614743.715774011</v>
      </c>
      <c r="Z6" s="1">
        <f>Assumptions!AA113</f>
        <v>26614743.715774011</v>
      </c>
      <c r="AA6" s="1">
        <f>Assumptions!AB113</f>
        <v>26614743.715774011</v>
      </c>
      <c r="AB6" s="1">
        <f>Assumptions!AC113</f>
        <v>26614743.715774011</v>
      </c>
      <c r="AC6" s="1">
        <f>Assumptions!AD113</f>
        <v>26614743.715774011</v>
      </c>
      <c r="AD6" s="1">
        <f>Assumptions!AE113</f>
        <v>26614743.715774011</v>
      </c>
      <c r="AE6" s="1">
        <f>Assumptions!AF113</f>
        <v>26614743.715774011</v>
      </c>
      <c r="AF6" s="1">
        <f>Assumptions!AG113</f>
        <v>26614743.715774011</v>
      </c>
    </row>
    <row r="7" spans="1:32" x14ac:dyDescent="0.35">
      <c r="A7" t="s">
        <v>74</v>
      </c>
      <c r="C7" s="1">
        <f>Assumptions!D120</f>
        <v>638753.84917857626</v>
      </c>
      <c r="D7" s="1">
        <f>Assumptions!E120</f>
        <v>1277507.6983571525</v>
      </c>
      <c r="E7" s="1">
        <f>Assumptions!F120</f>
        <v>1916261.5475357287</v>
      </c>
      <c r="F7" s="1">
        <f>Assumptions!G120</f>
        <v>2555015.396714305</v>
      </c>
      <c r="G7" s="1">
        <f>Assumptions!H120</f>
        <v>3193769.2458928814</v>
      </c>
      <c r="H7" s="1">
        <f>Assumptions!I120</f>
        <v>3832523.0950714573</v>
      </c>
      <c r="I7" s="1">
        <f>Assumptions!J120</f>
        <v>4471276.9442500332</v>
      </c>
      <c r="J7" s="1">
        <f>Assumptions!K120</f>
        <v>5110030.7934286091</v>
      </c>
      <c r="K7" s="1">
        <f>Assumptions!L120</f>
        <v>5748784.6426071851</v>
      </c>
      <c r="L7" s="1">
        <f>Assumptions!M120</f>
        <v>6387538.491785761</v>
      </c>
      <c r="M7" s="1">
        <f>Assumptions!N120</f>
        <v>7026292.3409643378</v>
      </c>
      <c r="N7" s="1">
        <f>Assumptions!O120</f>
        <v>7665046.1901429128</v>
      </c>
      <c r="O7" s="1">
        <f>Assumptions!P120</f>
        <v>8303800.0393214887</v>
      </c>
      <c r="P7" s="1">
        <f>Assumptions!Q120</f>
        <v>8942553.8885000646</v>
      </c>
      <c r="Q7" s="1">
        <f>Assumptions!R120</f>
        <v>9581307.7376786415</v>
      </c>
      <c r="R7" s="1">
        <f>Assumptions!S120</f>
        <v>10220061.586857216</v>
      </c>
      <c r="S7" s="1">
        <f>Assumptions!T120</f>
        <v>10858815.436035791</v>
      </c>
      <c r="T7" s="1">
        <f>Assumptions!U120</f>
        <v>11497569.28521437</v>
      </c>
      <c r="U7" s="1">
        <f>Assumptions!V120</f>
        <v>12136323.134392945</v>
      </c>
      <c r="V7" s="1">
        <f>Assumptions!W120</f>
        <v>12775076.98357152</v>
      </c>
      <c r="W7" s="1">
        <f>Assumptions!X120</f>
        <v>13413830.832750097</v>
      </c>
      <c r="X7" s="1">
        <f>Assumptions!Y120</f>
        <v>14052584.681928676</v>
      </c>
      <c r="Y7" s="1">
        <f>Assumptions!Z120</f>
        <v>14691338.531107251</v>
      </c>
      <c r="Z7" s="1">
        <f>Assumptions!AA120</f>
        <v>15330092.380285829</v>
      </c>
      <c r="AA7" s="1">
        <f>Assumptions!AB120</f>
        <v>15968846.229464406</v>
      </c>
      <c r="AB7" s="1">
        <f>Assumptions!AC120</f>
        <v>16607600.078642985</v>
      </c>
      <c r="AC7" s="1">
        <f>Assumptions!AD120</f>
        <v>17246353.927821562</v>
      </c>
      <c r="AD7" s="1">
        <f>Assumptions!AE120</f>
        <v>17885107.777000137</v>
      </c>
      <c r="AE7" s="1">
        <f>Assumptions!AF120</f>
        <v>18523861.626178715</v>
      </c>
      <c r="AF7" s="1">
        <f>Assumptions!AG120</f>
        <v>19162615.475357294</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5619791.6541281957</v>
      </c>
      <c r="D11" s="1">
        <f>D5*D$9</f>
        <v>5799624.9870602973</v>
      </c>
      <c r="E11" s="1">
        <f t="shared" ref="D11:AF13" si="1">E5*E$9</f>
        <v>5985212.9866462266</v>
      </c>
      <c r="F11" s="1">
        <f t="shared" si="1"/>
        <v>6176739.8022189066</v>
      </c>
      <c r="G11" s="1">
        <f t="shared" si="1"/>
        <v>6374395.4758899119</v>
      </c>
      <c r="H11" s="1">
        <f t="shared" si="1"/>
        <v>6578376.1311183879</v>
      </c>
      <c r="I11" s="1">
        <f t="shared" si="1"/>
        <v>6788884.1673141755</v>
      </c>
      <c r="J11" s="1">
        <f t="shared" si="1"/>
        <v>7006128.4606682304</v>
      </c>
      <c r="K11" s="1">
        <f t="shared" si="1"/>
        <v>7230324.5714096148</v>
      </c>
      <c r="L11" s="1">
        <f t="shared" si="1"/>
        <v>7461694.9576947214</v>
      </c>
      <c r="M11" s="1">
        <f t="shared" si="1"/>
        <v>7700469.1963409521</v>
      </c>
      <c r="N11" s="1">
        <f t="shared" si="1"/>
        <v>7946884.2106238632</v>
      </c>
      <c r="O11" s="1">
        <f t="shared" si="1"/>
        <v>8201184.5053638276</v>
      </c>
      <c r="P11" s="1">
        <f t="shared" si="1"/>
        <v>8463622.4095354676</v>
      </c>
      <c r="Q11" s="1">
        <f t="shared" si="1"/>
        <v>8734458.3266406022</v>
      </c>
      <c r="R11" s="1">
        <f t="shared" si="1"/>
        <v>9013960.9930931032</v>
      </c>
      <c r="S11" s="1">
        <f t="shared" si="1"/>
        <v>9302407.7448720839</v>
      </c>
      <c r="T11" s="1">
        <f t="shared" si="1"/>
        <v>9600084.792707989</v>
      </c>
      <c r="U11" s="1">
        <f t="shared" si="1"/>
        <v>9907287.5060746428</v>
      </c>
      <c r="V11" s="1">
        <f t="shared" si="1"/>
        <v>10224320.706269033</v>
      </c>
      <c r="W11" s="1">
        <f t="shared" si="1"/>
        <v>10551498.968869643</v>
      </c>
      <c r="X11" s="1">
        <f t="shared" si="1"/>
        <v>10889146.935873469</v>
      </c>
      <c r="Y11" s="1">
        <f t="shared" si="1"/>
        <v>11237599.637821419</v>
      </c>
      <c r="Z11" s="1">
        <f t="shared" si="1"/>
        <v>11597202.826231705</v>
      </c>
      <c r="AA11" s="1">
        <f t="shared" si="1"/>
        <v>11968313.316671124</v>
      </c>
      <c r="AB11" s="1">
        <f t="shared" si="1"/>
        <v>12351299.342804596</v>
      </c>
      <c r="AC11" s="1">
        <f t="shared" si="1"/>
        <v>12746540.921774343</v>
      </c>
      <c r="AD11" s="1">
        <f t="shared" si="1"/>
        <v>13154430.231271124</v>
      </c>
      <c r="AE11" s="1">
        <f t="shared" si="1"/>
        <v>13575371.9986718</v>
      </c>
      <c r="AF11" s="1">
        <f t="shared" si="1"/>
        <v>14009783.902629295</v>
      </c>
    </row>
    <row r="12" spans="1:32" x14ac:dyDescent="0.35">
      <c r="A12" t="s">
        <v>72</v>
      </c>
      <c r="C12" s="1">
        <f t="shared" ref="C12:R12" si="2">C6*C$9</f>
        <v>27466415.51467878</v>
      </c>
      <c r="D12" s="1">
        <f t="shared" si="2"/>
        <v>28345340.811148498</v>
      </c>
      <c r="E12" s="1">
        <f t="shared" si="2"/>
        <v>29252391.717105251</v>
      </c>
      <c r="F12" s="1">
        <f t="shared" si="2"/>
        <v>30188468.252052616</v>
      </c>
      <c r="G12" s="1">
        <f t="shared" si="2"/>
        <v>31154499.236118305</v>
      </c>
      <c r="H12" s="1">
        <f t="shared" si="2"/>
        <v>32151443.211674087</v>
      </c>
      <c r="I12" s="1">
        <f t="shared" si="2"/>
        <v>33180289.394447654</v>
      </c>
      <c r="J12" s="1">
        <f t="shared" si="2"/>
        <v>34242058.655069984</v>
      </c>
      <c r="K12" s="1">
        <f t="shared" si="2"/>
        <v>35337804.532032229</v>
      </c>
      <c r="L12" s="1">
        <f t="shared" si="2"/>
        <v>36468614.277057253</v>
      </c>
      <c r="M12" s="1">
        <f t="shared" si="2"/>
        <v>37635609.933923081</v>
      </c>
      <c r="N12" s="1">
        <f t="shared" si="2"/>
        <v>38839949.451808624</v>
      </c>
      <c r="O12" s="1">
        <f t="shared" si="2"/>
        <v>40082827.834266506</v>
      </c>
      <c r="P12" s="1">
        <f t="shared" si="2"/>
        <v>41365478.324963026</v>
      </c>
      <c r="Q12" s="1">
        <f t="shared" si="2"/>
        <v>42689173.631361835</v>
      </c>
      <c r="R12" s="1">
        <f t="shared" si="2"/>
        <v>44055227.187565424</v>
      </c>
      <c r="S12" s="1">
        <f t="shared" si="1"/>
        <v>45464994.45756752</v>
      </c>
      <c r="T12" s="1">
        <f t="shared" si="1"/>
        <v>46919874.280209675</v>
      </c>
      <c r="U12" s="1">
        <f t="shared" si="1"/>
        <v>48421310.257176377</v>
      </c>
      <c r="V12" s="1">
        <f t="shared" si="1"/>
        <v>49970792.185406029</v>
      </c>
      <c r="W12" s="1">
        <f t="shared" si="1"/>
        <v>51569857.535339028</v>
      </c>
      <c r="X12" s="1">
        <f t="shared" si="1"/>
        <v>53220092.976469867</v>
      </c>
      <c r="Y12" s="1">
        <f t="shared" si="1"/>
        <v>54923135.951716892</v>
      </c>
      <c r="Z12" s="1">
        <f t="shared" si="1"/>
        <v>56680676.302171841</v>
      </c>
      <c r="AA12" s="1">
        <f t="shared" si="1"/>
        <v>58494457.943841353</v>
      </c>
      <c r="AB12" s="1">
        <f t="shared" si="1"/>
        <v>60366280.598044269</v>
      </c>
      <c r="AC12" s="1">
        <f t="shared" si="1"/>
        <v>62298001.577181675</v>
      </c>
      <c r="AD12" s="1">
        <f t="shared" si="1"/>
        <v>64291537.627651498</v>
      </c>
      <c r="AE12" s="1">
        <f t="shared" si="1"/>
        <v>66348866.831736349</v>
      </c>
      <c r="AF12" s="1">
        <f t="shared" si="1"/>
        <v>68472030.570351899</v>
      </c>
    </row>
    <row r="13" spans="1:32" x14ac:dyDescent="0.35">
      <c r="A13" t="s">
        <v>75</v>
      </c>
      <c r="C13" s="1">
        <f>C7*C$9</f>
        <v>659193.97235229076</v>
      </c>
      <c r="D13" s="1">
        <f t="shared" si="1"/>
        <v>1360576.358935128</v>
      </c>
      <c r="E13" s="1">
        <f t="shared" si="1"/>
        <v>2106172.203631578</v>
      </c>
      <c r="F13" s="1">
        <f t="shared" si="1"/>
        <v>2898092.9521970511</v>
      </c>
      <c r="G13" s="1">
        <f t="shared" si="1"/>
        <v>3738539.9083341965</v>
      </c>
      <c r="H13" s="1">
        <f t="shared" si="1"/>
        <v>4629807.8224810679</v>
      </c>
      <c r="I13" s="1">
        <f t="shared" si="1"/>
        <v>5574288.6182672046</v>
      </c>
      <c r="J13" s="1">
        <f t="shared" si="1"/>
        <v>6574475.2617734354</v>
      </c>
      <c r="K13" s="1">
        <f t="shared" si="1"/>
        <v>7632965.7789189592</v>
      </c>
      <c r="L13" s="1">
        <f t="shared" si="1"/>
        <v>8752467.4264937378</v>
      </c>
      <c r="M13" s="1">
        <f t="shared" si="1"/>
        <v>9935801.0225556921</v>
      </c>
      <c r="N13" s="1">
        <f t="shared" si="1"/>
        <v>11185905.44212088</v>
      </c>
      <c r="O13" s="1">
        <f t="shared" si="1"/>
        <v>12505842.284291144</v>
      </c>
      <c r="P13" s="1">
        <f t="shared" si="1"/>
        <v>13898800.71718757</v>
      </c>
      <c r="Q13" s="1">
        <f t="shared" si="1"/>
        <v>15368102.507290255</v>
      </c>
      <c r="R13" s="1">
        <f t="shared" si="1"/>
        <v>16917207.240025114</v>
      </c>
      <c r="S13" s="1">
        <f t="shared" si="1"/>
        <v>18549717.738687541</v>
      </c>
      <c r="T13" s="1">
        <f t="shared" si="1"/>
        <v>20269385.689050574</v>
      </c>
      <c r="U13" s="1">
        <f t="shared" si="1"/>
        <v>22080117.477272421</v>
      </c>
      <c r="V13" s="1">
        <f t="shared" si="1"/>
        <v>23985980.248994883</v>
      </c>
      <c r="W13" s="1">
        <f t="shared" si="1"/>
        <v>25991208.197810862</v>
      </c>
      <c r="X13" s="1">
        <f t="shared" si="1"/>
        <v>28100209.091576088</v>
      </c>
      <c r="Y13" s="1">
        <f t="shared" si="1"/>
        <v>30317571.04534772</v>
      </c>
      <c r="Z13" s="1">
        <f t="shared" si="1"/>
        <v>32648069.550050978</v>
      </c>
      <c r="AA13" s="1">
        <f t="shared" si="1"/>
        <v>35096674.766304813</v>
      </c>
      <c r="AB13" s="1">
        <f t="shared" si="1"/>
        <v>37668559.093179628</v>
      </c>
      <c r="AC13" s="1">
        <f t="shared" si="1"/>
        <v>40369105.022013731</v>
      </c>
      <c r="AD13" s="1">
        <f t="shared" si="1"/>
        <v>43203913.285781808</v>
      </c>
      <c r="AE13" s="1">
        <f t="shared" si="1"/>
        <v>46178811.314888507</v>
      </c>
      <c r="AF13" s="1">
        <f t="shared" si="1"/>
        <v>49299862.010653384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33745401.141159266</v>
      </c>
      <c r="D25" s="40">
        <f>SUM(D11:D13,D18:D23)</f>
        <v>35505542.157143921</v>
      </c>
      <c r="E25" s="40">
        <f t="shared" ref="E25:AF25" si="7">SUM(E11:E13,E18:E23)</f>
        <v>37343776.907383054</v>
      </c>
      <c r="F25" s="40">
        <f t="shared" si="7"/>
        <v>39263301.006468572</v>
      </c>
      <c r="G25" s="40">
        <f t="shared" si="7"/>
        <v>41267434.620342411</v>
      </c>
      <c r="H25" s="40">
        <f t="shared" si="7"/>
        <v>43359627.16527354</v>
      </c>
      <c r="I25" s="40">
        <f t="shared" si="7"/>
        <v>45543462.180029035</v>
      </c>
      <c r="J25" s="40">
        <f t="shared" si="7"/>
        <v>47822662.37751165</v>
      </c>
      <c r="K25" s="40">
        <f t="shared" si="7"/>
        <v>50201094.882360801</v>
      </c>
      <c r="L25" s="40">
        <f t="shared" si="7"/>
        <v>52682776.661245719</v>
      </c>
      <c r="M25" s="40">
        <f t="shared" si="7"/>
        <v>55271880.152819723</v>
      </c>
      <c r="N25" s="40">
        <f t="shared" si="7"/>
        <v>57972739.104553364</v>
      </c>
      <c r="O25" s="40">
        <f t="shared" si="7"/>
        <v>60789854.623921484</v>
      </c>
      <c r="P25" s="40">
        <f t="shared" si="7"/>
        <v>63727901.451686062</v>
      </c>
      <c r="Q25" s="40">
        <f t="shared" si="7"/>
        <v>66791734.465292692</v>
      </c>
      <c r="R25" s="40">
        <f t="shared" si="7"/>
        <v>69986395.420683637</v>
      </c>
      <c r="S25" s="40">
        <f t="shared" si="7"/>
        <v>73317119.941127151</v>
      </c>
      <c r="T25" s="40">
        <f t="shared" si="7"/>
        <v>76789344.76196824</v>
      </c>
      <c r="U25" s="40">
        <f t="shared" si="7"/>
        <v>80408715.240523443</v>
      </c>
      <c r="V25" s="40">
        <f t="shared" si="7"/>
        <v>84181093.140669942</v>
      </c>
      <c r="W25" s="40">
        <f t="shared" si="7"/>
        <v>88112564.702019528</v>
      </c>
      <c r="X25" s="40">
        <f t="shared" si="7"/>
        <v>92209449.003919423</v>
      </c>
      <c r="Y25" s="40">
        <f t="shared" si="7"/>
        <v>96478306.634886026</v>
      </c>
      <c r="Z25" s="40">
        <f t="shared" si="7"/>
        <v>100925948.67845452</v>
      </c>
      <c r="AA25" s="40">
        <f t="shared" si="7"/>
        <v>105559446.02681729</v>
      </c>
      <c r="AB25" s="40">
        <f t="shared" si="7"/>
        <v>110386139.03402849</v>
      </c>
      <c r="AC25" s="40">
        <f t="shared" si="7"/>
        <v>115413647.52096975</v>
      </c>
      <c r="AD25" s="40">
        <f t="shared" si="7"/>
        <v>120649881.14470443</v>
      </c>
      <c r="AE25" s="40">
        <f t="shared" si="7"/>
        <v>126103050.14529666</v>
      </c>
      <c r="AF25" s="40">
        <f t="shared" si="7"/>
        <v>131781676.48363459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18751389.92006135</v>
      </c>
      <c r="D5" s="59">
        <f>C5*('Price and Financial ratios'!F4+1)*(1+Assumptions!$C$13)</f>
        <v>23721632.52037416</v>
      </c>
      <c r="E5" s="59">
        <f>D5*('Price and Financial ratios'!G4+1)*(1+Assumptions!$C$13)</f>
        <v>30009287.409124065</v>
      </c>
      <c r="F5" s="59">
        <f>E5*('Price and Financial ratios'!H4+1)*(1+Assumptions!$C$13)</f>
        <v>36445005.9172251</v>
      </c>
      <c r="G5" s="59">
        <f>F5*('Price and Financial ratios'!I4+1)*(1+Assumptions!$C$13)</f>
        <v>44260912.903341152</v>
      </c>
      <c r="H5" s="59">
        <f>G5*('Price and Financial ratios'!J4+1)*(1+Assumptions!$C$13)</f>
        <v>49273583.53375873</v>
      </c>
      <c r="I5" s="59">
        <f>H5*('Price and Financial ratios'!K4+1)*(1+Assumptions!$C$13)</f>
        <v>54853952.957554653</v>
      </c>
      <c r="J5" s="59">
        <f>I5*('Price and Financial ratios'!L4+1)*(1+Assumptions!$C$13)</f>
        <v>58845721.371695749</v>
      </c>
      <c r="K5" s="59">
        <f>J5*('Price and Financial ratios'!M4+1)*(1+Assumptions!$C$13)</f>
        <v>63127974.139525339</v>
      </c>
      <c r="L5" s="59">
        <f>K5*('Price and Financial ratios'!N4+1)*(1+Assumptions!$C$13)</f>
        <v>67721850.052421927</v>
      </c>
      <c r="M5" s="59">
        <f>L5*('Price and Financial ratios'!O4+1)*(1+Assumptions!$C$13)</f>
        <v>72650026.189438626</v>
      </c>
      <c r="N5" s="59">
        <f>M5*('Price and Financial ratios'!P4+1)*(1+Assumptions!$C$13)</f>
        <v>77201576.747909576</v>
      </c>
      <c r="O5" s="59">
        <f>N5*('Price and Financial ratios'!Q4+1)*(1+Assumptions!$C$13)</f>
        <v>82038283.603947416</v>
      </c>
      <c r="P5" s="59">
        <f>O5*('Price and Financial ratios'!R4+1)*(1+Assumptions!$C$13)</f>
        <v>87178011.90328598</v>
      </c>
      <c r="Q5" s="59">
        <f>P5*('Price and Financial ratios'!S4+1)*(1+Assumptions!$C$13)</f>
        <v>92639746.049535632</v>
      </c>
      <c r="R5" s="59">
        <f>Q5*('Price and Financial ratios'!T4+1)*(1+Assumptions!$C$13)</f>
        <v>97506101.161085784</v>
      </c>
      <c r="S5" s="59">
        <f>R5*('Price and Financial ratios'!U4+1)*(1+Assumptions!$C$13)</f>
        <v>102628085.34203178</v>
      </c>
      <c r="T5" s="59">
        <f>S5*('Price and Financial ratios'!V4+1)*(1+Assumptions!$C$13)</f>
        <v>108019126.75772989</v>
      </c>
      <c r="U5" s="59">
        <f>T5*('Price and Financial ratios'!W4+1)*(1+Assumptions!$C$13)</f>
        <v>113693358.95350453</v>
      </c>
      <c r="V5" s="59">
        <f>U5*('Price and Financial ratios'!X4+1)*(1+Assumptions!$C$13)</f>
        <v>119665657.90817623</v>
      </c>
      <c r="W5" s="59">
        <f>V5*('Price and Financial ratios'!Y4+1)*(1+Assumptions!$C$13)</f>
        <v>125951681.03400694</v>
      </c>
      <c r="X5" s="59">
        <f>W5*('Price and Financial ratios'!Z4+1)*(1+Assumptions!$C$13)</f>
        <v>132567908.22530812</v>
      </c>
      <c r="Y5" s="59">
        <f>X5*('Price and Financial ratios'!AA4+1)*(1+Assumptions!$C$13)</f>
        <v>139531685.06332737</v>
      </c>
      <c r="Z5" s="59">
        <f>Y5*('Price and Financial ratios'!AB4+1)*(1+Assumptions!$C$13)</f>
        <v>145449140.71096456</v>
      </c>
      <c r="AA5" s="59">
        <f>Z5*('Price and Financial ratios'!AC4+1)*(1+Assumptions!$C$13)</f>
        <v>150439940.07236135</v>
      </c>
      <c r="AB5" s="59">
        <f>AA5*('Price and Financial ratios'!AD4+1)*(1+Assumptions!$C$13)</f>
        <v>155601988.83505377</v>
      </c>
      <c r="AC5" s="59">
        <f>AB5*('Price and Financial ratios'!AE4+1)*(1+Assumptions!$C$13)</f>
        <v>160941163.08327615</v>
      </c>
      <c r="AD5" s="59">
        <f>AC5*('Price and Financial ratios'!AF4+1)*(1+Assumptions!$C$13)</f>
        <v>166463540.52746218</v>
      </c>
      <c r="AE5" s="59">
        <f>AD5*('Price and Financial ratios'!AG4+1)*(1+Assumptions!$C$13)</f>
        <v>172175407.42264888</v>
      </c>
      <c r="AF5" s="59">
        <f>AE5*('Price and Financial ratios'!AH4+1)*(1+Assumptions!$C$13)</f>
        <v>178083265.72427177</v>
      </c>
    </row>
    <row r="6" spans="1:32" s="11" customFormat="1" x14ac:dyDescent="0.35">
      <c r="A6" s="11" t="s">
        <v>20</v>
      </c>
      <c r="C6" s="59">
        <f>C27</f>
        <v>7619390.180288678</v>
      </c>
      <c r="D6" s="59">
        <f t="shared" ref="D6:AF6" si="1">D27</f>
        <v>8704747.1679229196</v>
      </c>
      <c r="E6" s="59">
        <f>E27</f>
        <v>9835203.5421720892</v>
      </c>
      <c r="F6" s="59">
        <f t="shared" si="1"/>
        <v>11012253.75591092</v>
      </c>
      <c r="G6" s="59">
        <f t="shared" si="1"/>
        <v>12237437.4042661</v>
      </c>
      <c r="H6" s="59">
        <f t="shared" si="1"/>
        <v>13512340.529230863</v>
      </c>
      <c r="I6" s="59">
        <f t="shared" si="1"/>
        <v>14838596.961263657</v>
      </c>
      <c r="J6" s="59">
        <f t="shared" si="1"/>
        <v>16217889.698915742</v>
      </c>
      <c r="K6" s="59">
        <f t="shared" si="1"/>
        <v>17651952.327562459</v>
      </c>
      <c r="L6" s="59">
        <f t="shared" si="1"/>
        <v>19142570.478343487</v>
      </c>
      <c r="M6" s="59">
        <f t="shared" si="1"/>
        <v>20691583.328448825</v>
      </c>
      <c r="N6" s="59">
        <f t="shared" si="1"/>
        <v>22300885.143919833</v>
      </c>
      <c r="O6" s="59">
        <f t="shared" si="1"/>
        <v>23972426.866167877</v>
      </c>
      <c r="P6" s="59">
        <f t="shared" si="1"/>
        <v>25708217.743447512</v>
      </c>
      <c r="Q6" s="59">
        <f t="shared" si="1"/>
        <v>27510327.008556508</v>
      </c>
      <c r="R6" s="59">
        <f t="shared" si="1"/>
        <v>29380885.604071215</v>
      </c>
      <c r="S6" s="59">
        <f t="shared" si="1"/>
        <v>31322087.956463426</v>
      </c>
      <c r="T6" s="59">
        <f t="shared" si="1"/>
        <v>33336193.80048319</v>
      </c>
      <c r="U6" s="59">
        <f t="shared" si="1"/>
        <v>35425530.055231668</v>
      </c>
      <c r="V6" s="59">
        <f t="shared" si="1"/>
        <v>37592492.753389031</v>
      </c>
      <c r="W6" s="59">
        <f t="shared" si="1"/>
        <v>39839549.025104202</v>
      </c>
      <c r="X6" s="59">
        <f t="shared" si="1"/>
        <v>42169239.138096578</v>
      </c>
      <c r="Y6" s="59">
        <f t="shared" si="1"/>
        <v>44584178.595564127</v>
      </c>
      <c r="Z6" s="59">
        <f t="shared" si="1"/>
        <v>47087060.29353822</v>
      </c>
      <c r="AA6" s="59">
        <f t="shared" si="1"/>
        <v>49680656.739372417</v>
      </c>
      <c r="AB6" s="59">
        <f t="shared" si="1"/>
        <v>52367822.333101168</v>
      </c>
      <c r="AC6" s="59">
        <f t="shared" si="1"/>
        <v>55151495.713453792</v>
      </c>
      <c r="AD6" s="59">
        <f t="shared" si="1"/>
        <v>58034702.170361146</v>
      </c>
      <c r="AE6" s="59">
        <f t="shared" si="1"/>
        <v>61020556.125844419</v>
      </c>
      <c r="AF6" s="59">
        <f t="shared" si="1"/>
        <v>64112263.685230494</v>
      </c>
    </row>
    <row r="7" spans="1:32" x14ac:dyDescent="0.35">
      <c r="A7" t="s">
        <v>21</v>
      </c>
      <c r="C7" s="4">
        <f>Depreciation!C8+Depreciation!C9</f>
        <v>6278985.6264804862</v>
      </c>
      <c r="D7" s="4">
        <f>Depreciation!D8+Depreciation!D9</f>
        <v>7160201.3459954252</v>
      </c>
      <c r="E7" s="4">
        <f>Depreciation!E8+Depreciation!E9</f>
        <v>8091385.1902778046</v>
      </c>
      <c r="F7" s="4">
        <f>Depreciation!F8+Depreciation!F9</f>
        <v>9074832.7544159573</v>
      </c>
      <c r="G7" s="4">
        <f>Depreciation!G8+Depreciation!G9</f>
        <v>10112935.384224109</v>
      </c>
      <c r="H7" s="4">
        <f>Depreciation!H8+Depreciation!H9</f>
        <v>11208183.953599457</v>
      </c>
      <c r="I7" s="4">
        <f>Depreciation!I8+Depreciation!I9</f>
        <v>12363172.78558138</v>
      </c>
      <c r="J7" s="4">
        <f>Depreciation!J8+Depreciation!J9</f>
        <v>13580603.722441666</v>
      </c>
      <c r="K7" s="4">
        <f>Depreciation!K8+Depreciation!K9</f>
        <v>14863290.350328574</v>
      </c>
      <c r="L7" s="4">
        <f>Depreciation!L8+Depreciation!L9</f>
        <v>16214162.384188458</v>
      </c>
      <c r="M7" s="4">
        <f>Depreciation!M8+Depreciation!M9</f>
        <v>17636270.218896642</v>
      </c>
      <c r="N7" s="4">
        <f>Depreciation!N8+Depreciation!N9</f>
        <v>19132789.652744744</v>
      </c>
      <c r="O7" s="4">
        <f>Depreciation!O8+Depreciation!O9</f>
        <v>20707026.78965497</v>
      </c>
      <c r="P7" s="4">
        <f>Depreciation!P8+Depreciation!P9</f>
        <v>22362423.126723036</v>
      </c>
      <c r="Q7" s="4">
        <f>Depreciation!Q8+Depreciation!Q9</f>
        <v>24102560.833930857</v>
      </c>
      <c r="R7" s="4">
        <f>Depreciation!R8+Depreciation!R9</f>
        <v>25931168.233118217</v>
      </c>
      <c r="S7" s="4">
        <f>Depreciation!S8+Depreciation!S9</f>
        <v>27852125.483559623</v>
      </c>
      <c r="T7" s="4">
        <f>Depreciation!T8+Depreciation!T9</f>
        <v>29869470.481758565</v>
      </c>
      <c r="U7" s="4">
        <f>Depreciation!U8+Depreciation!U9</f>
        <v>31987404.983347066</v>
      </c>
      <c r="V7" s="4">
        <f>Depreciation!V8+Depreciation!V9</f>
        <v>34210300.955263913</v>
      </c>
      <c r="W7" s="4">
        <f>Depreciation!W8+Depreciation!W9</f>
        <v>36542707.166680507</v>
      </c>
      <c r="X7" s="4">
        <f>Depreciation!X8+Depreciation!X9</f>
        <v>38989356.027449556</v>
      </c>
      <c r="Y7" s="4">
        <f>Depreciation!Y8+Depreciation!Y9</f>
        <v>41555170.683169141</v>
      </c>
      <c r="Z7" s="4">
        <f>Depreciation!Z8+Depreciation!Z9</f>
        <v>44245272.376282685</v>
      </c>
      <c r="AA7" s="4">
        <f>Depreciation!AA8+Depreciation!AA9</f>
        <v>47064988.082975939</v>
      </c>
      <c r="AB7" s="4">
        <f>Depreciation!AB8+Depreciation!AB9</f>
        <v>50019858.435984224</v>
      </c>
      <c r="AC7" s="4">
        <f>Depreciation!AC8+Depreciation!AC9</f>
        <v>53115645.943788074</v>
      </c>
      <c r="AD7" s="4">
        <f>Depreciation!AD8+Depreciation!AD9</f>
        <v>56358343.517052934</v>
      </c>
      <c r="AE7" s="4">
        <f>Depreciation!AE8+Depreciation!AE9</f>
        <v>59754183.313560307</v>
      </c>
      <c r="AF7" s="4">
        <f>Depreciation!AF8+Depreciation!AF9</f>
        <v>63309645.913282678</v>
      </c>
    </row>
    <row r="8" spans="1:32" x14ac:dyDescent="0.35">
      <c r="A8" t="s">
        <v>6</v>
      </c>
      <c r="C8" s="4">
        <f ca="1">'Debt worksheet'!C8</f>
        <v>1533839.6881331925</v>
      </c>
      <c r="D8" s="4">
        <f ca="1">'Debt worksheet'!D8</f>
        <v>2332583.0842460482</v>
      </c>
      <c r="E8" s="4">
        <f ca="1">'Debt worksheet'!E8</f>
        <v>3039919.5240011769</v>
      </c>
      <c r="F8" s="4">
        <f ca="1">'Debt worksheet'!F8</f>
        <v>3651801.7964575966</v>
      </c>
      <c r="G8" s="4">
        <f ca="1">'Debt worksheet'!G8</f>
        <v>4119523.6950279321</v>
      </c>
      <c r="H8" s="4">
        <f ca="1">'Debt worksheet'!H8</f>
        <v>4544525.5343565084</v>
      </c>
      <c r="I8" s="4">
        <f ca="1">'Debt worksheet'!I8</f>
        <v>4909854.1458936166</v>
      </c>
      <c r="J8" s="4">
        <f ca="1">'Debt worksheet'!J8</f>
        <v>5276345.3062789897</v>
      </c>
      <c r="K8" s="4">
        <f ca="1">'Debt worksheet'!K8</f>
        <v>5639091.0505107939</v>
      </c>
      <c r="L8" s="4">
        <f ca="1">'Debt worksheet'!L8</f>
        <v>5992449.169493936</v>
      </c>
      <c r="M8" s="4">
        <f ca="1">'Debt worksheet'!M8</f>
        <v>6329968.3675730405</v>
      </c>
      <c r="N8" s="4">
        <f ca="1">'Debt worksheet'!N8</f>
        <v>6670974.1244484633</v>
      </c>
      <c r="O8" s="4">
        <f ca="1">'Debt worksheet'!O8</f>
        <v>7011724.4046253171</v>
      </c>
      <c r="P8" s="4">
        <f ca="1">'Debt worksheet'!P8</f>
        <v>7347935.9169326257</v>
      </c>
      <c r="Q8" s="4">
        <f ca="1">'Debt worksheet'!Q8</f>
        <v>7674732.5977032119</v>
      </c>
      <c r="R8" s="4">
        <f ca="1">'Debt worksheet'!R8</f>
        <v>8020594.7077011708</v>
      </c>
      <c r="S8" s="4">
        <f ca="1">'Debt worksheet'!S8</f>
        <v>8384439.3752805488</v>
      </c>
      <c r="T8" s="4">
        <f ca="1">'Debt worksheet'!T8</f>
        <v>8764936.5683376193</v>
      </c>
      <c r="U8" s="4">
        <f ca="1">'Debt worksheet'!U8</f>
        <v>9160484.5495506618</v>
      </c>
      <c r="V8" s="4">
        <f ca="1">'Debt worksheet'!V8</f>
        <v>9569183.4497995432</v>
      </c>
      <c r="W8" s="4">
        <f ca="1">'Debt worksheet'!W8</f>
        <v>9988806.8332213778</v>
      </c>
      <c r="X8" s="4">
        <f ca="1">'Debt worksheet'!X8</f>
        <v>10416771.119488243</v>
      </c>
      <c r="Y8" s="4">
        <f ca="1">'Debt worksheet'!Y8</f>
        <v>10850102.720557036</v>
      </c>
      <c r="Z8" s="4">
        <f ca="1">'Debt worksheet'!Z8</f>
        <v>11336619.802790696</v>
      </c>
      <c r="AA8" s="4">
        <f ca="1">'Debt worksheet'!AA8</f>
        <v>11921891.706813149</v>
      </c>
      <c r="AB8" s="4">
        <f ca="1">'Debt worksheet'!AB8</f>
        <v>12613689.891643323</v>
      </c>
      <c r="AC8" s="4">
        <f ca="1">'Debt worksheet'!AC8</f>
        <v>13420237.509775627</v>
      </c>
      <c r="AD8" s="4">
        <f ca="1">'Debt worksheet'!AD8</f>
        <v>14350232.131960358</v>
      </c>
      <c r="AE8" s="4">
        <f ca="1">'Debt worksheet'!AE8</f>
        <v>15412869.525033768</v>
      </c>
      <c r="AF8" s="4">
        <f ca="1">'Debt worksheet'!AF8</f>
        <v>16617868.529113509</v>
      </c>
    </row>
    <row r="9" spans="1:32" x14ac:dyDescent="0.35">
      <c r="A9" t="s">
        <v>22</v>
      </c>
      <c r="C9" s="4">
        <f ca="1">C5-C6-C7-C8</f>
        <v>3319174.4251589933</v>
      </c>
      <c r="D9" s="4">
        <f t="shared" ref="D9:AF9" ca="1" si="2">D5-D6-D7-D8</f>
        <v>5524100.9222097676</v>
      </c>
      <c r="E9" s="4">
        <f t="shared" ca="1" si="2"/>
        <v>9042779.1526729949</v>
      </c>
      <c r="F9" s="4">
        <f t="shared" ca="1" si="2"/>
        <v>12706117.610440629</v>
      </c>
      <c r="G9" s="4">
        <f t="shared" ca="1" si="2"/>
        <v>17791016.41982301</v>
      </c>
      <c r="H9" s="4">
        <f t="shared" ca="1" si="2"/>
        <v>20008533.516571902</v>
      </c>
      <c r="I9" s="4">
        <f t="shared" ca="1" si="2"/>
        <v>22742329.064815998</v>
      </c>
      <c r="J9" s="4">
        <f t="shared" ca="1" si="2"/>
        <v>23770882.644059353</v>
      </c>
      <c r="K9" s="4">
        <f t="shared" ca="1" si="2"/>
        <v>24973640.411123514</v>
      </c>
      <c r="L9" s="4">
        <f t="shared" ca="1" si="2"/>
        <v>26372668.020396046</v>
      </c>
      <c r="M9" s="4">
        <f t="shared" ca="1" si="2"/>
        <v>27992204.274520118</v>
      </c>
      <c r="N9" s="4">
        <f t="shared" ca="1" si="2"/>
        <v>29096927.826796532</v>
      </c>
      <c r="O9" s="4">
        <f t="shared" ca="1" si="2"/>
        <v>30347105.543499254</v>
      </c>
      <c r="P9" s="4">
        <f t="shared" ca="1" si="2"/>
        <v>31759435.116182804</v>
      </c>
      <c r="Q9" s="4">
        <f t="shared" ca="1" si="2"/>
        <v>33352125.609345056</v>
      </c>
      <c r="R9" s="4">
        <f t="shared" ca="1" si="2"/>
        <v>34173452.61619518</v>
      </c>
      <c r="S9" s="4">
        <f t="shared" ca="1" si="2"/>
        <v>35069432.526728176</v>
      </c>
      <c r="T9" s="4">
        <f t="shared" ca="1" si="2"/>
        <v>36048525.907150507</v>
      </c>
      <c r="U9" s="4">
        <f t="shared" ca="1" si="2"/>
        <v>37119939.365375146</v>
      </c>
      <c r="V9" s="4">
        <f t="shared" ca="1" si="2"/>
        <v>38293680.74972374</v>
      </c>
      <c r="W9" s="4">
        <f t="shared" ca="1" si="2"/>
        <v>39580618.009000845</v>
      </c>
      <c r="X9" s="4">
        <f t="shared" ca="1" si="2"/>
        <v>40992541.940273747</v>
      </c>
      <c r="Y9" s="4">
        <f t="shared" ca="1" si="2"/>
        <v>42542233.06403707</v>
      </c>
      <c r="Z9" s="4">
        <f t="shared" ca="1" si="2"/>
        <v>42780188.238352969</v>
      </c>
      <c r="AA9" s="4">
        <f t="shared" ca="1" si="2"/>
        <v>41772403.543199845</v>
      </c>
      <c r="AB9" s="4">
        <f t="shared" ca="1" si="2"/>
        <v>40600618.174325056</v>
      </c>
      <c r="AC9" s="4">
        <f t="shared" ca="1" si="2"/>
        <v>39253783.916258648</v>
      </c>
      <c r="AD9" s="4">
        <f t="shared" ca="1" si="2"/>
        <v>37720262.708087742</v>
      </c>
      <c r="AE9" s="4">
        <f t="shared" ca="1" si="2"/>
        <v>35987798.458210379</v>
      </c>
      <c r="AF9" s="4">
        <f t="shared" ca="1" si="2"/>
        <v>34043487.596645094</v>
      </c>
    </row>
    <row r="12" spans="1:32" x14ac:dyDescent="0.35">
      <c r="A12" t="s">
        <v>80</v>
      </c>
      <c r="C12" s="2">
        <f>Assumptions!$C$25*Assumptions!D9*Assumptions!D13</f>
        <v>6803382.1379630463</v>
      </c>
      <c r="D12" s="2">
        <f>Assumptions!$C$25*Assumptions!E9*Assumptions!E13</f>
        <v>7036826.7294093296</v>
      </c>
      <c r="E12" s="2">
        <f>Assumptions!$C$25*Assumptions!F9*Assumptions!F13</f>
        <v>7278281.5099307559</v>
      </c>
      <c r="F12" s="2">
        <f>Assumptions!$C$25*Assumptions!G9*Assumptions!G13</f>
        <v>7528021.333310063</v>
      </c>
      <c r="G12" s="2">
        <f>Assumptions!$C$25*Assumptions!H9*Assumptions!H13</f>
        <v>7786330.4843935044</v>
      </c>
      <c r="H12" s="2">
        <f>Assumptions!$C$25*Assumptions!I9*Assumptions!I13</f>
        <v>8053503.0026991135</v>
      </c>
      <c r="I12" s="2">
        <f>Assumptions!$C$25*Assumptions!J9*Assumptions!J13</f>
        <v>8329843.0171289667</v>
      </c>
      <c r="J12" s="2">
        <f>Assumptions!$C$25*Assumptions!K9*Assumptions!K13</f>
        <v>8615665.0921664219</v>
      </c>
      <c r="K12" s="2">
        <f>Assumptions!$C$25*Assumptions!L9*Assumptions!L13</f>
        <v>8911294.5859524328</v>
      </c>
      <c r="L12" s="2">
        <f>Assumptions!$C$25*Assumptions!M9*Assumptions!M13</f>
        <v>9217068.0206485465</v>
      </c>
      <c r="M12" s="2">
        <f>Assumptions!$C$25*Assumptions!N9*Assumptions!N13</f>
        <v>9533333.4655081723</v>
      </c>
      <c r="N12" s="2">
        <f>Assumptions!$C$25*Assumptions!O9*Assumptions!O13</f>
        <v>9860450.9330921806</v>
      </c>
      <c r="O12" s="2">
        <f>Assumptions!$C$25*Assumptions!P9*Assumptions!P13</f>
        <v>10198792.789079858</v>
      </c>
      <c r="P12" s="2">
        <f>Assumptions!$C$25*Assumptions!Q9*Assumptions!Q13</f>
        <v>10548744.176141718</v>
      </c>
      <c r="Q12" s="2">
        <f>Assumptions!$C$25*Assumptions!R9*Assumptions!R13</f>
        <v>10910703.452356661</v>
      </c>
      <c r="R12" s="2">
        <f>Assumptions!$C$25*Assumptions!S9*Assumptions!S13</f>
        <v>11285082.644672554</v>
      </c>
      <c r="S12" s="2">
        <f>Assumptions!$C$25*Assumptions!T9*Assumptions!T13</f>
        <v>11672307.917926406</v>
      </c>
      <c r="T12" s="2">
        <f>Assumptions!$C$25*Assumptions!U9*Assumptions!U13</f>
        <v>12072820.059958072</v>
      </c>
      <c r="U12" s="2">
        <f>Assumptions!$C$25*Assumptions!V9*Assumptions!V13</f>
        <v>12487074.983369628</v>
      </c>
      <c r="V12" s="2">
        <f>Assumptions!$C$25*Assumptions!W9*Assumptions!W13</f>
        <v>12915544.244501652</v>
      </c>
      <c r="W12" s="2">
        <f>Assumptions!$C$25*Assumptions!X9*Assumptions!X13</f>
        <v>13358715.580217158</v>
      </c>
      <c r="X12" s="2">
        <f>Assumptions!$C$25*Assumptions!Y9*Assumptions!Y13</f>
        <v>13817093.463104183</v>
      </c>
      <c r="Y12" s="2">
        <f>Assumptions!$C$25*Assumptions!Z9*Assumptions!Z13</f>
        <v>14291199.67572907</v>
      </c>
      <c r="Z12" s="2">
        <f>Assumptions!$C$25*Assumptions!AA9*Assumptions!AA13</f>
        <v>14781573.904594114</v>
      </c>
      <c r="AA12" s="2">
        <f>Assumptions!$C$25*Assumptions!AB9*Assumptions!AB13</f>
        <v>15288774.354475673</v>
      </c>
      <c r="AB12" s="2">
        <f>Assumptions!$C$25*Assumptions!AC9*Assumptions!AC13</f>
        <v>15813378.383842105</v>
      </c>
      <c r="AC12" s="2">
        <f>Assumptions!$C$25*Assumptions!AD9*Assumptions!AD13</f>
        <v>16355983.162074769</v>
      </c>
      <c r="AD12" s="2">
        <f>Assumptions!$C$25*Assumptions!AE9*Assumptions!AE13</f>
        <v>16917206.349240329</v>
      </c>
      <c r="AE12" s="2">
        <f>Assumptions!$C$25*Assumptions!AF9*Assumptions!AF13</f>
        <v>17497686.799188022</v>
      </c>
      <c r="AF12" s="2">
        <f>Assumptions!$C$25*Assumptions!AG9*Assumptions!AG13</f>
        <v>18098085.286772385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816008.04232563125</v>
      </c>
      <c r="D14" s="5">
        <f>Assumptions!E122*Assumptions!E9</f>
        <v>1667920.43851359</v>
      </c>
      <c r="E14" s="5">
        <f>Assumptions!F122*Assumptions!F9</f>
        <v>2556922.0322413337</v>
      </c>
      <c r="F14" s="5">
        <f>Assumptions!G122*Assumptions!G9</f>
        <v>3484232.4226008574</v>
      </c>
      <c r="G14" s="5">
        <f>Assumptions!H122*Assumptions!H9</f>
        <v>4451106.919872595</v>
      </c>
      <c r="H14" s="5">
        <f>Assumptions!I122*Assumptions!I9</f>
        <v>5458837.5265317503</v>
      </c>
      <c r="I14" s="5">
        <f>Assumptions!J122*Assumptions!J9</f>
        <v>6508753.9441346899</v>
      </c>
      <c r="J14" s="5">
        <f>Assumptions!K122*Assumptions!K9</f>
        <v>7602224.6067493195</v>
      </c>
      <c r="K14" s="5">
        <f>Assumptions!L122*Assumptions!L9</f>
        <v>8740657.7416100278</v>
      </c>
      <c r="L14" s="5">
        <f>Assumptions!M122*Assumptions!M9</f>
        <v>9925502.4576949421</v>
      </c>
      <c r="M14" s="5">
        <f>Assumptions!N122*Assumptions!N9</f>
        <v>11158249.862940654</v>
      </c>
      <c r="N14" s="5">
        <f>Assumptions!O122*Assumptions!O9</f>
        <v>12440434.210827654</v>
      </c>
      <c r="O14" s="5">
        <f>Assumptions!P122*Assumptions!P9</f>
        <v>13773634.077088019</v>
      </c>
      <c r="P14" s="5">
        <f>Assumptions!Q122*Assumptions!Q9</f>
        <v>15159473.567305794</v>
      </c>
      <c r="Q14" s="5">
        <f>Assumptions!R122*Assumptions!R9</f>
        <v>16599623.556199847</v>
      </c>
      <c r="R14" s="5">
        <f>Assumptions!S122*Assumptions!S9</f>
        <v>18095802.959398661</v>
      </c>
      <c r="S14" s="5">
        <f>Assumptions!T122*Assumptions!T9</f>
        <v>19649780.038537018</v>
      </c>
      <c r="T14" s="5">
        <f>Assumptions!U122*Assumptions!U9</f>
        <v>21263373.740525119</v>
      </c>
      <c r="U14" s="5">
        <f>Assumptions!V122*Assumptions!V9</f>
        <v>22938455.071862042</v>
      </c>
      <c r="V14" s="5">
        <f>Assumptions!W122*Assumptions!W9</f>
        <v>24676948.508887377</v>
      </c>
      <c r="W14" s="5">
        <f>Assumptions!X122*Assumptions!X9</f>
        <v>26480833.444887042</v>
      </c>
      <c r="X14" s="5">
        <f>Assumptions!Y122*Assumptions!Y9</f>
        <v>28352145.674992394</v>
      </c>
      <c r="Y14" s="5">
        <f>Assumptions!Z122*Assumptions!Z9</f>
        <v>30292978.919835061</v>
      </c>
      <c r="Z14" s="5">
        <f>Assumptions!AA122*Assumptions!AA9</f>
        <v>32305486.388944108</v>
      </c>
      <c r="AA14" s="5">
        <f>Assumptions!AB122*Assumptions!AB9</f>
        <v>34391882.384896748</v>
      </c>
      <c r="AB14" s="5">
        <f>Assumptions!AC122*Assumptions!AC9</f>
        <v>36554443.949259065</v>
      </c>
      <c r="AC14" s="5">
        <f>Assumptions!AD122*Assumptions!AD9</f>
        <v>38795512.551379025</v>
      </c>
      <c r="AD14" s="5">
        <f>Assumptions!AE122*Assumptions!AE9</f>
        <v>41117495.821120821</v>
      </c>
      <c r="AE14" s="5">
        <f>Assumptions!AF122*Assumptions!AF9</f>
        <v>43522869.326656394</v>
      </c>
      <c r="AF14" s="5">
        <f>Assumptions!AG122*Assumptions!AG9</f>
        <v>46014178.398458108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7619390.180288678</v>
      </c>
      <c r="D27" s="2">
        <f t="shared" ref="D27:AF27" si="8">D12+D13+D14+D19+D20+D22+D24+D25</f>
        <v>8704747.1679229196</v>
      </c>
      <c r="E27" s="2">
        <f t="shared" si="8"/>
        <v>9835203.5421720892</v>
      </c>
      <c r="F27" s="2">
        <f t="shared" si="8"/>
        <v>11012253.75591092</v>
      </c>
      <c r="G27" s="2">
        <f t="shared" si="8"/>
        <v>12237437.4042661</v>
      </c>
      <c r="H27" s="2">
        <f t="shared" si="8"/>
        <v>13512340.529230863</v>
      </c>
      <c r="I27" s="2">
        <f t="shared" si="8"/>
        <v>14838596.961263657</v>
      </c>
      <c r="J27" s="2">
        <f t="shared" si="8"/>
        <v>16217889.698915742</v>
      </c>
      <c r="K27" s="2">
        <f t="shared" si="8"/>
        <v>17651952.327562459</v>
      </c>
      <c r="L27" s="2">
        <f t="shared" si="8"/>
        <v>19142570.478343487</v>
      </c>
      <c r="M27" s="2">
        <f t="shared" si="8"/>
        <v>20691583.328448825</v>
      </c>
      <c r="N27" s="2">
        <f t="shared" si="8"/>
        <v>22300885.143919833</v>
      </c>
      <c r="O27" s="2">
        <f t="shared" si="8"/>
        <v>23972426.866167877</v>
      </c>
      <c r="P27" s="2">
        <f t="shared" si="8"/>
        <v>25708217.743447512</v>
      </c>
      <c r="Q27" s="2">
        <f t="shared" si="8"/>
        <v>27510327.008556508</v>
      </c>
      <c r="R27" s="2">
        <f t="shared" si="8"/>
        <v>29380885.604071215</v>
      </c>
      <c r="S27" s="2">
        <f t="shared" si="8"/>
        <v>31322087.956463426</v>
      </c>
      <c r="T27" s="2">
        <f t="shared" si="8"/>
        <v>33336193.80048319</v>
      </c>
      <c r="U27" s="2">
        <f t="shared" si="8"/>
        <v>35425530.055231668</v>
      </c>
      <c r="V27" s="2">
        <f t="shared" si="8"/>
        <v>37592492.753389031</v>
      </c>
      <c r="W27" s="2">
        <f t="shared" si="8"/>
        <v>39839549.025104202</v>
      </c>
      <c r="X27" s="2">
        <f t="shared" si="8"/>
        <v>42169239.138096578</v>
      </c>
      <c r="Y27" s="2">
        <f t="shared" si="8"/>
        <v>44584178.595564127</v>
      </c>
      <c r="Z27" s="2">
        <f t="shared" si="8"/>
        <v>47087060.29353822</v>
      </c>
      <c r="AA27" s="2">
        <f t="shared" si="8"/>
        <v>49680656.739372417</v>
      </c>
      <c r="AB27" s="2">
        <f t="shared" si="8"/>
        <v>52367822.333101168</v>
      </c>
      <c r="AC27" s="2">
        <f t="shared" si="8"/>
        <v>55151495.713453792</v>
      </c>
      <c r="AD27" s="2">
        <f t="shared" si="8"/>
        <v>58034702.170361146</v>
      </c>
      <c r="AE27" s="2">
        <f t="shared" si="8"/>
        <v>61020556.125844419</v>
      </c>
      <c r="AF27" s="2">
        <f t="shared" si="8"/>
        <v>64112263.685230494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3W2DU3RAJ5R2-1900874439-806</_dlc_DocId>
    <_dlc_DocIdUrl xmlns="f54e2983-00ce-40fc-8108-18f351fc47bf">
      <Url>https://dia.cohesion.net.nz/Sites/LGV/TWRP/CAE/_layouts/15/DocIdRedir.aspx?ID=3W2DU3RAJ5R2-1900874439-806</Url>
      <Description>3W2DU3RAJ5R2-1900874439-806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5686F079-7019-49F1-8803-4C8C777151BD}"/>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60D1ED9B-F452-4BC7-B214-BB0C30AB4B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2021-06-28T21:59:52Z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0e271afa-c266-4b6b-aac8-1862240e6b92</vt:lpwstr>
  </property>
</Properties>
</file>