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204" documentId="8_{BD00066A-8607-44D1-ABEB-946452D513B4}" xr6:coauthVersionLast="47" xr6:coauthVersionMax="47" xr10:uidLastSave="{23B0DA9B-0E7F-42CA-89FC-8569365367FC}"/>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c r="B8" i="21"/>
  <c r="B21" i="21"/>
  <c r="B34" i="21"/>
  <c r="C87" i="2"/>
  <c r="C58" i="2"/>
  <c r="C106" i="2"/>
  <c r="C63" i="2"/>
  <c r="C107" i="2"/>
  <c r="D11" i="2"/>
  <c r="C40" i="2"/>
  <c r="C41" i="2"/>
  <c r="C39" i="2"/>
  <c r="C36" i="2"/>
  <c r="C37" i="2"/>
  <c r="C35" i="2"/>
  <c r="F9" i="2"/>
  <c r="E9" i="2"/>
  <c r="D9" i="2"/>
  <c r="G11" i="2"/>
  <c r="V9" i="2"/>
  <c r="E11" i="2"/>
  <c r="F11" i="2"/>
  <c r="H11" i="2"/>
  <c r="I11" i="2"/>
  <c r="C72" i="2"/>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G22" i="8"/>
  <c r="F22" i="8"/>
  <c r="C22" i="8"/>
  <c r="E22" i="8"/>
  <c r="D22" i="8"/>
  <c r="H44" i="2"/>
  <c r="H43" i="2"/>
  <c r="I44" i="2"/>
  <c r="J44" i="2"/>
  <c r="G15" i="9"/>
  <c r="I43" i="2"/>
  <c r="G16" i="8"/>
  <c r="H15" i="9"/>
  <c r="J43" i="2"/>
  <c r="H16" i="8"/>
  <c r="I15" i="9"/>
  <c r="K44" i="2"/>
  <c r="J15" i="9"/>
  <c r="L44" i="2"/>
  <c r="K43" i="2"/>
  <c r="I16" i="8"/>
  <c r="L43" i="2"/>
  <c r="J16" i="8"/>
  <c r="K15" i="9"/>
  <c r="M44" i="2"/>
  <c r="L15" i="9"/>
  <c r="N44" i="2"/>
  <c r="K16" i="8"/>
  <c r="M43" i="2"/>
  <c r="M15" i="9"/>
  <c r="O44" i="2"/>
  <c r="N43" i="2"/>
  <c r="L16" i="8"/>
  <c r="N15" i="9"/>
  <c r="P44" i="2"/>
  <c r="O43" i="2"/>
  <c r="M16" i="8"/>
  <c r="O15" i="9"/>
  <c r="Q44" i="2"/>
  <c r="P43" i="2"/>
  <c r="N16" i="8"/>
  <c r="Q43" i="2"/>
  <c r="O16" i="8"/>
  <c r="P15" i="9"/>
  <c r="R44" i="2"/>
  <c r="Q15" i="9"/>
  <c r="S44" i="2"/>
  <c r="P16" i="8"/>
  <c r="R43" i="2"/>
  <c r="R15" i="9"/>
  <c r="T44" i="2"/>
  <c r="S43" i="2"/>
  <c r="Q16" i="8"/>
  <c r="S15" i="9"/>
  <c r="U44" i="2"/>
  <c r="T43" i="2"/>
  <c r="R16" i="8"/>
  <c r="U43" i="2"/>
  <c r="S16" i="8"/>
  <c r="T15" i="9"/>
  <c r="V44" i="2"/>
  <c r="T16" i="8"/>
  <c r="V43" i="2"/>
  <c r="U15" i="9"/>
  <c r="W44" i="2"/>
  <c r="V15" i="9"/>
  <c r="X44" i="2"/>
  <c r="W43" i="2"/>
  <c r="U16" i="8"/>
  <c r="W15" i="9"/>
  <c r="Y44" i="2"/>
  <c r="X43" i="2"/>
  <c r="V16" i="8"/>
  <c r="Y43" i="2"/>
  <c r="W16" i="8"/>
  <c r="X15" i="9"/>
  <c r="Z44" i="2"/>
  <c r="Y15" i="9"/>
  <c r="AA44" i="2"/>
  <c r="Z43" i="2"/>
  <c r="X16" i="8"/>
  <c r="Z15" i="9"/>
  <c r="AB44" i="2"/>
  <c r="AA43" i="2"/>
  <c r="Y16" i="8"/>
  <c r="Z16" i="8"/>
  <c r="AB43" i="2"/>
  <c r="AA15" i="9"/>
  <c r="AC44" i="2"/>
  <c r="AC43" i="2"/>
  <c r="AA16" i="8"/>
  <c r="AB15" i="9"/>
  <c r="AD44" i="2"/>
  <c r="AD43" i="2"/>
  <c r="AB16" i="8"/>
  <c r="AC15" i="9"/>
  <c r="AE44" i="2"/>
  <c r="AD15" i="9"/>
  <c r="AF44" i="2"/>
  <c r="AE43" i="2"/>
  <c r="AC16" i="8"/>
  <c r="AE15" i="9"/>
  <c r="AG44" i="2"/>
  <c r="AD16" i="8"/>
  <c r="AF43" i="2"/>
  <c r="AF15" i="9"/>
  <c r="AG43" i="2"/>
  <c r="AE16" i="8"/>
  <c r="AF16" i="8"/>
  <c r="C83" i="2" l="1"/>
  <c r="C90" i="2" s="1"/>
  <c r="C95" i="2" s="1"/>
  <c r="C82" i="2"/>
  <c r="C129" i="2"/>
  <c r="C135" i="2" s="1"/>
  <c r="C22" i="6"/>
  <c r="B10" i="21"/>
  <c r="C66" i="2"/>
  <c r="C17" i="2"/>
  <c r="B7" i="21"/>
  <c r="C71" i="2"/>
  <c r="C73" i="2" s="1"/>
  <c r="C5" i="3"/>
  <c r="C67" i="2"/>
  <c r="C89" i="2" l="1"/>
  <c r="C94" i="2" s="1"/>
  <c r="B12" i="21"/>
  <c r="B16" i="21" s="1"/>
  <c r="C75" i="2"/>
  <c r="B6" i="5"/>
  <c r="C18" i="2"/>
  <c r="C7" i="6" s="1"/>
  <c r="C6" i="6"/>
  <c r="C96" i="2"/>
  <c r="C68" i="2"/>
  <c r="C102" i="2" l="1"/>
  <c r="AG111" i="2"/>
  <c r="Z111" i="2"/>
  <c r="F111" i="2"/>
  <c r="AA111" i="2"/>
  <c r="D111" i="2"/>
  <c r="AE111" i="2"/>
  <c r="T111" i="2"/>
  <c r="W111" i="2"/>
  <c r="E111" i="2"/>
  <c r="M111" i="2"/>
  <c r="AF111" i="2"/>
  <c r="Q111" i="2"/>
  <c r="V111" i="2"/>
  <c r="I111" i="2"/>
  <c r="G111" i="2"/>
  <c r="AC111" i="2"/>
  <c r="O111" i="2"/>
  <c r="N111" i="2"/>
  <c r="Y111" i="2"/>
  <c r="AD111" i="2"/>
  <c r="J111" i="2"/>
  <c r="P111" i="2"/>
  <c r="K111" i="2"/>
  <c r="S111" i="2"/>
  <c r="H111" i="2"/>
  <c r="L111" i="2"/>
  <c r="AB111" i="2"/>
  <c r="X111" i="2"/>
  <c r="U111" i="2"/>
  <c r="R111" i="2"/>
  <c r="S13" i="2"/>
  <c r="AA13" i="2"/>
  <c r="W13" i="2"/>
  <c r="L13" i="2"/>
  <c r="AD13" i="2"/>
  <c r="D13" i="2"/>
  <c r="AE13" i="2"/>
  <c r="AF13" i="2"/>
  <c r="Z13" i="2"/>
  <c r="Q13" i="2"/>
  <c r="T13" i="2"/>
  <c r="R13" i="2"/>
  <c r="K13" i="2"/>
  <c r="E13" i="2"/>
  <c r="V13" i="2"/>
  <c r="U13" i="2"/>
  <c r="G13" i="2"/>
  <c r="AB13" i="2"/>
  <c r="AC13" i="2"/>
  <c r="N13" i="2"/>
  <c r="X13" i="2"/>
  <c r="H13" i="2"/>
  <c r="P13" i="2"/>
  <c r="Y13" i="2"/>
  <c r="J13" i="2"/>
  <c r="AG13" i="2"/>
  <c r="M13" i="2"/>
  <c r="F13" i="2"/>
  <c r="O13" i="2"/>
  <c r="I13" i="2"/>
  <c r="C5" i="8"/>
  <c r="AB12" i="8" l="1"/>
  <c r="AC135" i="2"/>
  <c r="Y8" i="6"/>
  <c r="Y5" i="9"/>
  <c r="Y11" i="9" s="1"/>
  <c r="M135" i="2"/>
  <c r="B23" i="21" s="1"/>
  <c r="L12" i="8"/>
  <c r="M12" i="8"/>
  <c r="N135" i="2"/>
  <c r="Q12" i="8"/>
  <c r="R135" i="2"/>
  <c r="L135" i="2"/>
  <c r="K12" i="8"/>
  <c r="AA5" i="9"/>
  <c r="AA11" i="9" s="1"/>
  <c r="AA8" i="6"/>
  <c r="X8" i="6"/>
  <c r="X5" i="9"/>
  <c r="X11" i="9" s="1"/>
  <c r="AE5" i="9"/>
  <c r="AE11" i="9" s="1"/>
  <c r="AE8" i="6"/>
  <c r="E5" i="9"/>
  <c r="E11" i="9" s="1"/>
  <c r="E8" i="6"/>
  <c r="M8" i="6"/>
  <c r="M5" i="9"/>
  <c r="M11" i="9" s="1"/>
  <c r="Y12" i="8"/>
  <c r="Z135" i="2"/>
  <c r="V5" i="9"/>
  <c r="V11" i="9" s="1"/>
  <c r="V8" i="6"/>
  <c r="AA12" i="8"/>
  <c r="AB135" i="2"/>
  <c r="I12" i="8"/>
  <c r="J135" i="2"/>
  <c r="AB5" i="9"/>
  <c r="AB11" i="9" s="1"/>
  <c r="AB8" i="6"/>
  <c r="AE12" i="8"/>
  <c r="AF135" i="2"/>
  <c r="J5" i="9"/>
  <c r="J11" i="9" s="1"/>
  <c r="J8" i="6"/>
  <c r="F8" i="6"/>
  <c r="F5" i="9"/>
  <c r="F11" i="9" s="1"/>
  <c r="S5" i="9"/>
  <c r="S11" i="9" s="1"/>
  <c r="S8" i="6"/>
  <c r="AF12" i="8"/>
  <c r="AG135" i="2"/>
  <c r="B36" i="21" s="1"/>
  <c r="K5" i="9"/>
  <c r="K11" i="9" s="1"/>
  <c r="K8" i="6"/>
  <c r="Q135" i="2"/>
  <c r="P12" i="8"/>
  <c r="G5" i="9"/>
  <c r="G11" i="9" s="1"/>
  <c r="G8" i="6"/>
  <c r="F12" i="8"/>
  <c r="G135" i="2"/>
  <c r="R8" i="6"/>
  <c r="R5" i="9"/>
  <c r="R11" i="9" s="1"/>
  <c r="Y135" i="2"/>
  <c r="X12" i="8"/>
  <c r="P135" i="2"/>
  <c r="O12" i="8"/>
  <c r="AE135" i="2"/>
  <c r="AD12" i="8"/>
  <c r="Q8" i="6"/>
  <c r="Q5" i="9"/>
  <c r="Q11" i="9" s="1"/>
  <c r="O5" i="9"/>
  <c r="O11" i="9" s="1"/>
  <c r="O8" i="6"/>
  <c r="H5" i="9"/>
  <c r="H11" i="9" s="1"/>
  <c r="H8" i="6"/>
  <c r="AD8" i="6"/>
  <c r="AD5" i="9"/>
  <c r="AD11" i="9" s="1"/>
  <c r="S12" i="8"/>
  <c r="T135" i="2"/>
  <c r="D5" i="9"/>
  <c r="D11" i="9" s="1"/>
  <c r="D8" i="6"/>
  <c r="D5" i="8"/>
  <c r="E5" i="8" s="1"/>
  <c r="F5" i="8" s="1"/>
  <c r="G5" i="8" s="1"/>
  <c r="H5" i="8" s="1"/>
  <c r="I5" i="8" s="1"/>
  <c r="J5" i="8" s="1"/>
  <c r="K5" i="8" s="1"/>
  <c r="L5" i="8" s="1"/>
  <c r="E6" i="7"/>
  <c r="T12" i="8"/>
  <c r="U135" i="2"/>
  <c r="I135" i="2"/>
  <c r="H12" i="8"/>
  <c r="U12" i="8"/>
  <c r="V135" i="2"/>
  <c r="O135" i="2"/>
  <c r="N12" i="8"/>
  <c r="G12" i="8"/>
  <c r="H135" i="2"/>
  <c r="D12" i="8"/>
  <c r="E135" i="2"/>
  <c r="C12" i="8"/>
  <c r="D135" i="2"/>
  <c r="T5" i="9"/>
  <c r="T11" i="9" s="1"/>
  <c r="T8" i="6"/>
  <c r="I8" i="6"/>
  <c r="I5" i="9"/>
  <c r="I11" i="9" s="1"/>
  <c r="U8" i="6"/>
  <c r="U5" i="9"/>
  <c r="U11" i="9" s="1"/>
  <c r="C8" i="6"/>
  <c r="C5" i="9"/>
  <c r="C11" i="9" s="1"/>
  <c r="U113" i="2"/>
  <c r="Q113" i="2"/>
  <c r="X113" i="2"/>
  <c r="S113" i="2"/>
  <c r="AC113" i="2"/>
  <c r="AB113" i="2"/>
  <c r="AF113" i="2"/>
  <c r="AA113" i="2"/>
  <c r="Y113" i="2"/>
  <c r="G113" i="2"/>
  <c r="I113" i="2"/>
  <c r="L113" i="2"/>
  <c r="D113" i="2"/>
  <c r="T113" i="2"/>
  <c r="O113" i="2"/>
  <c r="AG113" i="2"/>
  <c r="N113" i="2"/>
  <c r="AE113" i="2"/>
  <c r="R113" i="2"/>
  <c r="E113" i="2"/>
  <c r="V113" i="2"/>
  <c r="H113" i="2"/>
  <c r="Z113" i="2"/>
  <c r="K113" i="2"/>
  <c r="M113" i="2"/>
  <c r="F113" i="2"/>
  <c r="AD113" i="2"/>
  <c r="P113" i="2"/>
  <c r="W113" i="2"/>
  <c r="J113" i="2"/>
  <c r="W135" i="2"/>
  <c r="V12" i="8"/>
  <c r="L8" i="6"/>
  <c r="L5" i="9"/>
  <c r="L11" i="9" s="1"/>
  <c r="Z12" i="8"/>
  <c r="AA135" i="2"/>
  <c r="N8" i="6"/>
  <c r="N5" i="9"/>
  <c r="N11" i="9" s="1"/>
  <c r="AF5" i="9"/>
  <c r="AF11" i="9" s="1"/>
  <c r="AF8" i="6"/>
  <c r="R12" i="8"/>
  <c r="S135" i="2"/>
  <c r="E12" i="8"/>
  <c r="F135" i="2"/>
  <c r="W12" i="8"/>
  <c r="X135" i="2"/>
  <c r="J12" i="8"/>
  <c r="K135" i="2"/>
  <c r="AD135" i="2"/>
  <c r="AC12" i="8"/>
  <c r="W5" i="9"/>
  <c r="W11" i="9" s="1"/>
  <c r="W8" i="6"/>
  <c r="AC5" i="9"/>
  <c r="AC11" i="9" s="1"/>
  <c r="AC8" i="6"/>
  <c r="P8" i="6"/>
  <c r="P5" i="9"/>
  <c r="P11" i="9" s="1"/>
  <c r="Z5" i="9"/>
  <c r="Z11" i="9" s="1"/>
  <c r="Z8" i="6"/>
  <c r="L18" i="9" l="1"/>
  <c r="F6" i="9"/>
  <c r="F12" i="9" s="1"/>
  <c r="G116" i="2"/>
  <c r="G115" i="2"/>
  <c r="G118" i="2" s="1"/>
  <c r="Z18" i="9"/>
  <c r="M6" i="9"/>
  <c r="M12" i="9" s="1"/>
  <c r="N115" i="2"/>
  <c r="N116" i="2"/>
  <c r="N118" i="2" s="1"/>
  <c r="T18" i="9"/>
  <c r="M20" i="8"/>
  <c r="M19" i="8"/>
  <c r="P18" i="9"/>
  <c r="V20" i="8"/>
  <c r="V19" i="8"/>
  <c r="J6" i="9"/>
  <c r="J12" i="9" s="1"/>
  <c r="K116" i="2"/>
  <c r="K118" i="2" s="1"/>
  <c r="K115" i="2"/>
  <c r="AG116" i="2"/>
  <c r="AF6" i="9"/>
  <c r="AF12" i="9" s="1"/>
  <c r="AG115" i="2"/>
  <c r="Z6" i="9"/>
  <c r="Z12" i="9" s="1"/>
  <c r="AA116" i="2"/>
  <c r="AA115" i="2"/>
  <c r="AA118" i="2" s="1"/>
  <c r="C18" i="9"/>
  <c r="X20" i="8"/>
  <c r="X19" i="8"/>
  <c r="P20" i="8"/>
  <c r="P19" i="8"/>
  <c r="F18" i="9"/>
  <c r="M18" i="9"/>
  <c r="L20" i="8"/>
  <c r="L19" i="8"/>
  <c r="E6" i="9"/>
  <c r="E12" i="9" s="1"/>
  <c r="F116" i="2"/>
  <c r="F115" i="2"/>
  <c r="N20" i="8"/>
  <c r="N19" i="8"/>
  <c r="L6" i="9"/>
  <c r="L12" i="9" s="1"/>
  <c r="M116" i="2"/>
  <c r="M115" i="2"/>
  <c r="M118" i="2" s="1"/>
  <c r="G18" i="9"/>
  <c r="C20" i="8"/>
  <c r="C19" i="8"/>
  <c r="I19" i="8"/>
  <c r="I20" i="8"/>
  <c r="U18" i="9"/>
  <c r="Q18" i="9"/>
  <c r="R18" i="9"/>
  <c r="K19" i="8"/>
  <c r="K20" i="8"/>
  <c r="Y18" i="9"/>
  <c r="P6" i="9"/>
  <c r="P12" i="9" s="1"/>
  <c r="Q116" i="2"/>
  <c r="Q115" i="2"/>
  <c r="O19" i="8"/>
  <c r="O20" i="8"/>
  <c r="X18" i="9"/>
  <c r="X6" i="9"/>
  <c r="X12" i="9" s="1"/>
  <c r="Y116" i="2"/>
  <c r="Y115" i="2"/>
  <c r="Y118" i="2"/>
  <c r="AB18" i="9"/>
  <c r="J20" i="8"/>
  <c r="J19" i="8"/>
  <c r="Y6" i="9"/>
  <c r="Y12" i="9" s="1"/>
  <c r="Z116" i="2"/>
  <c r="Z115" i="2"/>
  <c r="AF116" i="2"/>
  <c r="AE6" i="9"/>
  <c r="AE12" i="9" s="1"/>
  <c r="AF115" i="2"/>
  <c r="AF118" i="2" s="1"/>
  <c r="D18" i="9"/>
  <c r="AA18" i="9"/>
  <c r="H116" i="2"/>
  <c r="G6" i="9"/>
  <c r="G12" i="9" s="1"/>
  <c r="H115" i="2"/>
  <c r="H19" i="8"/>
  <c r="H20" i="8"/>
  <c r="AC18" i="9"/>
  <c r="W20" i="8"/>
  <c r="W19" i="8"/>
  <c r="W116" i="2"/>
  <c r="V6" i="9"/>
  <c r="V12" i="9" s="1"/>
  <c r="W115" i="2"/>
  <c r="U6" i="9"/>
  <c r="U12" i="9" s="1"/>
  <c r="V116" i="2"/>
  <c r="V115" i="2"/>
  <c r="D116" i="2"/>
  <c r="D115" i="2"/>
  <c r="D118" i="2" s="1"/>
  <c r="C6" i="9"/>
  <c r="C12" i="9" s="1"/>
  <c r="C113" i="2"/>
  <c r="C114" i="2" s="1"/>
  <c r="AC115" i="2"/>
  <c r="AC118" i="2" s="1"/>
  <c r="AC116" i="2"/>
  <c r="AB6" i="9"/>
  <c r="AB12" i="9" s="1"/>
  <c r="D20" i="8"/>
  <c r="D19" i="8"/>
  <c r="S20" i="8"/>
  <c r="S19" i="8"/>
  <c r="K18" i="9"/>
  <c r="J18" i="9"/>
  <c r="AA20" i="8"/>
  <c r="AA19" i="8"/>
  <c r="E18" i="9"/>
  <c r="AC20" i="8"/>
  <c r="AC19" i="8"/>
  <c r="AE116" i="2"/>
  <c r="AD6" i="9"/>
  <c r="AD12" i="9" s="1"/>
  <c r="AE115" i="2"/>
  <c r="R19" i="8"/>
  <c r="R20" i="8"/>
  <c r="T6" i="9"/>
  <c r="T12" i="9" s="1"/>
  <c r="U116" i="2"/>
  <c r="U115" i="2"/>
  <c r="U118" i="2" s="1"/>
  <c r="H18" i="9"/>
  <c r="Y19" i="8"/>
  <c r="Y20" i="8"/>
  <c r="AF18" i="9"/>
  <c r="N6" i="9"/>
  <c r="N12" i="9" s="1"/>
  <c r="O116" i="2"/>
  <c r="O115" i="2"/>
  <c r="O118" i="2"/>
  <c r="U20" i="8"/>
  <c r="U19" i="8"/>
  <c r="N18" i="9"/>
  <c r="T116" i="2"/>
  <c r="S6" i="9"/>
  <c r="S12" i="9" s="1"/>
  <c r="T115" i="2"/>
  <c r="T118" i="2" s="1"/>
  <c r="P116" i="2"/>
  <c r="O6" i="9"/>
  <c r="O12" i="9" s="1"/>
  <c r="P115" i="2"/>
  <c r="E116" i="2"/>
  <c r="D6" i="9"/>
  <c r="D12" i="9" s="1"/>
  <c r="E115" i="2"/>
  <c r="K6" i="9"/>
  <c r="K12" i="9" s="1"/>
  <c r="L116" i="2"/>
  <c r="L115" i="2"/>
  <c r="L118" i="2" s="1"/>
  <c r="S116" i="2"/>
  <c r="R6" i="9"/>
  <c r="R12" i="9" s="1"/>
  <c r="S115" i="2"/>
  <c r="I18" i="9"/>
  <c r="AD18" i="9"/>
  <c r="AD20" i="8"/>
  <c r="AD19" i="8"/>
  <c r="B20" i="21"/>
  <c r="B25" i="21" s="1"/>
  <c r="B29" i="21"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S18" i="9"/>
  <c r="O18" i="9"/>
  <c r="J115" i="2"/>
  <c r="J118" i="2" s="1"/>
  <c r="J116" i="2"/>
  <c r="I6" i="9"/>
  <c r="I12" i="9" s="1"/>
  <c r="AA6" i="9"/>
  <c r="AA12" i="9" s="1"/>
  <c r="AB116" i="2"/>
  <c r="AB115" i="2"/>
  <c r="AB118" i="2" s="1"/>
  <c r="W18" i="9"/>
  <c r="E19" i="8"/>
  <c r="E20" i="8"/>
  <c r="Z20" i="8"/>
  <c r="Z19" i="8"/>
  <c r="AD116" i="2"/>
  <c r="AC6" i="9"/>
  <c r="AC12" i="9" s="1"/>
  <c r="AD115" i="2"/>
  <c r="R116" i="2"/>
  <c r="Q6" i="9"/>
  <c r="Q12" i="9" s="1"/>
  <c r="R115" i="2"/>
  <c r="R118" i="2" s="1"/>
  <c r="I116" i="2"/>
  <c r="I115" i="2"/>
  <c r="I118" i="2" s="1"/>
  <c r="H6" i="9"/>
  <c r="H12" i="9" s="1"/>
  <c r="W6" i="9"/>
  <c r="W12" i="9" s="1"/>
  <c r="X116" i="2"/>
  <c r="X115" i="2"/>
  <c r="G19" i="8"/>
  <c r="G20" i="8"/>
  <c r="T20" i="8"/>
  <c r="T19" i="8"/>
  <c r="F19" i="8"/>
  <c r="F20" i="8"/>
  <c r="AF20" i="8"/>
  <c r="AF19" i="8"/>
  <c r="AE20" i="8"/>
  <c r="AE19" i="8"/>
  <c r="V18" i="9"/>
  <c r="AE18" i="9"/>
  <c r="Q20" i="8"/>
  <c r="Q19" i="8"/>
  <c r="AB20" i="8"/>
  <c r="AB19" i="8"/>
  <c r="V118" i="2" l="1"/>
  <c r="Q118" i="2"/>
  <c r="S118" i="2"/>
  <c r="AG118" i="2"/>
  <c r="H118" i="2"/>
  <c r="R122" i="2" s="1"/>
  <c r="Q14" i="8" s="1"/>
  <c r="Z118" i="2"/>
  <c r="F118" i="2"/>
  <c r="I120" i="2" s="1"/>
  <c r="X118" i="2"/>
  <c r="AA120" i="2" s="1"/>
  <c r="AD118" i="2"/>
  <c r="E118" i="2"/>
  <c r="AE118" i="2"/>
  <c r="P118" i="2"/>
  <c r="W118" i="2"/>
  <c r="E120" i="2"/>
  <c r="D120" i="2"/>
  <c r="E122" i="2"/>
  <c r="D14" i="8" s="1"/>
  <c r="J122" i="2"/>
  <c r="I14" i="8" s="1"/>
  <c r="G122" i="2"/>
  <c r="F14" i="8" s="1"/>
  <c r="F122" i="2"/>
  <c r="E14" i="8" s="1"/>
  <c r="H122" i="2"/>
  <c r="G14" i="8" s="1"/>
  <c r="R120" i="2"/>
  <c r="D122" i="2"/>
  <c r="C14" i="8" s="1"/>
  <c r="L120" i="2"/>
  <c r="W122" i="2"/>
  <c r="V14" i="8" s="1"/>
  <c r="K122" i="2"/>
  <c r="J14" i="8" s="1"/>
  <c r="P122" i="2"/>
  <c r="O14" i="8" s="1"/>
  <c r="V122" i="2"/>
  <c r="U14" i="8" s="1"/>
  <c r="Y120" i="2"/>
  <c r="AF122" i="2"/>
  <c r="AE14" i="8" s="1"/>
  <c r="T120" i="2"/>
  <c r="AG122" i="2"/>
  <c r="AF14" i="8" s="1"/>
  <c r="D21" i="9"/>
  <c r="D20" i="9"/>
  <c r="AD21" i="9"/>
  <c r="AD20" i="9"/>
  <c r="U21" i="9"/>
  <c r="U20" i="9"/>
  <c r="AF21" i="9"/>
  <c r="AF20" i="9"/>
  <c r="R21" i="9"/>
  <c r="R20" i="9"/>
  <c r="S21" i="9"/>
  <c r="S20" i="9"/>
  <c r="C21" i="9"/>
  <c r="C20" i="9"/>
  <c r="Y21" i="9"/>
  <c r="Y20" i="9"/>
  <c r="F20" i="9"/>
  <c r="F21" i="9"/>
  <c r="Q21" i="9"/>
  <c r="Q20" i="9"/>
  <c r="V21" i="9"/>
  <c r="V20" i="9"/>
  <c r="X21" i="9"/>
  <c r="X20" i="9"/>
  <c r="L20" i="9"/>
  <c r="L21" i="9"/>
  <c r="W21" i="9"/>
  <c r="W20" i="9"/>
  <c r="AB21" i="9"/>
  <c r="AB20" i="9"/>
  <c r="E20" i="9"/>
  <c r="E21" i="9"/>
  <c r="T21" i="9"/>
  <c r="T20" i="9"/>
  <c r="H21" i="9"/>
  <c r="H20" i="9"/>
  <c r="O21" i="9"/>
  <c r="O20" i="9"/>
  <c r="N21" i="9"/>
  <c r="N20" i="9"/>
  <c r="AE21" i="9"/>
  <c r="AE20" i="9"/>
  <c r="Z21" i="9"/>
  <c r="Z20" i="9"/>
  <c r="J20" i="9"/>
  <c r="J21" i="9"/>
  <c r="AA21" i="9"/>
  <c r="AA20" i="9"/>
  <c r="K21" i="9"/>
  <c r="K20" i="9"/>
  <c r="P21" i="9"/>
  <c r="P20" i="9"/>
  <c r="G21" i="9"/>
  <c r="G20" i="9"/>
  <c r="AC21" i="9"/>
  <c r="AC20" i="9"/>
  <c r="I21" i="9"/>
  <c r="I20" i="9"/>
  <c r="M21" i="9"/>
  <c r="M20" i="9"/>
  <c r="AB122" i="2" l="1"/>
  <c r="AA14" i="8" s="1"/>
  <c r="AF120" i="2"/>
  <c r="X122" i="2"/>
  <c r="W14" i="8" s="1"/>
  <c r="N122" i="2"/>
  <c r="M14" i="8" s="1"/>
  <c r="H120" i="2"/>
  <c r="G7" i="9" s="1"/>
  <c r="G13" i="9" s="1"/>
  <c r="J120" i="2"/>
  <c r="Z122" i="2"/>
  <c r="Y14" i="8" s="1"/>
  <c r="AC120" i="2"/>
  <c r="AB9" i="6" s="1"/>
  <c r="W120" i="2"/>
  <c r="AB120" i="2"/>
  <c r="Q120" i="2"/>
  <c r="O120" i="2"/>
  <c r="AD120" i="2"/>
  <c r="AC7" i="9" s="1"/>
  <c r="AC13" i="9" s="1"/>
  <c r="AG120" i="2"/>
  <c r="K120" i="2"/>
  <c r="Z120" i="2"/>
  <c r="Y9" i="6" s="1"/>
  <c r="T122" i="2"/>
  <c r="S14" i="8" s="1"/>
  <c r="Q122" i="2"/>
  <c r="P14" i="8" s="1"/>
  <c r="F120" i="2"/>
  <c r="X120" i="2"/>
  <c r="AC122" i="2"/>
  <c r="AB14" i="8" s="1"/>
  <c r="AB24" i="8" s="1"/>
  <c r="AD122" i="2"/>
  <c r="AC14" i="8" s="1"/>
  <c r="V120" i="2"/>
  <c r="U9" i="6" s="1"/>
  <c r="Y122" i="2"/>
  <c r="X14" i="8" s="1"/>
  <c r="X24" i="8" s="1"/>
  <c r="S120" i="2"/>
  <c r="O122" i="2"/>
  <c r="N14" i="8" s="1"/>
  <c r="G120" i="2"/>
  <c r="AE120" i="2"/>
  <c r="AE122" i="2"/>
  <c r="AD14" i="8" s="1"/>
  <c r="AD24" i="8" s="1"/>
  <c r="U122" i="2"/>
  <c r="T14" i="8" s="1"/>
  <c r="U120" i="2"/>
  <c r="T9" i="6" s="1"/>
  <c r="M120" i="2"/>
  <c r="L9" i="6" s="1"/>
  <c r="M122" i="2"/>
  <c r="L14" i="8" s="1"/>
  <c r="I122" i="2"/>
  <c r="H14" i="8" s="1"/>
  <c r="N120" i="2"/>
  <c r="S122" i="2"/>
  <c r="R14" i="8" s="1"/>
  <c r="R24" i="8" s="1"/>
  <c r="AA122" i="2"/>
  <c r="Z14" i="8" s="1"/>
  <c r="Z24" i="8" s="1"/>
  <c r="P120" i="2"/>
  <c r="L122" i="2"/>
  <c r="K14" i="8" s="1"/>
  <c r="T7" i="9"/>
  <c r="T13" i="9" s="1"/>
  <c r="AB25" i="8"/>
  <c r="AC24" i="8"/>
  <c r="AC27" i="8" s="1"/>
  <c r="AC6" i="8" s="1"/>
  <c r="AC25" i="8"/>
  <c r="U7" i="9"/>
  <c r="U13" i="9" s="1"/>
  <c r="R9" i="6"/>
  <c r="R7" i="9"/>
  <c r="R13" i="9" s="1"/>
  <c r="N25" i="8"/>
  <c r="N24" i="8"/>
  <c r="N27" i="8"/>
  <c r="N6" i="8" s="1"/>
  <c r="F9" i="6"/>
  <c r="F7" i="9"/>
  <c r="F13" i="9" s="1"/>
  <c r="L24" i="8"/>
  <c r="L25" i="8"/>
  <c r="M7" i="9"/>
  <c r="M13" i="9" s="1"/>
  <c r="M9" i="6"/>
  <c r="Q25" i="8"/>
  <c r="Q24" i="8"/>
  <c r="Q27" i="8" s="1"/>
  <c r="Q6" i="8" s="1"/>
  <c r="D25" i="8"/>
  <c r="D27" i="8" s="1"/>
  <c r="D6" i="8" s="1"/>
  <c r="D24" i="8"/>
  <c r="AF24" i="8"/>
  <c r="AF25" i="8"/>
  <c r="AE24" i="8"/>
  <c r="AE25" i="8"/>
  <c r="X7" i="9"/>
  <c r="X13" i="9" s="1"/>
  <c r="X9" i="6"/>
  <c r="O24" i="8"/>
  <c r="O27" i="8" s="1"/>
  <c r="O6" i="8" s="1"/>
  <c r="O25" i="8"/>
  <c r="J25" i="8"/>
  <c r="J24" i="8"/>
  <c r="K9" i="6"/>
  <c r="K7" i="9"/>
  <c r="K13" i="9" s="1"/>
  <c r="G24" i="8"/>
  <c r="G27" i="8" s="1"/>
  <c r="G6" i="8" s="1"/>
  <c r="G25" i="8"/>
  <c r="C9" i="6"/>
  <c r="C7" i="9"/>
  <c r="C13" i="9" s="1"/>
  <c r="H24" i="8"/>
  <c r="H25" i="8"/>
  <c r="O7" i="9"/>
  <c r="O13" i="9" s="1"/>
  <c r="O9" i="6"/>
  <c r="K25" i="8"/>
  <c r="K27" i="8" s="1"/>
  <c r="K6" i="8" s="1"/>
  <c r="K24" i="8"/>
  <c r="H9" i="6"/>
  <c r="H7" i="9"/>
  <c r="H13" i="9" s="1"/>
  <c r="AA25" i="8"/>
  <c r="AA24" i="8"/>
  <c r="AE7" i="9"/>
  <c r="AE13" i="9" s="1"/>
  <c r="AE9" i="6"/>
  <c r="W24" i="8"/>
  <c r="W25" i="8"/>
  <c r="M24" i="8"/>
  <c r="M25" i="8"/>
  <c r="C24" i="8"/>
  <c r="C27" i="8" s="1"/>
  <c r="C6" i="8" s="1"/>
  <c r="C25" i="8"/>
  <c r="E24" i="8"/>
  <c r="E25" i="8"/>
  <c r="I9" i="6"/>
  <c r="I7" i="9"/>
  <c r="I13" i="9" s="1"/>
  <c r="T25" i="8"/>
  <c r="T24" i="8"/>
  <c r="Y25" i="8"/>
  <c r="Y24" i="8"/>
  <c r="V9" i="6"/>
  <c r="V7" i="9"/>
  <c r="V13" i="9" s="1"/>
  <c r="AA9" i="6"/>
  <c r="AA7" i="9"/>
  <c r="AA13" i="9" s="1"/>
  <c r="P9" i="6"/>
  <c r="P7" i="9"/>
  <c r="P13" i="9" s="1"/>
  <c r="N9" i="6"/>
  <c r="N7" i="9"/>
  <c r="N13" i="9" s="1"/>
  <c r="F24" i="8"/>
  <c r="F25" i="8"/>
  <c r="D9" i="6"/>
  <c r="D7" i="9"/>
  <c r="D13" i="9" s="1"/>
  <c r="AD25" i="8"/>
  <c r="S9" i="6"/>
  <c r="S7" i="9"/>
  <c r="S13" i="9" s="1"/>
  <c r="W7" i="9"/>
  <c r="W13" i="9" s="1"/>
  <c r="W9" i="6"/>
  <c r="U24" i="8"/>
  <c r="U25" i="8"/>
  <c r="Z7" i="9"/>
  <c r="Z13" i="9" s="1"/>
  <c r="Z9" i="6"/>
  <c r="V24" i="8"/>
  <c r="V25" i="8"/>
  <c r="Q7" i="9"/>
  <c r="Q13" i="9" s="1"/>
  <c r="Q9" i="6"/>
  <c r="I24" i="8"/>
  <c r="I25" i="8"/>
  <c r="I27" i="8" s="1"/>
  <c r="I6" i="8" s="1"/>
  <c r="AD9" i="6"/>
  <c r="AD7" i="9"/>
  <c r="AD13" i="9" s="1"/>
  <c r="L7" i="9"/>
  <c r="L13" i="9" s="1"/>
  <c r="AC9" i="6"/>
  <c r="AF7" i="9"/>
  <c r="AF13" i="9" s="1"/>
  <c r="AF9" i="6"/>
  <c r="J9" i="6"/>
  <c r="J7" i="9"/>
  <c r="J13" i="9" s="1"/>
  <c r="S25" i="8"/>
  <c r="S24" i="8"/>
  <c r="P25" i="8"/>
  <c r="P24" i="8"/>
  <c r="E9" i="6"/>
  <c r="E7" i="9"/>
  <c r="E13" i="9" s="1"/>
  <c r="Y7" i="9" l="1"/>
  <c r="Y13" i="9" s="1"/>
  <c r="Z25" i="8"/>
  <c r="Z27" i="8" s="1"/>
  <c r="Z6" i="8" s="1"/>
  <c r="U27" i="8"/>
  <c r="U6" i="8" s="1"/>
  <c r="G9" i="6"/>
  <c r="M27" i="8"/>
  <c r="M6" i="8" s="1"/>
  <c r="V27" i="8"/>
  <c r="V6" i="8" s="1"/>
  <c r="AB7" i="9"/>
  <c r="AB13" i="9" s="1"/>
  <c r="AF27" i="8"/>
  <c r="AF6" i="8" s="1"/>
  <c r="X25" i="8"/>
  <c r="X27" i="8" s="1"/>
  <c r="X6" i="8" s="1"/>
  <c r="R25" i="8"/>
  <c r="R27" i="8" s="1"/>
  <c r="R6" i="8" s="1"/>
  <c r="F27" i="8"/>
  <c r="F6" i="8" s="1"/>
  <c r="AD27" i="8"/>
  <c r="AD6" i="8" s="1"/>
  <c r="S27" i="8"/>
  <c r="S6" i="8" s="1"/>
  <c r="E27" i="8"/>
  <c r="E6" i="8" s="1"/>
  <c r="W27" i="8"/>
  <c r="W6" i="8" s="1"/>
  <c r="Y27" i="8"/>
  <c r="Y6" i="8" s="1"/>
  <c r="L27" i="8"/>
  <c r="L6" i="8" s="1"/>
  <c r="AB27" i="8"/>
  <c r="AB6" i="8" s="1"/>
  <c r="T27" i="8"/>
  <c r="T6" i="8" s="1"/>
  <c r="AA27" i="8"/>
  <c r="AA6" i="8" s="1"/>
  <c r="P27" i="8"/>
  <c r="P6" i="8" s="1"/>
  <c r="H27" i="8"/>
  <c r="H6" i="8" s="1"/>
  <c r="J27" i="8"/>
  <c r="J6" i="8" s="1"/>
  <c r="AE27" i="8"/>
  <c r="AE6" i="8" s="1"/>
  <c r="S6" i="4"/>
  <c r="S7" i="8"/>
  <c r="C23" i="9"/>
  <c r="C25" i="9"/>
  <c r="Y23" i="9"/>
  <c r="Y25" i="9" s="1"/>
  <c r="N23" i="9"/>
  <c r="N25" i="9" s="1"/>
  <c r="Y7" i="8"/>
  <c r="Y6" i="4"/>
  <c r="AC23" i="9"/>
  <c r="AC25" i="9"/>
  <c r="AD7" i="8"/>
  <c r="AD6" i="4"/>
  <c r="S23" i="9"/>
  <c r="S25" i="9" s="1"/>
  <c r="V23" i="9"/>
  <c r="V25" i="9"/>
  <c r="H6" i="4"/>
  <c r="H7" i="8"/>
  <c r="AE6" i="4"/>
  <c r="AE7" i="8"/>
  <c r="E6" i="4"/>
  <c r="E7" i="8"/>
  <c r="G23" i="9"/>
  <c r="G25" i="9"/>
  <c r="U6" i="4"/>
  <c r="U7" i="8"/>
  <c r="V7" i="8"/>
  <c r="V6" i="4"/>
  <c r="Z23" i="9"/>
  <c r="Z25" i="9" s="1"/>
  <c r="G7" i="8"/>
  <c r="G6" i="4"/>
  <c r="F7" i="8"/>
  <c r="F6" i="4"/>
  <c r="N6" i="4"/>
  <c r="N7" i="8"/>
  <c r="AE23" i="9"/>
  <c r="AE25" i="9" s="1"/>
  <c r="J23" i="9"/>
  <c r="J25" i="9" s="1"/>
  <c r="Q6" i="4"/>
  <c r="Q7" i="8"/>
  <c r="P23" i="9"/>
  <c r="P25" i="9" s="1"/>
  <c r="O7" i="8"/>
  <c r="O6" i="4"/>
  <c r="M7" i="8"/>
  <c r="M6" i="4"/>
  <c r="U23" i="9"/>
  <c r="U25" i="9" s="1"/>
  <c r="E23" i="9"/>
  <c r="E25" i="9" s="1"/>
  <c r="AB23" i="9"/>
  <c r="AB25" i="9" s="1"/>
  <c r="Q23" i="9"/>
  <c r="Q25" i="9"/>
  <c r="P7" i="8"/>
  <c r="P6" i="4"/>
  <c r="O23" i="9"/>
  <c r="O25" i="9"/>
  <c r="M23" i="9"/>
  <c r="M25" i="9" s="1"/>
  <c r="Z7" i="8"/>
  <c r="Z6" i="4"/>
  <c r="F23" i="9"/>
  <c r="F25" i="9" s="1"/>
  <c r="I7" i="8"/>
  <c r="I6" i="4"/>
  <c r="J6" i="4"/>
  <c r="J7" i="8"/>
  <c r="AF6" i="4"/>
  <c r="AF7" i="8"/>
  <c r="D6" i="4"/>
  <c r="D7" i="8"/>
  <c r="AA23" i="9"/>
  <c r="AA25" i="9"/>
  <c r="K23" i="9"/>
  <c r="K25" i="9" s="1"/>
  <c r="X6" i="4"/>
  <c r="X7" i="8"/>
  <c r="R23" i="9"/>
  <c r="R25" i="9"/>
  <c r="T6" i="4"/>
  <c r="T7" i="8"/>
  <c r="AC7" i="8"/>
  <c r="AC6" i="4"/>
  <c r="I23" i="9"/>
  <c r="I25" i="9" s="1"/>
  <c r="S10" i="6"/>
  <c r="T10" i="6"/>
  <c r="P10" i="6"/>
  <c r="AA10" i="6"/>
  <c r="W10" i="6"/>
  <c r="X10" i="6"/>
  <c r="J10" i="6"/>
  <c r="E10" i="6"/>
  <c r="Z10" i="6"/>
  <c r="AD10" i="6"/>
  <c r="H10" i="6"/>
  <c r="I10" i="6"/>
  <c r="U10" i="6"/>
  <c r="K10" i="6"/>
  <c r="C12" i="6"/>
  <c r="D10" i="6"/>
  <c r="AE10" i="6"/>
  <c r="C10" i="6"/>
  <c r="C7" i="8"/>
  <c r="V10" i="6"/>
  <c r="AC10" i="6"/>
  <c r="F10" i="6"/>
  <c r="N10" i="6"/>
  <c r="G10" i="6"/>
  <c r="C6" i="4"/>
  <c r="Y10" i="6"/>
  <c r="R10" i="6"/>
  <c r="L10" i="6"/>
  <c r="M10" i="6"/>
  <c r="O10" i="6"/>
  <c r="AF10" i="6"/>
  <c r="AB10" i="6"/>
  <c r="Q10" i="6"/>
  <c r="AB6" i="4"/>
  <c r="AB7" i="8"/>
  <c r="L23" i="9"/>
  <c r="L25" i="9" s="1"/>
  <c r="D23" i="9"/>
  <c r="D25" i="9" s="1"/>
  <c r="L7" i="8"/>
  <c r="L6" i="4"/>
  <c r="W6" i="4"/>
  <c r="W7" i="8"/>
  <c r="AF23" i="9"/>
  <c r="AF25" i="9" s="1"/>
  <c r="AD23" i="9"/>
  <c r="AD25" i="9" s="1"/>
  <c r="W23" i="9"/>
  <c r="W25" i="9" s="1"/>
  <c r="AA6" i="4"/>
  <c r="AA7" i="8"/>
  <c r="H23" i="9"/>
  <c r="H25" i="9"/>
  <c r="K7" i="8"/>
  <c r="K6" i="4"/>
  <c r="X23" i="9"/>
  <c r="X25" i="9" s="1"/>
  <c r="R7" i="8"/>
  <c r="R6" i="4"/>
  <c r="T23" i="9"/>
  <c r="T25" i="9" s="1"/>
  <c r="N10" i="4" l="1"/>
  <c r="N18" i="6"/>
  <c r="S18" i="6"/>
  <c r="S10" i="4"/>
  <c r="Z18" i="6"/>
  <c r="Z10" i="4"/>
  <c r="AB10" i="4"/>
  <c r="AB18" i="6"/>
  <c r="X18" i="6"/>
  <c r="X10" i="4"/>
  <c r="M18" i="6"/>
  <c r="M10" i="4"/>
  <c r="AD18" i="6"/>
  <c r="AD10" i="4"/>
  <c r="AE10" i="4"/>
  <c r="AE18" i="6"/>
  <c r="W18" i="6"/>
  <c r="W10" i="4"/>
  <c r="D18" i="6"/>
  <c r="D10" i="4"/>
  <c r="K18" i="6"/>
  <c r="K10" i="4"/>
  <c r="H18" i="6"/>
  <c r="H10" i="4"/>
  <c r="L18" i="6"/>
  <c r="L10" i="4"/>
  <c r="AA18" i="6"/>
  <c r="AA10" i="4"/>
  <c r="T10" i="4"/>
  <c r="T18" i="6"/>
  <c r="E18" i="6"/>
  <c r="E10" i="4"/>
  <c r="Y18" i="6"/>
  <c r="Y10" i="4"/>
  <c r="R18" i="6"/>
  <c r="R10" i="4"/>
  <c r="F10" i="4"/>
  <c r="F18" i="6"/>
  <c r="U18" i="6"/>
  <c r="U10" i="4"/>
  <c r="AC18" i="6"/>
  <c r="AC10" i="4"/>
  <c r="C10" i="4"/>
  <c r="C18" i="6"/>
  <c r="C19" i="6" s="1"/>
  <c r="C20" i="6" s="1"/>
  <c r="C23" i="6" s="1"/>
  <c r="AF10" i="4"/>
  <c r="AF18" i="6"/>
  <c r="O18" i="6"/>
  <c r="O10" i="4"/>
  <c r="I10" i="4"/>
  <c r="I18" i="6"/>
  <c r="Q18" i="6"/>
  <c r="Q10" i="4"/>
  <c r="J18" i="6"/>
  <c r="J10" i="4"/>
  <c r="G18" i="6"/>
  <c r="G10" i="4"/>
  <c r="V10" i="4"/>
  <c r="V18" i="6"/>
  <c r="P10" i="4"/>
  <c r="P18" i="6"/>
  <c r="B7" i="5"/>
  <c r="B8" i="5" s="1"/>
  <c r="D7" i="6"/>
  <c r="D12" i="6" s="1"/>
  <c r="B10" i="5" l="1"/>
  <c r="E8" i="7"/>
  <c r="C7" i="5"/>
  <c r="E7" i="6"/>
  <c r="E12" i="6" s="1"/>
  <c r="D19" i="6"/>
  <c r="D20" i="6" s="1"/>
  <c r="E19" i="6" s="1"/>
  <c r="E20" i="6" s="1"/>
  <c r="F19" i="6" s="1"/>
  <c r="F20" i="6" s="1"/>
  <c r="G19" i="6" s="1"/>
  <c r="G20" i="6" s="1"/>
  <c r="H19" i="6" s="1"/>
  <c r="H20" i="6" s="1"/>
  <c r="I19" i="6" s="1"/>
  <c r="I20" i="6" s="1"/>
  <c r="J19" i="6" s="1"/>
  <c r="J20" i="6" s="1"/>
  <c r="K19" i="6" s="1"/>
  <c r="K20" i="6" s="1"/>
  <c r="L19" i="6" s="1"/>
  <c r="L20" i="6" s="1"/>
  <c r="M19" i="6" s="1"/>
  <c r="M20" i="6" s="1"/>
  <c r="N19" i="6" s="1"/>
  <c r="N20" i="6" s="1"/>
  <c r="O19" i="6" s="1"/>
  <c r="O20" i="6" s="1"/>
  <c r="P19" i="6" s="1"/>
  <c r="P20" i="6" s="1"/>
  <c r="Q19" i="6" s="1"/>
  <c r="Q20" i="6" s="1"/>
  <c r="R19" i="6" s="1"/>
  <c r="R20" i="6" s="1"/>
  <c r="S19" i="6" s="1"/>
  <c r="S20" i="6" s="1"/>
  <c r="T19" i="6" s="1"/>
  <c r="T20" i="6" s="1"/>
  <c r="U19" i="6" s="1"/>
  <c r="U20" i="6" s="1"/>
  <c r="V19" i="6" s="1"/>
  <c r="V20" i="6" s="1"/>
  <c r="W19" i="6" s="1"/>
  <c r="W20" i="6" s="1"/>
  <c r="X19" i="6" s="1"/>
  <c r="X20" i="6" s="1"/>
  <c r="Y19" i="6" s="1"/>
  <c r="Y20" i="6" s="1"/>
  <c r="Z19" i="6" s="1"/>
  <c r="Z20" i="6" s="1"/>
  <c r="AA19" i="6" s="1"/>
  <c r="AA20" i="6" s="1"/>
  <c r="AB19" i="6" s="1"/>
  <c r="AB20" i="6" s="1"/>
  <c r="AC19" i="6" s="1"/>
  <c r="AC20" i="6" s="1"/>
  <c r="AD19" i="6" s="1"/>
  <c r="AD20" i="6" s="1"/>
  <c r="AE19" i="6" s="1"/>
  <c r="AE20" i="6" s="1"/>
  <c r="AF19" i="6" s="1"/>
  <c r="AF20" i="6" s="1"/>
  <c r="D7" i="5" l="1"/>
  <c r="F7" i="6"/>
  <c r="F12" i="6" s="1"/>
  <c r="E7" i="5" l="1"/>
  <c r="G7" i="6"/>
  <c r="G12" i="6" s="1"/>
  <c r="H7" i="6" l="1"/>
  <c r="H12" i="6" s="1"/>
  <c r="F7" i="5"/>
  <c r="G7" i="5" l="1"/>
  <c r="I7" i="6"/>
  <c r="I12" i="6" s="1"/>
  <c r="J7" i="6" l="1"/>
  <c r="J12" i="6" s="1"/>
  <c r="H7" i="5"/>
  <c r="I7" i="5" l="1"/>
  <c r="K7" i="6"/>
  <c r="K12" i="6" s="1"/>
  <c r="J7" i="5" l="1"/>
  <c r="L7" i="6"/>
  <c r="L12" i="6" s="1"/>
  <c r="K7" i="5" l="1"/>
  <c r="M7" i="6"/>
  <c r="M12" i="6" s="1"/>
  <c r="N7" i="6" l="1"/>
  <c r="N12" i="6" s="1"/>
  <c r="L7" i="5"/>
  <c r="M7" i="5" l="1"/>
  <c r="O7" i="6"/>
  <c r="O12" i="6" s="1"/>
  <c r="P7" i="6" l="1"/>
  <c r="P12" i="6" s="1"/>
  <c r="N7" i="5"/>
  <c r="O7" i="5" l="1"/>
  <c r="Q7" i="6"/>
  <c r="Q12" i="6" s="1"/>
  <c r="P7" i="5" l="1"/>
  <c r="R7" i="6"/>
  <c r="R12" i="6" s="1"/>
  <c r="Q7" i="5" l="1"/>
  <c r="S7" i="6"/>
  <c r="S12" i="6" s="1"/>
  <c r="T7" i="6" l="1"/>
  <c r="T12" i="6" s="1"/>
  <c r="R7" i="5"/>
  <c r="U7" i="6" l="1"/>
  <c r="U12" i="6" s="1"/>
  <c r="S7" i="5"/>
  <c r="T7" i="5" l="1"/>
  <c r="V7" i="6"/>
  <c r="V12" i="6" s="1"/>
  <c r="U7" i="5" l="1"/>
  <c r="W7" i="6"/>
  <c r="W12" i="6" s="1"/>
  <c r="X7" i="6" l="1"/>
  <c r="X12" i="6" s="1"/>
  <c r="V7" i="5"/>
  <c r="W7" i="5" l="1"/>
  <c r="Y7" i="6"/>
  <c r="Y12" i="6" s="1"/>
  <c r="X7" i="5" l="1"/>
  <c r="Z7" i="6"/>
  <c r="Z12" i="6" s="1"/>
  <c r="AA7" i="6" l="1"/>
  <c r="AA12" i="6" s="1"/>
  <c r="Y7" i="5"/>
  <c r="AB7" i="6" l="1"/>
  <c r="AB12" i="6" s="1"/>
  <c r="Z7" i="5"/>
  <c r="AA7" i="5" l="1"/>
  <c r="AC7" i="6"/>
  <c r="AC12" i="6" s="1"/>
  <c r="AD7" i="6" l="1"/>
  <c r="AD12" i="6" s="1"/>
  <c r="AB7" i="5"/>
  <c r="AC7" i="5" l="1"/>
  <c r="AE7" i="6"/>
  <c r="AE12" i="6" s="1"/>
  <c r="AD7" i="5" l="1"/>
  <c r="AF7" i="6"/>
  <c r="AF12" i="6" s="1"/>
  <c r="AE7" i="5" s="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<sst xmlns="http://schemas.openxmlformats.org/spreadsheetml/2006/main" count="276" uniqueCount="204">
  <si>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</si>
  <si>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</si>
  <si>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</si>
  <si>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</si>
  <si>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</si>
  <si>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</si>
  <si>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</si>
  <si>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</si>
  <si>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</si>
  <si>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</si>
  <si>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</si>
  <si>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</si>
  <si>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</si>
  <si>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</si>
  <si>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</si>
  <si>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</si>
  <si>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</si>
  <si>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</si>
  <si>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</si>
  <si>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</si>
  <si>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</si>
  <si>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</si>
  <si>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</si>
  <si>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</si>
  <si>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</si>
  <si>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</si>
  <si>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</si>
  <si>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</si>
  <si>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</si>
  <si>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</si>
  <si>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</si>
  <si>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</si>
  <si>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</si>
  <si>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</si>
  <si>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</si>
  <si>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</si>
  <si>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</si>
  <si>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</si>
  <si>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</si>
  <si>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</si>
  <si>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</si>
  <si>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</si>
  <si>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</si>
  <si>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</si>
  <si>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</si>
  <si>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</si>
  <si>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</si>
  <si>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</si>
  <si>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</si>
  <si>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</si>
  <si>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</si>
  <si>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</si>
  <si>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</si>
  <si>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</si>
  <si>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</si>
  <si>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</si>
  <si>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</si>
  <si>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</si>
  <si>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</si>
  <si>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</si>
  <si>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</si>
  <si>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</si>
  <si>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</si>
  <si>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</si>
  <si>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</si>
  <si>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</si>
  <si>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</si>
  <si>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</si>
  <si>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</si>
  <si>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</si>
  <si>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</si>
  <si>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</si>
  <si>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</si>
  <si>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</si>
  <si>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</si>
  <si>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</si>
  <si>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</si>
  <si>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</si>
  <si>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</si>
  <si>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</si>
  <si>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</si>
  <si>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</si>
  <si>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</si>
  <si>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</si>
  <si>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</si>
  <si>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</si>
  <si>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</si>
  <si>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</si>
  <si>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</si>
  <si>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</si>
  <si>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</si>
  <si>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</si>
  <si>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</si>
  <si>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</si>
  <si>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</si>
  <si>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</si>
  <si>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</si>
  <si>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</si>
  <si>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</si>
  <si>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</si>
  <si>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</si>
  <si>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</si>
  <si>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</si>
  <si>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</si>
  <si>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</si>
  <si>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</si>
  <si>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</si>
  <si>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</si>
  <si>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</si>
  <si>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</si>
  <si>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</si>
  <si>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</si>
  <si>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</si>
  <si>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</si>
  <si>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</si>
  <si>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</si>
  <si>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</si>
  <si>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</si>
  <si>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</si>
  <si>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</si>
  <si>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</si>
  <si>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</si>
  <si>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</si>
  <si>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</si>
  <si>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</si>
  <si>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</si>
  <si>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</si>
  <si>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</si>
  <si>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</si>
  <si>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</si>
  <si>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</si>
  <si>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</si>
  <si>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</si>
  <si>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</si>
  <si>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</si>
  <si>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</si>
  <si>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</si>
  <si>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</si>
  <si>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</si>
  <si>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</si>
  <si>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</si>
  <si>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</si>
  <si>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</si>
  <si>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</si>
  <si>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</si>
  <si>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</si>
  <si>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</si>
  <si>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</si>
  <si>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</si>
  <si>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</si>
  <si>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</si>
  <si>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</si>
  <si>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</si>
  <si>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</si>
  <si>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</si>
  <si>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</si>
  <si>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</si>
  <si>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</si>
  <si>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</si>
  <si>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</si>
  <si>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</si>
  <si>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</si>
  <si>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</si>
  <si>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</si>
  <si>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</si>
  <si>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</si>
  <si>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</si>
  <si>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</si>
  <si>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</si>
  <si>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</si>
  <si>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</si>
  <si>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</si>
  <si>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</si>
  <si>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</si>
  <si>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</si>
  <si>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</si>
  <si>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</si>
  <si>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</si>
  <si>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</si>
  <si>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</si>
  <si>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</si>
  <si>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</si>
  <si>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</si>
  <si>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</si>
  <si>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</si>
  <si>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</si>
  <si>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</si>
  <si>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</si>
  <si>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</si>
  <si>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</si>
  <si>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</si>
  <si>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Hutt City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</si>
  <si>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</si>
  <si>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</si>
  <si>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</si>
  <si>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</si>
  <si>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</si>
  <si>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 xml:space="preserve">Council reported growth investment expenditure, but did not provide new properties connected. In this case, the average growth rate across the councils in New Zealand was used. </t>
  </si>
  <si>
    <t>Hutt City: RFI Table F3; Line F3.20
Greater Wellington allocation: RFI Table F3; Line F3.20 x 25%</t>
  </si>
  <si>
    <t>RFI Table F10; Lines F10.13 +F10.33 + F10.57 + F10.70</t>
  </si>
  <si>
    <t>RFI Table E1, E2 and E2b; Lines E1.12 (Water distribution) + E1.16 + E1.17 + Allocation of Greater Wellington E1.22 (Water Resources and Treatment) + E2.21 - E2.18 + E2b.21
Greater Wellington operating expenditure is allocated based on the each council's share of fees to Greater Wellington</t>
  </si>
  <si>
    <t xml:space="preserve">Hutt City: RFI Table J1; Sum of lines J1.1 to J1.30 (Column J)
Greater Wellington allocation: RFI Table J1; Sum of lines J1.1 to J1.30 (Column J) x 25%
</t>
  </si>
  <si>
    <t>Hutt City: RFI Table J1; Sum of lines J1.1 to J1.30 (Column I)
Greater Wellington allocation: RFI Table J1; Sum of lines J1.1 to J1.30 (Column I) x 25%</t>
  </si>
  <si>
    <t>RFI Tables G2, G3, G4 
As forecasts were not provided for 2032-51, the average annual growth investment over 2022-31 is assumed to continue over 2032-51.
Greater Wellington allocation: RFI Table G1; Line G1.3 adjusted for inflation reported in RFI Table G5 x 25%. As forecasts were not provided for 2032-51, the average annual growth investment over 2022-31 is assumed to continue over 2032-51.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</si>
</sst>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5">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0" fontId="0" fillId="0" borderId="11" xfId="0" applyBorder="1" applyAlignment="1">
      <alignment vertical="top" wrapText="1"/>
    </xf>
    <xf numFmtId="0" fontId="0" fillId="0" borderId="9" xfId="0" applyBorder="1" applyAlignment="1">
      <alignment vertical="top" wrapText="1"/>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191</v>
      </c>
      <c r="C2" s="171"/>
      <c r="D2" s="60"/>
      <c r="E2" s="14"/>
      <c r="F2" s="60"/>
    </row>
    <row r="3" spans="1:6" x14ac:dyDescent="0.35">
      <c r="C3" s="14"/>
      <c r="D3" s="14"/>
    </row>
    <row r="4" spans="1:6" x14ac:dyDescent="0.35">
      <c r="A4" s="14" t="s">
        <v>154</v>
      </c>
      <c r="B4" s="14"/>
      <c r="D4" s="14"/>
    </row>
    <row r="6" spans="1:6" ht="21" x14ac:dyDescent="0.5">
      <c r="A6" s="15" t="s">
        <v>163</v>
      </c>
    </row>
    <row r="7" spans="1:6" ht="241" customHeight="1" x14ac:dyDescent="0.35">
      <c r="A7" s="107">
        <v>1</v>
      </c>
      <c r="B7" s="104" t="s">
        <v>164</v>
      </c>
    </row>
    <row r="8" spans="1:6" ht="408" customHeight="1" x14ac:dyDescent="0.35">
      <c r="A8" s="107">
        <v>2</v>
      </c>
      <c r="B8" s="104" t="s">
        <v>184</v>
      </c>
    </row>
    <row r="9" spans="1:6" ht="195.5" customHeight="1" x14ac:dyDescent="0.35">
      <c r="A9" s="107">
        <f>A8+1</f>
        <v>3</v>
      </c>
      <c r="B9" s="105" t="s">
        <v>168</v>
      </c>
    </row>
    <row r="10" spans="1:6" ht="236" customHeight="1" x14ac:dyDescent="0.35">
      <c r="A10" s="107">
        <v>4</v>
      </c>
      <c r="B10" s="105" t="s">
        <v>169</v>
      </c>
    </row>
    <row r="11" spans="1:6" ht="21" x14ac:dyDescent="0.35">
      <c r="A11" s="107">
        <f>A10+1</f>
        <v>5</v>
      </c>
      <c r="B11" s="63" t="s">
        <v>182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160</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185</v>
      </c>
      <c r="B6" s="1">
        <f>Assumptions!C17</f>
        <v>3429219207.7967887</v>
      </c>
      <c r="C6" s="12">
        <f ca="1">B6+Depreciation!C18+'Cash Flow'!C13</f>
        <v>3456514358.5357037</v>
      </c>
      <c r="D6" s="1">
        <f ca="1">C6+Depreciation!D18</f>
        <v>3552986520.4109187</v>
      </c>
      <c r="E6" s="1">
        <f ca="1">D6+Depreciation!E18</f>
        <v>3653375700.3825488</v>
      </c>
      <c r="F6" s="1">
        <f ca="1">E6+Depreciation!F18</f>
        <v>3757833800.1150041</v>
      </c>
      <c r="G6" s="1">
        <f ca="1">F6+Depreciation!G18</f>
        <v>3866518431.9526868</v>
      </c>
      <c r="H6" s="1">
        <f ca="1">G6+Depreciation!H18</f>
        <v>3979593128.8562055</v>
      </c>
      <c r="I6" s="1">
        <f ca="1">H6+Depreciation!I18</f>
        <v>4097227561.9267716</v>
      </c>
      <c r="J6" s="1">
        <f ca="1">I6+Depreciation!J18</f>
        <v>4219597765.7894473</v>
      </c>
      <c r="K6" s="1">
        <f ca="1">J6+Depreciation!K18</f>
        <v>4346886372.1154633</v>
      </c>
      <c r="L6" s="1">
        <f ca="1">K6+Depreciation!L18</f>
        <v>4479282851.5737181</v>
      </c>
      <c r="M6" s="1">
        <f ca="1">L6+Depreciation!M18</f>
        <v>4616983764.511797</v>
      </c>
      <c r="N6" s="1">
        <f ca="1">M6+Depreciation!N18</f>
        <v>4760193020.6774426</v>
      </c>
      <c r="O6" s="1">
        <f ca="1">N6+Depreciation!O18</f>
        <v>4909122148.302372</v>
      </c>
      <c r="P6" s="1">
        <f ca="1">O6+Depreciation!P18</f>
        <v>5063990572.8816652</v>
      </c>
      <c r="Q6" s="1">
        <f ca="1">P6+Depreciation!Q18</f>
        <v>5225025905.9937134</v>
      </c>
      <c r="R6" s="1">
        <f ca="1">Q6+Depreciation!R18</f>
        <v>5392464244.5178432</v>
      </c>
      <c r="S6" s="1">
        <f ca="1">R6+Depreciation!S18</f>
        <v>5566550480.6193218</v>
      </c>
      <c r="T6" s="1">
        <f ca="1">S6+Depreciation!T18</f>
        <v>5747538622.8844509</v>
      </c>
      <c r="U6" s="1">
        <f ca="1">T6+Depreciation!U18</f>
        <v>5935692129.001936</v>
      </c>
      <c r="V6" s="1">
        <f ca="1">U6+Depreciation!V18</f>
        <v>6131284250.4006491</v>
      </c>
      <c r="W6" s="1">
        <f ca="1">V6+Depreciation!W18</f>
        <v>6334598389.2683239</v>
      </c>
      <c r="X6" s="1">
        <f ca="1">W6+Depreciation!X18</f>
        <v>6545928468.3906612</v>
      </c>
      <c r="Y6" s="1">
        <f ca="1">X6+Depreciation!Y18</f>
        <v>6765579314.2657595</v>
      </c>
      <c r="Z6" s="1">
        <f ca="1">Y6+Depreciation!Z18</f>
        <v>6993867053.9647732</v>
      </c>
      <c r="AA6" s="1">
        <f ca="1">Z6+Depreciation!AA18</f>
        <v>7231119526.2262583</v>
      </c>
      <c r="AB6" s="1">
        <f ca="1">AA6+Depreciation!AB18</f>
        <v>7477676707.2887602</v>
      </c>
      <c r="AC6" s="1">
        <f ca="1">AB6+Depreciation!AC18</f>
        <v>7733891151.9839487</v>
      </c>
      <c r="AD6" s="1">
        <f ca="1">AC6+Depreciation!AD18</f>
        <v>8000128450.6309071</v>
      </c>
      <c r="AE6" s="1">
        <f ca="1">AD6+Depreciation!AE18</f>
        <v>8276767702.2911816</v>
      </c>
      <c r="AF6" s="1"/>
      <c r="AG6" s="1"/>
      <c r="AH6" s="1"/>
      <c r="AI6" s="1"/>
      <c r="AJ6" s="1"/>
      <c r="AK6" s="1"/>
      <c r="AL6" s="1"/>
      <c r="AM6" s="1"/>
      <c r="AN6" s="1"/>
      <c r="AO6" s="1"/>
      <c r="AP6" s="1"/>
    </row>
    <row r="7" spans="1:42" x14ac:dyDescent="0.35">
      <c r="A7" t="s">
        <v>12</v>
      </c>
      <c r="B7" s="1">
        <f>Depreciation!C12</f>
        <v>1774842823.0137715</v>
      </c>
      <c r="C7" s="1">
        <f>Depreciation!D12</f>
        <v>1837807680.447438</v>
      </c>
      <c r="D7" s="1">
        <f>Depreciation!E12</f>
        <v>1903617322.2353902</v>
      </c>
      <c r="E7" s="1">
        <f>Depreciation!F12</f>
        <v>1972389338.5622902</v>
      </c>
      <c r="F7" s="1">
        <f>Depreciation!G12</f>
        <v>2044245932.3254397</v>
      </c>
      <c r="G7" s="1">
        <f>Depreciation!H12</f>
        <v>2119314093.9360402</v>
      </c>
      <c r="H7" s="1">
        <f>Depreciation!I12</f>
        <v>2197725782.5843143</v>
      </c>
      <c r="I7" s="1">
        <f>Depreciation!J12</f>
        <v>2279618114.2031846</v>
      </c>
      <c r="J7" s="1">
        <f>Depreciation!K12</f>
        <v>2365133556.3735938</v>
      </c>
      <c r="K7" s="1">
        <f>Depreciation!L12</f>
        <v>2454420130.4232621</v>
      </c>
      <c r="L7" s="1">
        <f>Depreciation!M12</f>
        <v>2547631620.9796796</v>
      </c>
      <c r="M7" s="1">
        <f>Depreciation!N12</f>
        <v>2644927793.2474513</v>
      </c>
      <c r="N7" s="1">
        <f>Depreciation!O12</f>
        <v>2746474618.2897744</v>
      </c>
      <c r="O7" s="1">
        <f>Depreciation!P12</f>
        <v>2852444506.6038179</v>
      </c>
      <c r="P7" s="1">
        <f>Depreciation!Q12</f>
        <v>2963016550.2901282</v>
      </c>
      <c r="Q7" s="1">
        <f>Depreciation!R12</f>
        <v>3078376774.1268973</v>
      </c>
      <c r="R7" s="1">
        <f>Depreciation!S12</f>
        <v>3198718395.8710198</v>
      </c>
      <c r="S7" s="1">
        <f>Depreciation!T12</f>
        <v>3324242096.1193571</v>
      </c>
      <c r="T7" s="1">
        <f>Depreciation!U12</f>
        <v>3455156298.0755129</v>
      </c>
      <c r="U7" s="1">
        <f>Depreciation!V12</f>
        <v>3591677457.5797338</v>
      </c>
      <c r="V7" s="1">
        <f>Depreciation!W12</f>
        <v>3734030363.7722926</v>
      </c>
      <c r="W7" s="1">
        <f>Depreciation!X12</f>
        <v>3882448450.77391</v>
      </c>
      <c r="X7" s="1">
        <f>Depreciation!Y12</f>
        <v>4037174120.7804255</v>
      </c>
      <c r="Y7" s="1">
        <f>Depreciation!Z12</f>
        <v>4198459078.9830627</v>
      </c>
      <c r="Z7" s="1">
        <f>Depreciation!AA12</f>
        <v>4366564680.7402868</v>
      </c>
      <c r="AA7" s="1">
        <f>Depreciation!AB12</f>
        <v>4541762291.4423914</v>
      </c>
      <c r="AB7" s="1">
        <f>Depreciation!AC12</f>
        <v>4724333659.52565</v>
      </c>
      <c r="AC7" s="1">
        <f>Depreciation!AD12</f>
        <v>4914571303.1090965</v>
      </c>
      <c r="AD7" s="1">
        <f>Depreciation!AE12</f>
        <v>5112778910.7438269</v>
      </c>
      <c r="AE7" s="1">
        <f>Depreciation!AF12</f>
        <v>5319271756.7820921</v>
      </c>
      <c r="AF7" s="1"/>
      <c r="AG7" s="1"/>
      <c r="AH7" s="1"/>
      <c r="AI7" s="1"/>
      <c r="AJ7" s="1"/>
      <c r="AK7" s="1"/>
      <c r="AL7" s="1"/>
      <c r="AM7" s="1"/>
      <c r="AN7" s="1"/>
      <c r="AO7" s="1"/>
      <c r="AP7" s="1"/>
    </row>
    <row r="8" spans="1:42" x14ac:dyDescent="0.35">
      <c r="A8" t="s">
        <v>186</v>
      </c>
      <c r="B8" s="1">
        <f t="shared" ref="B8:AE8" si="1">B6-B7</f>
        <v>1654376384.7830172</v>
      </c>
      <c r="C8" s="1">
        <f t="shared" ca="1" si="1"/>
        <v>1618706678.0882657</v>
      </c>
      <c r="D8" s="1">
        <f ca="1">D6-D7</f>
        <v>1649369198.1755285</v>
      </c>
      <c r="E8" s="1">
        <f t="shared" ca="1" si="1"/>
        <v>1680986361.8202586</v>
      </c>
      <c r="F8" s="1">
        <f t="shared" ca="1" si="1"/>
        <v>1713587867.7895644</v>
      </c>
      <c r="G8" s="1">
        <f t="shared" ca="1" si="1"/>
        <v>1747204338.0166466</v>
      </c>
      <c r="H8" s="1">
        <f t="shared" ca="1" si="1"/>
        <v>1781867346.2718911</v>
      </c>
      <c r="I8" s="1">
        <f t="shared" ca="1" si="1"/>
        <v>1817609447.723587</v>
      </c>
      <c r="J8" s="1">
        <f t="shared" ca="1" si="1"/>
        <v>1854464209.4158535</v>
      </c>
      <c r="K8" s="1">
        <f t="shared" ca="1" si="1"/>
        <v>1892466241.6922011</v>
      </c>
      <c r="L8" s="1">
        <f t="shared" ca="1" si="1"/>
        <v>1931651230.5940385</v>
      </c>
      <c r="M8" s="1">
        <f t="shared" ca="1" si="1"/>
        <v>1972055971.2643456</v>
      </c>
      <c r="N8" s="1">
        <f t="shared" ca="1" si="1"/>
        <v>2013718402.3876681</v>
      </c>
      <c r="O8" s="1">
        <f t="shared" ca="1" si="1"/>
        <v>2056677641.698554</v>
      </c>
      <c r="P8" s="1">
        <f t="shared" ca="1" si="1"/>
        <v>2100974022.591537</v>
      </c>
      <c r="Q8" s="1">
        <f t="shared" ca="1" si="1"/>
        <v>2146649131.866816</v>
      </c>
      <c r="R8" s="1">
        <f t="shared" ca="1" si="1"/>
        <v>2193745848.6468234</v>
      </c>
      <c r="S8" s="1">
        <f t="shared" ca="1" si="1"/>
        <v>2242308384.4999647</v>
      </c>
      <c r="T8" s="1">
        <f t="shared" ca="1" si="1"/>
        <v>2292382324.808938</v>
      </c>
      <c r="U8" s="1">
        <f t="shared" ca="1" si="1"/>
        <v>2344014671.4222021</v>
      </c>
      <c r="V8" s="1">
        <f t="shared" ca="1" si="1"/>
        <v>2397253886.6283565</v>
      </c>
      <c r="W8" s="1">
        <f t="shared" ca="1" si="1"/>
        <v>2452149938.4944139</v>
      </c>
      <c r="X8" s="1">
        <f t="shared" ca="1" si="1"/>
        <v>2508754347.6102357</v>
      </c>
      <c r="Y8" s="1">
        <f t="shared" ca="1" si="1"/>
        <v>2567120235.2826967</v>
      </c>
      <c r="Z8" s="1">
        <f t="shared" ca="1" si="1"/>
        <v>2627302373.2244864</v>
      </c>
      <c r="AA8" s="1">
        <f t="shared" ca="1" si="1"/>
        <v>2689357234.7838669</v>
      </c>
      <c r="AB8" s="1">
        <f t="shared" ca="1" si="1"/>
        <v>2753343047.7631102</v>
      </c>
      <c r="AC8" s="1">
        <f t="shared" ca="1" si="1"/>
        <v>2819319848.8748522</v>
      </c>
      <c r="AD8" s="1">
        <f t="shared" ca="1" si="1"/>
        <v>2887349539.8870802</v>
      </c>
      <c r="AE8" s="1">
        <f t="shared" ca="1" si="1"/>
        <v>2957495945.5090895</v>
      </c>
      <c r="AF8" s="1"/>
      <c r="AG8" s="1"/>
      <c r="AH8" s="1"/>
      <c r="AI8" s="1"/>
      <c r="AJ8" s="1"/>
      <c r="AK8" s="1"/>
      <c r="AL8" s="1"/>
      <c r="AM8" s="1"/>
      <c r="AN8" s="1"/>
      <c r="AO8" s="1"/>
      <c r="AP8" s="1"/>
    </row>
    <row r="10" spans="1:42" x14ac:dyDescent="0.35">
      <c r="A10" t="s">
        <v>17</v>
      </c>
      <c r="B10" s="1">
        <f>B8-B11</f>
        <v>1579305525.5630171</v>
      </c>
      <c r="C10" s="1">
        <f ca="1">C8-C11</f>
        <v>1478229432.2344892</v>
      </c>
      <c r="D10" s="1">
        <f ca="1">D8-D11</f>
        <v>1449398410.2714841</v>
      </c>
      <c r="E10" s="1">
        <f t="shared" ref="E10:AE10" ca="1" si="2">E8-E11</f>
        <v>1426469491.7305193</v>
      </c>
      <c r="F10" s="1">
        <f t="shared" ca="1" si="2"/>
        <v>1411661021.9488311</v>
      </c>
      <c r="G10" s="1">
        <f ca="1">G8-G11</f>
        <v>1404298028.3247728</v>
      </c>
      <c r="H10" s="1">
        <f t="shared" ca="1" si="2"/>
        <v>1406438155.3161149</v>
      </c>
      <c r="I10" s="1">
        <f t="shared" ca="1" si="2"/>
        <v>1417604770.9904022</v>
      </c>
      <c r="J10" s="1">
        <f t="shared" ca="1" si="2"/>
        <v>1431719972.8905885</v>
      </c>
      <c r="K10" s="1">
        <f t="shared" ca="1" si="2"/>
        <v>1447560039.4091334</v>
      </c>
      <c r="L10" s="1">
        <f t="shared" ca="1" si="2"/>
        <v>1465397516.815707</v>
      </c>
      <c r="M10" s="1">
        <f t="shared" ca="1" si="2"/>
        <v>1483620538.1318278</v>
      </c>
      <c r="N10" s="1">
        <f t="shared" ca="1" si="2"/>
        <v>1502295913.2680058</v>
      </c>
      <c r="O10" s="1">
        <f t="shared" ca="1" si="2"/>
        <v>1521498484.3245587</v>
      </c>
      <c r="P10" s="1">
        <f t="shared" ca="1" si="2"/>
        <v>1541311799.7040026</v>
      </c>
      <c r="Q10" s="1">
        <f t="shared" ca="1" si="2"/>
        <v>1561828834.8026354</v>
      </c>
      <c r="R10" s="1">
        <f t="shared" ca="1" si="2"/>
        <v>1583152762.1468341</v>
      </c>
      <c r="S10" s="1">
        <f t="shared" ca="1" si="2"/>
        <v>1605397774.0030589</v>
      </c>
      <c r="T10" s="1">
        <f t="shared" ca="1" si="2"/>
        <v>1628689960.6628802</v>
      </c>
      <c r="U10" s="1">
        <f t="shared" ca="1" si="2"/>
        <v>1653168247.7859802</v>
      </c>
      <c r="V10" s="1">
        <f t="shared" ca="1" si="2"/>
        <v>1678985396.3755198</v>
      </c>
      <c r="W10" s="1">
        <f t="shared" ca="1" si="2"/>
        <v>1706309069.1619809</v>
      </c>
      <c r="X10" s="1">
        <f t="shared" ca="1" si="2"/>
        <v>1735322967.3842139</v>
      </c>
      <c r="Y10" s="1">
        <f t="shared" ca="1" si="2"/>
        <v>1763612715.7344086</v>
      </c>
      <c r="Z10" s="1">
        <f t="shared" ca="1" si="2"/>
        <v>1791085132.3358924</v>
      </c>
      <c r="AA10" s="1">
        <f t="shared" ca="1" si="2"/>
        <v>1817641960.6175342</v>
      </c>
      <c r="AB10" s="1">
        <f t="shared" ca="1" si="2"/>
        <v>1843179663.2758393</v>
      </c>
      <c r="AC10" s="1">
        <f t="shared" ca="1" si="2"/>
        <v>1867589209.5840678</v>
      </c>
      <c r="AD10" s="1">
        <f t="shared" ca="1" si="2"/>
        <v>1890755855.8976417</v>
      </c>
      <c r="AE10" s="1">
        <f t="shared" ca="1" si="2"/>
        <v>1912558919.2052004</v>
      </c>
      <c r="AF10" s="1"/>
      <c r="AG10" s="1"/>
      <c r="AH10" s="1"/>
      <c r="AI10" s="1"/>
      <c r="AJ10" s="1"/>
      <c r="AK10" s="1"/>
      <c r="AL10" s="1"/>
      <c r="AM10" s="1"/>
      <c r="AN10" s="1"/>
      <c r="AO10" s="1"/>
    </row>
    <row r="11" spans="1:42" x14ac:dyDescent="0.35">
      <c r="A11" t="s">
        <v>9</v>
      </c>
      <c r="B11" s="1">
        <f>Assumptions!$C$20</f>
        <v>75070859.219999999</v>
      </c>
      <c r="C11" s="1">
        <f ca="1">'Debt worksheet'!D5</f>
        <v>140477245.85377654</v>
      </c>
      <c r="D11" s="1">
        <f ca="1">'Debt worksheet'!E5</f>
        <v>199970787.90404439</v>
      </c>
      <c r="E11" s="1">
        <f ca="1">'Debt worksheet'!F5</f>
        <v>254516870.08973938</v>
      </c>
      <c r="F11" s="1">
        <f ca="1">'Debt worksheet'!G5</f>
        <v>301926845.84073341</v>
      </c>
      <c r="G11" s="1">
        <f ca="1">'Debt worksheet'!H5</f>
        <v>342906309.69187367</v>
      </c>
      <c r="H11" s="1">
        <f ca="1">'Debt worksheet'!I5</f>
        <v>375429190.95577627</v>
      </c>
      <c r="I11" s="1">
        <f ca="1">'Debt worksheet'!J5</f>
        <v>400004676.73318487</v>
      </c>
      <c r="J11" s="1">
        <f ca="1">'Debt worksheet'!K5</f>
        <v>422744236.52526492</v>
      </c>
      <c r="K11" s="1">
        <f ca="1">'Debt worksheet'!L5</f>
        <v>444906202.28306782</v>
      </c>
      <c r="L11" s="1">
        <f ca="1">'Debt worksheet'!M5</f>
        <v>466253713.77833152</v>
      </c>
      <c r="M11" s="1">
        <f ca="1">'Debt worksheet'!N5</f>
        <v>488435433.13251793</v>
      </c>
      <c r="N11" s="1">
        <f ca="1">'Debt worksheet'!O5</f>
        <v>511422489.11966217</v>
      </c>
      <c r="O11" s="1">
        <f ca="1">'Debt worksheet'!P5</f>
        <v>535179157.37399518</v>
      </c>
      <c r="P11" s="1">
        <f ca="1">'Debt worksheet'!Q5</f>
        <v>559662222.88753438</v>
      </c>
      <c r="Q11" s="1">
        <f ca="1">'Debt worksheet'!R5</f>
        <v>584820297.06418061</v>
      </c>
      <c r="R11" s="1">
        <f ca="1">'Debt worksheet'!S5</f>
        <v>610593086.49998927</v>
      </c>
      <c r="S11" s="1">
        <f ca="1">'Debt worksheet'!T5</f>
        <v>636910610.49690568</v>
      </c>
      <c r="T11" s="1">
        <f ca="1">'Debt worksheet'!U5</f>
        <v>663692364.14605784</v>
      </c>
      <c r="U11" s="1">
        <f ca="1">'Debt worksheet'!V5</f>
        <v>690846423.63622177</v>
      </c>
      <c r="V11" s="1">
        <f ca="1">'Debt worksheet'!W5</f>
        <v>718268490.25283659</v>
      </c>
      <c r="W11" s="1">
        <f ca="1">'Debt worksheet'!X5</f>
        <v>745840869.33243299</v>
      </c>
      <c r="X11" s="1">
        <f ca="1">'Debt worksheet'!Y5</f>
        <v>773431380.22602189</v>
      </c>
      <c r="Y11" s="1">
        <f ca="1">'Debt worksheet'!Z5</f>
        <v>803507519.54828811</v>
      </c>
      <c r="Z11" s="1">
        <f ca="1">'Debt worksheet'!AA5</f>
        <v>836217240.88859391</v>
      </c>
      <c r="AA11" s="1">
        <f ca="1">'Debt worksheet'!AB5</f>
        <v>871715274.1663326</v>
      </c>
      <c r="AB11" s="1">
        <f ca="1">'Debt worksheet'!AC5</f>
        <v>910163384.48727071</v>
      </c>
      <c r="AC11" s="1">
        <f ca="1">'Debt worksheet'!AD5</f>
        <v>951730639.29078436</v>
      </c>
      <c r="AD11" s="1">
        <f ca="1">'Debt worksheet'!AE5</f>
        <v>996593683.98943853</v>
      </c>
      <c r="AE11" s="1">
        <f ca="1">'Debt worksheet'!AF5</f>
        <v>1044937026.303889</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161</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-32938068.376462266</v>
      </c>
      <c r="D5" s="4">
        <f ca="1">'Profit and Loss'!D9</f>
        <v>-25986237.60871952</v>
      </c>
      <c r="E5" s="4">
        <f ca="1">'Profit and Loss'!E9</f>
        <v>-19966544.002017133</v>
      </c>
      <c r="F5" s="4">
        <f ca="1">'Profit and Loss'!F9</f>
        <v>-11723892.345438452</v>
      </c>
      <c r="G5" s="4">
        <f ca="1">'Profit and Loss'!G9</f>
        <v>-4151425.7766068913</v>
      </c>
      <c r="H5" s="4">
        <f ca="1">'Profit and Loss'!H9</f>
        <v>5483654.029015813</v>
      </c>
      <c r="I5" s="4">
        <f ca="1">'Profit and Loss'!I9</f>
        <v>14647258.644883163</v>
      </c>
      <c r="J5" s="4">
        <f ca="1">'Profit and Loss'!J9</f>
        <v>17738312.451725058</v>
      </c>
      <c r="K5" s="4">
        <f ca="1">'Profit and Loss'!K9</f>
        <v>19611198.397803992</v>
      </c>
      <c r="L5" s="4">
        <f ca="1">'Profit and Loss'!L9</f>
        <v>21762393.913322594</v>
      </c>
      <c r="M5" s="4">
        <f ca="1">'Profit and Loss'!M9</f>
        <v>22307703.027474664</v>
      </c>
      <c r="N5" s="4">
        <f ca="1">'Profit and Loss'!N9</f>
        <v>22926027.910729986</v>
      </c>
      <c r="O5" s="4">
        <f ca="1">'Profit and Loss'!O9</f>
        <v>23625634.328273229</v>
      </c>
      <c r="P5" s="4">
        <f ca="1">'Profit and Loss'!P9</f>
        <v>24415470.751710456</v>
      </c>
      <c r="Q5" s="4">
        <f ca="1">'Profit and Loss'!Q9</f>
        <v>25305215.249091394</v>
      </c>
      <c r="R5" s="4">
        <f ca="1">'Profit and Loss'!R9</f>
        <v>26305325.251552571</v>
      </c>
      <c r="S5" s="4">
        <f ca="1">'Profit and Loss'!S9</f>
        <v>27427090.360440318</v>
      </c>
      <c r="T5" s="4">
        <f ca="1">'Profit and Loss'!T9</f>
        <v>28682688.367640037</v>
      </c>
      <c r="U5" s="4">
        <f ca="1">'Profit and Loss'!U9</f>
        <v>30085244.671165604</v>
      </c>
      <c r="V5" s="4">
        <f ca="1">'Profit and Loss'!V9</f>
        <v>31648895.277877256</v>
      </c>
      <c r="W5" s="4">
        <f ca="1">'Profit and Loss'!W9</f>
        <v>33388853.595519383</v>
      </c>
      <c r="X5" s="4">
        <f ca="1">'Profit and Loss'!X9</f>
        <v>35321481.227130562</v>
      </c>
      <c r="Y5" s="4">
        <f ca="1">'Profit and Loss'!Y9</f>
        <v>34849036.546316333</v>
      </c>
      <c r="Z5" s="4">
        <f ca="1">'Profit and Loss'!Z9</f>
        <v>34293060.156071335</v>
      </c>
      <c r="AA5" s="4">
        <f ca="1">'Profit and Loss'!AA9</f>
        <v>33648837.226522595</v>
      </c>
      <c r="AB5" s="4">
        <f ca="1">'Profit and Loss'!AB9</f>
        <v>32911460.039459515</v>
      </c>
      <c r="AC5" s="4">
        <f ca="1">'Profit and Loss'!AC9</f>
        <v>32075821.808416653</v>
      </c>
      <c r="AD5" s="4">
        <f ca="1">'Profit and Loss'!AD9</f>
        <v>31136610.36485789</v>
      </c>
      <c r="AE5" s="4">
        <f ca="1">'Profit and Loss'!AE9</f>
        <v>30088301.711093992</v>
      </c>
      <c r="AF5" s="4">
        <f ca="1">'Profit and Loss'!AF9</f>
        <v>28925153.440872572</v>
      </c>
      <c r="AG5" s="4"/>
      <c r="AH5" s="4"/>
      <c r="AI5" s="4"/>
      <c r="AJ5" s="4"/>
      <c r="AK5" s="4"/>
      <c r="AL5" s="4"/>
      <c r="AM5" s="4"/>
      <c r="AN5" s="4"/>
      <c r="AO5" s="4"/>
      <c r="AP5" s="4"/>
    </row>
    <row r="6" spans="1:42" x14ac:dyDescent="0.35">
      <c r="A6" t="s">
        <v>21</v>
      </c>
      <c r="C6" s="4">
        <f>Depreciation!C8+Depreciation!C9</f>
        <v>60233219.115377292</v>
      </c>
      <c r="D6" s="4">
        <f>Depreciation!D8+Depreciation!D9</f>
        <v>62964857.43366652</v>
      </c>
      <c r="E6" s="4">
        <f>Depreciation!E8+Depreciation!E9</f>
        <v>65809641.787952118</v>
      </c>
      <c r="F6" s="4">
        <f>Depreciation!F8+Depreciation!F9</f>
        <v>68772016.326899916</v>
      </c>
      <c r="G6" s="4">
        <f>Depreciation!G8+Depreciation!G9</f>
        <v>71856593.76314953</v>
      </c>
      <c r="H6" s="4">
        <f>Depreciation!H8+Depreciation!H9</f>
        <v>75068161.610600337</v>
      </c>
      <c r="I6" s="4">
        <f>Depreciation!I8+Depreciation!I9</f>
        <v>78411688.648274541</v>
      </c>
      <c r="J6" s="4">
        <f>Depreciation!J8+Depreciation!J9</f>
        <v>81892331.618870676</v>
      </c>
      <c r="K6" s="4">
        <f>Depreciation!K8+Depreciation!K9</f>
        <v>85515442.170409098</v>
      </c>
      <c r="L6" s="4">
        <f>Depreciation!L8+Depreciation!L9</f>
        <v>89286574.049668252</v>
      </c>
      <c r="M6" s="4">
        <f>Depreciation!M8+Depreciation!M9</f>
        <v>93211490.556417495</v>
      </c>
      <c r="N6" s="4">
        <f>Depreciation!N8+Depreciation!N9</f>
        <v>97296172.26777184</v>
      </c>
      <c r="O6" s="4">
        <f>Depreciation!O8+Depreciation!O9</f>
        <v>101546825.0423231</v>
      </c>
      <c r="P6" s="4">
        <f>Depreciation!P8+Depreciation!P9</f>
        <v>105969888.3140434</v>
      </c>
      <c r="Q6" s="4">
        <f>Depreciation!Q8+Depreciation!Q9</f>
        <v>110572043.68631047</v>
      </c>
      <c r="R6" s="4">
        <f>Depreciation!R8+Depreciation!R9</f>
        <v>115360223.8367691</v>
      </c>
      <c r="S6" s="4">
        <f>Depreciation!S8+Depreciation!S9</f>
        <v>120341621.7441223</v>
      </c>
      <c r="T6" s="4">
        <f>Depreciation!T8+Depreciation!T9</f>
        <v>125523700.24833719</v>
      </c>
      <c r="U6" s="4">
        <f>Depreciation!U8+Depreciation!U9</f>
        <v>130914201.95615588</v>
      </c>
      <c r="V6" s="4">
        <f>Depreciation!V8+Depreciation!V9</f>
        <v>136521159.50422069</v>
      </c>
      <c r="W6" s="4">
        <f>Depreciation!W8+Depreciation!W9</f>
        <v>142352906.19255856</v>
      </c>
      <c r="X6" s="4">
        <f>Depreciation!X8+Depreciation!X9</f>
        <v>148418087.00161767</v>
      </c>
      <c r="Y6" s="4">
        <f>Depreciation!Y8+Depreciation!Y9</f>
        <v>154725670.00651538</v>
      </c>
      <c r="Z6" s="4">
        <f>Depreciation!Z8+Depreciation!Z9</f>
        <v>161284958.20263693</v>
      </c>
      <c r="AA6" s="4">
        <f>Depreciation!AA8+Depreciation!AA9</f>
        <v>168105601.75722364</v>
      </c>
      <c r="AB6" s="4">
        <f>Depreciation!AB8+Depreciation!AB9</f>
        <v>175197610.7021043</v>
      </c>
      <c r="AC6" s="4">
        <f>Depreciation!AC8+Depreciation!AC9</f>
        <v>182571368.08325797</v>
      </c>
      <c r="AD6" s="4">
        <f>Depreciation!AD8+Depreciation!AD9</f>
        <v>190237643.58344653</v>
      </c>
      <c r="AE6" s="4">
        <f>Depreciation!AE8+Depreciation!AE9</f>
        <v>198207607.63472989</v>
      </c>
      <c r="AF6" s="4">
        <f>Depreciation!AF8+Depreciation!AF9</f>
        <v>206492846.03826585</v>
      </c>
      <c r="AG6" s="4"/>
      <c r="AH6" s="4"/>
      <c r="AI6" s="4"/>
      <c r="AJ6" s="4"/>
      <c r="AK6" s="4"/>
      <c r="AL6" s="4"/>
      <c r="AM6" s="4"/>
      <c r="AN6" s="4"/>
      <c r="AO6" s="4"/>
      <c r="AP6" s="4"/>
    </row>
    <row r="7" spans="1:42" x14ac:dyDescent="0.35">
      <c r="A7" t="s">
        <v>23</v>
      </c>
      <c r="C7" s="4">
        <f ca="1">C6+C5</f>
        <v>27295150.738915026</v>
      </c>
      <c r="D7" s="4">
        <f ca="1">D6+D5</f>
        <v>36978619.824947</v>
      </c>
      <c r="E7" s="4">
        <f t="shared" ref="E7:AF7" ca="1" si="1">E6+E5</f>
        <v>45843097.785934985</v>
      </c>
      <c r="F7" s="4">
        <f t="shared" ca="1" si="1"/>
        <v>57048123.981461465</v>
      </c>
      <c r="G7" s="4">
        <f ca="1">G6+G5</f>
        <v>67705167.986542642</v>
      </c>
      <c r="H7" s="4">
        <f t="shared" ca="1" si="1"/>
        <v>80551815.639616147</v>
      </c>
      <c r="I7" s="4">
        <f t="shared" ca="1" si="1"/>
        <v>93058947.293157697</v>
      </c>
      <c r="J7" s="4">
        <f t="shared" ca="1" si="1"/>
        <v>99630644.070595741</v>
      </c>
      <c r="K7" s="4">
        <f t="shared" ca="1" si="1"/>
        <v>105126640.56821309</v>
      </c>
      <c r="L7" s="4">
        <f t="shared" ca="1" si="1"/>
        <v>111048967.96299085</v>
      </c>
      <c r="M7" s="4">
        <f t="shared" ca="1" si="1"/>
        <v>115519193.58389217</v>
      </c>
      <c r="N7" s="4">
        <f t="shared" ca="1" si="1"/>
        <v>120222200.17850183</v>
      </c>
      <c r="O7" s="4">
        <f t="shared" ca="1" si="1"/>
        <v>125172459.37059632</v>
      </c>
      <c r="P7" s="4">
        <f t="shared" ca="1" si="1"/>
        <v>130385359.06575386</v>
      </c>
      <c r="Q7" s="4">
        <f t="shared" ca="1" si="1"/>
        <v>135877258.93540186</v>
      </c>
      <c r="R7" s="4">
        <f t="shared" ca="1" si="1"/>
        <v>141665549.08832169</v>
      </c>
      <c r="S7" s="4">
        <f t="shared" ca="1" si="1"/>
        <v>147768712.10456261</v>
      </c>
      <c r="T7" s="4">
        <f t="shared" ca="1" si="1"/>
        <v>154206388.61597723</v>
      </c>
      <c r="U7" s="4">
        <f t="shared" ca="1" si="1"/>
        <v>160999446.62732148</v>
      </c>
      <c r="V7" s="4">
        <f t="shared" ca="1" si="1"/>
        <v>168170054.78209794</v>
      </c>
      <c r="W7" s="4">
        <f t="shared" ca="1" si="1"/>
        <v>175741759.78807795</v>
      </c>
      <c r="X7" s="4">
        <f t="shared" ca="1" si="1"/>
        <v>183739568.22874823</v>
      </c>
      <c r="Y7" s="4">
        <f t="shared" ca="1" si="1"/>
        <v>189574706.55283171</v>
      </c>
      <c r="Z7" s="4">
        <f t="shared" ca="1" si="1"/>
        <v>195578018.35870826</v>
      </c>
      <c r="AA7" s="4">
        <f t="shared" ca="1" si="1"/>
        <v>201754438.98374623</v>
      </c>
      <c r="AB7" s="4">
        <f t="shared" ca="1" si="1"/>
        <v>208109070.74156383</v>
      </c>
      <c r="AC7" s="4">
        <f t="shared" ca="1" si="1"/>
        <v>214647189.89167464</v>
      </c>
      <c r="AD7" s="4">
        <f t="shared" ca="1" si="1"/>
        <v>221374253.94830441</v>
      </c>
      <c r="AE7" s="4">
        <f t="shared" ca="1" si="1"/>
        <v>228295909.34582388</v>
      </c>
      <c r="AF7" s="4">
        <f t="shared" ca="1" si="1"/>
        <v>235417999.47913843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92701537.372691572</v>
      </c>
      <c r="D10" s="9">
        <f>Investment!D25</f>
        <v>96472161.875214845</v>
      </c>
      <c r="E10" s="9">
        <f>Investment!E25</f>
        <v>100389179.97162998</v>
      </c>
      <c r="F10" s="9">
        <f>Investment!F25</f>
        <v>104458099.73245546</v>
      </c>
      <c r="G10" s="9">
        <f>Investment!G25</f>
        <v>108684631.83768287</v>
      </c>
      <c r="H10" s="9">
        <f>Investment!H25</f>
        <v>113074696.90351874</v>
      </c>
      <c r="I10" s="9">
        <f>Investment!I25</f>
        <v>117634433.07056631</v>
      </c>
      <c r="J10" s="9">
        <f>Investment!J25</f>
        <v>122370203.8626758</v>
      </c>
      <c r="K10" s="9">
        <f>Investment!K25</f>
        <v>127288606.32601598</v>
      </c>
      <c r="L10" s="9">
        <f>Investment!L25</f>
        <v>132396479.45825456</v>
      </c>
      <c r="M10" s="9">
        <f>Investment!M25</f>
        <v>137700912.93807855</v>
      </c>
      <c r="N10" s="9">
        <f>Investment!N25</f>
        <v>143209256.16564605</v>
      </c>
      <c r="O10" s="9">
        <f>Investment!O25</f>
        <v>148929127.62492931</v>
      </c>
      <c r="P10" s="9">
        <f>Investment!P25</f>
        <v>154868424.57929301</v>
      </c>
      <c r="Q10" s="9">
        <f>Investment!Q25</f>
        <v>161035333.11204806</v>
      </c>
      <c r="R10" s="9">
        <f>Investment!R25</f>
        <v>167438338.52413028</v>
      </c>
      <c r="S10" s="9">
        <f>Investment!S25</f>
        <v>174086236.10147902</v>
      </c>
      <c r="T10" s="9">
        <f>Investment!T25</f>
        <v>180988142.26512933</v>
      </c>
      <c r="U10" s="9">
        <f>Investment!U25</f>
        <v>188153506.11748537</v>
      </c>
      <c r="V10" s="9">
        <f>Investment!V25</f>
        <v>195592121.39871275</v>
      </c>
      <c r="W10" s="9">
        <f>Investment!W25</f>
        <v>203314138.86767435</v>
      </c>
      <c r="X10" s="9">
        <f>Investment!X25</f>
        <v>211330079.12233716</v>
      </c>
      <c r="Y10" s="9">
        <f>Investment!Y25</f>
        <v>219650845.87509793</v>
      </c>
      <c r="Z10" s="9">
        <f>Investment!Z25</f>
        <v>228287739.6990141</v>
      </c>
      <c r="AA10" s="9">
        <f>Investment!AA25</f>
        <v>237252472.26148489</v>
      </c>
      <c r="AB10" s="9">
        <f>Investment!AB25</f>
        <v>246557181.06250191</v>
      </c>
      <c r="AC10" s="9">
        <f>Investment!AC25</f>
        <v>256214444.69518828</v>
      </c>
      <c r="AD10" s="9">
        <f>Investment!AD25</f>
        <v>266237298.64695862</v>
      </c>
      <c r="AE10" s="9">
        <f>Investment!AE25</f>
        <v>276639251.66027439</v>
      </c>
      <c r="AF10" s="9">
        <f>Investment!AF25</f>
        <v>287434302.67262775</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-65406386.633776546</v>
      </c>
      <c r="D12" s="1">
        <f t="shared" ref="D12:AF12" ca="1" si="2">D7-D9-D10</f>
        <v>-59493542.050267845</v>
      </c>
      <c r="E12" s="1">
        <f ca="1">E7-E9-E10</f>
        <v>-54546082.185694993</v>
      </c>
      <c r="F12" s="1">
        <f t="shared" ca="1" si="2"/>
        <v>-47409975.750993997</v>
      </c>
      <c r="G12" s="1">
        <f ca="1">G7-G9-G10</f>
        <v>-40979463.851140231</v>
      </c>
      <c r="H12" s="1">
        <f t="shared" ca="1" si="2"/>
        <v>-32522881.26390259</v>
      </c>
      <c r="I12" s="1">
        <f t="shared" ca="1" si="2"/>
        <v>-24575485.777408615</v>
      </c>
      <c r="J12" s="1">
        <f t="shared" ca="1" si="2"/>
        <v>-22739559.79208006</v>
      </c>
      <c r="K12" s="1">
        <f t="shared" ca="1" si="2"/>
        <v>-22161965.757802889</v>
      </c>
      <c r="L12" s="1">
        <f t="shared" ca="1" si="2"/>
        <v>-21347511.495263711</v>
      </c>
      <c r="M12" s="1">
        <f t="shared" ca="1" si="2"/>
        <v>-22181719.354186386</v>
      </c>
      <c r="N12" s="1">
        <f t="shared" ca="1" si="2"/>
        <v>-22987055.987144217</v>
      </c>
      <c r="O12" s="1">
        <f t="shared" ca="1" si="2"/>
        <v>-23756668.254332989</v>
      </c>
      <c r="P12" s="1">
        <f t="shared" ca="1" si="2"/>
        <v>-24483065.51353915</v>
      </c>
      <c r="Q12" s="1">
        <f t="shared" ca="1" si="2"/>
        <v>-25158074.176646203</v>
      </c>
      <c r="R12" s="1">
        <f t="shared" ca="1" si="2"/>
        <v>-25772789.435808599</v>
      </c>
      <c r="S12" s="1">
        <f t="shared" ca="1" si="2"/>
        <v>-26317523.996916413</v>
      </c>
      <c r="T12" s="1">
        <f t="shared" ca="1" si="2"/>
        <v>-26781753.6491521</v>
      </c>
      <c r="U12" s="1">
        <f t="shared" ca="1" si="2"/>
        <v>-27154059.490163893</v>
      </c>
      <c r="V12" s="1">
        <f t="shared" ca="1" si="2"/>
        <v>-27422066.616614819</v>
      </c>
      <c r="W12" s="1">
        <f t="shared" ca="1" si="2"/>
        <v>-27572379.0795964</v>
      </c>
      <c r="X12" s="1">
        <f t="shared" ca="1" si="2"/>
        <v>-27590510.89358893</v>
      </c>
      <c r="Y12" s="1">
        <f t="shared" ca="1" si="2"/>
        <v>-30076139.322266221</v>
      </c>
      <c r="Z12" s="1">
        <f t="shared" ca="1" si="2"/>
        <v>-32709721.340305835</v>
      </c>
      <c r="AA12" s="1">
        <f t="shared" ca="1" si="2"/>
        <v>-35498033.277738661</v>
      </c>
      <c r="AB12" s="1">
        <f t="shared" ca="1" si="2"/>
        <v>-38448110.320938081</v>
      </c>
      <c r="AC12" s="1">
        <f t="shared" ca="1" si="2"/>
        <v>-41567254.803513646</v>
      </c>
      <c r="AD12" s="1">
        <f t="shared" ca="1" si="2"/>
        <v>-44863044.698654205</v>
      </c>
      <c r="AE12" s="1">
        <f t="shared" ca="1" si="2"/>
        <v>-48343342.314450502</v>
      </c>
      <c r="AF12" s="1">
        <f t="shared" ca="1" si="2"/>
        <v>-52016303.193489313</v>
      </c>
      <c r="AG12" s="1"/>
      <c r="AH12" s="1"/>
      <c r="AI12" s="1"/>
      <c r="AJ12" s="1"/>
      <c r="AK12" s="1"/>
      <c r="AL12" s="1"/>
      <c r="AM12" s="1"/>
      <c r="AN12" s="1"/>
      <c r="AO12" s="1"/>
      <c r="AP12" s="1"/>
    </row>
    <row r="13" spans="1:42" x14ac:dyDescent="0.35">
      <c r="A13" t="s">
        <v>19</v>
      </c>
      <c r="C13" s="1">
        <f ca="1">C12</f>
        <v>-65406386.633776546</v>
      </c>
      <c r="D13" s="1">
        <f ca="1">D12</f>
        <v>-59493542.050267845</v>
      </c>
      <c r="E13" s="1">
        <f ca="1">E12</f>
        <v>-54546082.185694993</v>
      </c>
      <c r="F13" s="1">
        <f t="shared" ref="F13:AF13" ca="1" si="3">F12</f>
        <v>-47409975.750993997</v>
      </c>
      <c r="G13" s="1">
        <f ca="1">G12</f>
        <v>-40979463.851140231</v>
      </c>
      <c r="H13" s="1">
        <f t="shared" ca="1" si="3"/>
        <v>-32522881.26390259</v>
      </c>
      <c r="I13" s="1">
        <f t="shared" ca="1" si="3"/>
        <v>-24575485.777408615</v>
      </c>
      <c r="J13" s="1">
        <f t="shared" ca="1" si="3"/>
        <v>-22739559.79208006</v>
      </c>
      <c r="K13" s="1">
        <f t="shared" ca="1" si="3"/>
        <v>-22161965.757802889</v>
      </c>
      <c r="L13" s="1">
        <f t="shared" ca="1" si="3"/>
        <v>-21347511.495263711</v>
      </c>
      <c r="M13" s="1">
        <f t="shared" ca="1" si="3"/>
        <v>-22181719.354186386</v>
      </c>
      <c r="N13" s="1">
        <f t="shared" ca="1" si="3"/>
        <v>-22987055.987144217</v>
      </c>
      <c r="O13" s="1">
        <f t="shared" ca="1" si="3"/>
        <v>-23756668.254332989</v>
      </c>
      <c r="P13" s="1">
        <f t="shared" ca="1" si="3"/>
        <v>-24483065.51353915</v>
      </c>
      <c r="Q13" s="1">
        <f t="shared" ca="1" si="3"/>
        <v>-25158074.176646203</v>
      </c>
      <c r="R13" s="1">
        <f t="shared" ca="1" si="3"/>
        <v>-25772789.435808599</v>
      </c>
      <c r="S13" s="1">
        <f t="shared" ca="1" si="3"/>
        <v>-26317523.996916413</v>
      </c>
      <c r="T13" s="1">
        <f t="shared" ca="1" si="3"/>
        <v>-26781753.6491521</v>
      </c>
      <c r="U13" s="1">
        <f t="shared" ca="1" si="3"/>
        <v>-27154059.490163893</v>
      </c>
      <c r="V13" s="1">
        <f t="shared" ca="1" si="3"/>
        <v>-27422066.616614819</v>
      </c>
      <c r="W13" s="1">
        <f t="shared" ca="1" si="3"/>
        <v>-27572379.0795964</v>
      </c>
      <c r="X13" s="1">
        <f t="shared" ca="1" si="3"/>
        <v>-27590510.89358893</v>
      </c>
      <c r="Y13" s="1">
        <f t="shared" ca="1" si="3"/>
        <v>-30076139.322266221</v>
      </c>
      <c r="Z13" s="1">
        <f t="shared" ca="1" si="3"/>
        <v>-32709721.340305835</v>
      </c>
      <c r="AA13" s="1">
        <f t="shared" ca="1" si="3"/>
        <v>-35498033.277738661</v>
      </c>
      <c r="AB13" s="1">
        <f t="shared" ca="1" si="3"/>
        <v>-38448110.320938081</v>
      </c>
      <c r="AC13" s="1">
        <f t="shared" ca="1" si="3"/>
        <v>-41567254.803513646</v>
      </c>
      <c r="AD13" s="1">
        <f t="shared" ca="1" si="3"/>
        <v>-44863044.698654205</v>
      </c>
      <c r="AE13" s="1">
        <f t="shared" ca="1" si="3"/>
        <v>-48343342.314450502</v>
      </c>
      <c r="AF13" s="1">
        <f t="shared" ca="1" si="3"/>
        <v>-52016303.193489313</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135</v>
      </c>
      <c r="C6" s="9">
        <f>Assumptions!C17</f>
        <v>3429219207.7967887</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1714609603.8983943</v>
      </c>
      <c r="D7" s="9">
        <f>C12</f>
        <v>1774842823.0137715</v>
      </c>
      <c r="E7" s="9">
        <f>D12</f>
        <v>1837807680.447438</v>
      </c>
      <c r="F7" s="9">
        <f t="shared" ref="F7:H7" si="1">E12</f>
        <v>1903617322.2353902</v>
      </c>
      <c r="G7" s="9">
        <f t="shared" si="1"/>
        <v>1972389338.5622902</v>
      </c>
      <c r="H7" s="9">
        <f t="shared" si="1"/>
        <v>2044245932.3254397</v>
      </c>
      <c r="I7" s="9">
        <f t="shared" ref="I7" si="2">H12</f>
        <v>2119314093.9360402</v>
      </c>
      <c r="J7" s="9">
        <f t="shared" ref="J7" si="3">I12</f>
        <v>2197725782.5843143</v>
      </c>
      <c r="K7" s="9">
        <f t="shared" ref="K7" si="4">J12</f>
        <v>2279618114.2031846</v>
      </c>
      <c r="L7" s="9">
        <f t="shared" ref="L7" si="5">K12</f>
        <v>2365133556.3735938</v>
      </c>
      <c r="M7" s="9">
        <f t="shared" ref="M7" si="6">L12</f>
        <v>2454420130.4232621</v>
      </c>
      <c r="N7" s="9">
        <f t="shared" ref="N7" si="7">M12</f>
        <v>2547631620.9796796</v>
      </c>
      <c r="O7" s="9">
        <f t="shared" ref="O7" si="8">N12</f>
        <v>2644927793.2474513</v>
      </c>
      <c r="P7" s="9">
        <f t="shared" ref="P7" si="9">O12</f>
        <v>2746474618.2897744</v>
      </c>
      <c r="Q7" s="9">
        <f t="shared" ref="Q7" si="10">P12</f>
        <v>2852444506.6038179</v>
      </c>
      <c r="R7" s="9">
        <f t="shared" ref="R7" si="11">Q12</f>
        <v>2963016550.2901282</v>
      </c>
      <c r="S7" s="9">
        <f t="shared" ref="S7" si="12">R12</f>
        <v>3078376774.1268973</v>
      </c>
      <c r="T7" s="9">
        <f t="shared" ref="T7" si="13">S12</f>
        <v>3198718395.8710198</v>
      </c>
      <c r="U7" s="9">
        <f t="shared" ref="U7" si="14">T12</f>
        <v>3324242096.1193571</v>
      </c>
      <c r="V7" s="9">
        <f t="shared" ref="V7" si="15">U12</f>
        <v>3455156298.0755129</v>
      </c>
      <c r="W7" s="9">
        <f t="shared" ref="W7" si="16">V12</f>
        <v>3591677457.5797338</v>
      </c>
      <c r="X7" s="9">
        <f t="shared" ref="X7" si="17">W12</f>
        <v>3734030363.7722926</v>
      </c>
      <c r="Y7" s="9">
        <f t="shared" ref="Y7" si="18">X12</f>
        <v>3882448450.77391</v>
      </c>
      <c r="Z7" s="9">
        <f t="shared" ref="Z7" si="19">Y12</f>
        <v>4037174120.7804255</v>
      </c>
      <c r="AA7" s="9">
        <f t="shared" ref="AA7" si="20">Z12</f>
        <v>4198459078.9830627</v>
      </c>
      <c r="AB7" s="9">
        <f t="shared" ref="AB7" si="21">AA12</f>
        <v>4366564680.7402868</v>
      </c>
      <c r="AC7" s="9">
        <f t="shared" ref="AC7" si="22">AB12</f>
        <v>4541762291.4423914</v>
      </c>
      <c r="AD7" s="9">
        <f t="shared" ref="AD7" si="23">AC12</f>
        <v>4724333659.52565</v>
      </c>
      <c r="AE7" s="9">
        <f t="shared" ref="AE7" si="24">AD12</f>
        <v>4914571303.1090965</v>
      </c>
      <c r="AF7" s="9">
        <f t="shared" ref="AF7" si="25">AE12</f>
        <v>5112778910.7438269</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136</v>
      </c>
      <c r="C8" s="9">
        <f>Assumptions!D111*Assumptions!D11</f>
        <v>59453979.477201752</v>
      </c>
      <c r="D8" s="9">
        <f>Assumptions!E111*Assumptions!E11</f>
        <v>61356506.820472203</v>
      </c>
      <c r="E8" s="9">
        <f>Assumptions!F111*Assumptions!F11</f>
        <v>63319915.038727313</v>
      </c>
      <c r="F8" s="9">
        <f>Assumptions!G111*Assumptions!G11</f>
        <v>65346152.319966584</v>
      </c>
      <c r="G8" s="9">
        <f>Assumptions!H111*Assumptions!H11</f>
        <v>67437229.194205523</v>
      </c>
      <c r="H8" s="9">
        <f>Assumptions!I111*Assumptions!I11</f>
        <v>69595220.528420091</v>
      </c>
      <c r="I8" s="9">
        <f>Assumptions!J111*Assumptions!J11</f>
        <v>71822267.585329518</v>
      </c>
      <c r="J8" s="9">
        <f>Assumptions!K111*Assumptions!K11</f>
        <v>74120580.148060083</v>
      </c>
      <c r="K8" s="9">
        <f>Assumptions!L111*Assumptions!L11</f>
        <v>76492438.712798014</v>
      </c>
      <c r="L8" s="9">
        <f>Assumptions!M111*Assumptions!M11</f>
        <v>78940196.751607537</v>
      </c>
      <c r="M8" s="9">
        <f>Assumptions!N111*Assumptions!N11</f>
        <v>81466283.04765898</v>
      </c>
      <c r="N8" s="9">
        <f>Assumptions!O111*Assumptions!O11</f>
        <v>84073204.105184063</v>
      </c>
      <c r="O8" s="9">
        <f>Assumptions!P111*Assumptions!P11</f>
        <v>86763546.636549965</v>
      </c>
      <c r="P8" s="9">
        <f>Assumptions!Q111*Assumptions!Q11</f>
        <v>89539980.128919542</v>
      </c>
      <c r="Q8" s="9">
        <f>Assumptions!R111*Assumptions!R11</f>
        <v>92405259.493044958</v>
      </c>
      <c r="R8" s="9">
        <f>Assumptions!S111*Assumptions!S11</f>
        <v>95362227.796822414</v>
      </c>
      <c r="S8" s="9">
        <f>Assumptions!T111*Assumptions!T11</f>
        <v>98413819.086320743</v>
      </c>
      <c r="T8" s="9">
        <f>Assumptions!U111*Assumptions!U11</f>
        <v>101563061.29708299</v>
      </c>
      <c r="U8" s="9">
        <f>Assumptions!V111*Assumptions!V11</f>
        <v>104813079.25858964</v>
      </c>
      <c r="V8" s="9">
        <f>Assumptions!W111*Assumptions!W11</f>
        <v>108167097.79486452</v>
      </c>
      <c r="W8" s="9">
        <f>Assumptions!X111*Assumptions!X11</f>
        <v>111628444.92430019</v>
      </c>
      <c r="X8" s="9">
        <f>Assumptions!Y111*Assumptions!Y11</f>
        <v>115200555.16187778</v>
      </c>
      <c r="Y8" s="9">
        <f>Assumptions!Z111*Assumptions!Z11</f>
        <v>118886972.92705786</v>
      </c>
      <c r="Z8" s="9">
        <f>Assumptions!AA111*Assumptions!AA11</f>
        <v>122691356.06072371</v>
      </c>
      <c r="AA8" s="9">
        <f>Assumptions!AB111*Assumptions!AB11</f>
        <v>126617479.45466691</v>
      </c>
      <c r="AB8" s="9">
        <f>Assumptions!AC111*Assumptions!AC11</f>
        <v>130669238.79721622</v>
      </c>
      <c r="AC8" s="9">
        <f>Assumptions!AD111*Assumptions!AD11</f>
        <v>134850654.43872714</v>
      </c>
      <c r="AD8" s="9">
        <f>Assumptions!AE111*Assumptions!AE11</f>
        <v>139165875.38076642</v>
      </c>
      <c r="AE8" s="9">
        <f>Assumptions!AF111*Assumptions!AF11</f>
        <v>143619183.39295095</v>
      </c>
      <c r="AF8" s="9">
        <f>Assumptions!AG111*Assumptions!AG11</f>
        <v>148214997.26152533</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779239.63817554235</v>
      </c>
      <c r="D9" s="9">
        <f>Assumptions!E120*Assumptions!E11</f>
        <v>1608350.6131943194</v>
      </c>
      <c r="E9" s="9">
        <f>Assumptions!F120*Assumptions!F11</f>
        <v>2489726.7492248057</v>
      </c>
      <c r="F9" s="9">
        <f>Assumptions!G120*Assumptions!G11</f>
        <v>3425864.0069333334</v>
      </c>
      <c r="G9" s="9">
        <f>Assumptions!H120*Assumptions!H11</f>
        <v>4419364.5689440006</v>
      </c>
      <c r="H9" s="9">
        <f>Assumptions!I120*Assumptions!I11</f>
        <v>5472941.0821802495</v>
      </c>
      <c r="I9" s="9">
        <f>Assumptions!J120*Assumptions!J11</f>
        <v>6589421.0629450195</v>
      </c>
      <c r="J9" s="9">
        <f>Assumptions!K120*Assumptions!K11</f>
        <v>7771751.4708105857</v>
      </c>
      <c r="K9" s="9">
        <f>Assumptions!L120*Assumptions!L11</f>
        <v>9023003.4576110877</v>
      </c>
      <c r="L9" s="9">
        <f>Assumptions!M120*Assumptions!M11</f>
        <v>10346377.298060715</v>
      </c>
      <c r="M9" s="9">
        <f>Assumptions!N120*Assumptions!N11</f>
        <v>11745207.508758521</v>
      </c>
      <c r="N9" s="9">
        <f>Assumptions!O120*Assumptions!O11</f>
        <v>13222968.162587775</v>
      </c>
      <c r="O9" s="9">
        <f>Assumptions!P120*Assumptions!P11</f>
        <v>14783278.405773131</v>
      </c>
      <c r="P9" s="9">
        <f>Assumptions!Q120*Assumptions!Q11</f>
        <v>16429908.185123861</v>
      </c>
      <c r="Q9" s="9">
        <f>Assumptions!R120*Assumptions!R11</f>
        <v>18166784.19326552</v>
      </c>
      <c r="R9" s="9">
        <f>Assumptions!S120*Assumptions!S11</f>
        <v>19997996.03994669</v>
      </c>
      <c r="S9" s="9">
        <f>Assumptions!T120*Assumptions!T11</f>
        <v>21927802.657801546</v>
      </c>
      <c r="T9" s="9">
        <f>Assumptions!U120*Assumptions!U11</f>
        <v>23960638.951254204</v>
      </c>
      <c r="U9" s="9">
        <f>Assumptions!V120*Assumptions!V11</f>
        <v>26101122.697566241</v>
      </c>
      <c r="V9" s="9">
        <f>Assumptions!W120*Assumptions!W11</f>
        <v>28354061.709356178</v>
      </c>
      <c r="W9" s="9">
        <f>Assumptions!X120*Assumptions!X11</f>
        <v>30724461.268258352</v>
      </c>
      <c r="X9" s="9">
        <f>Assumptions!Y120*Assumptions!Y11</f>
        <v>33217531.839739881</v>
      </c>
      <c r="Y9" s="9">
        <f>Assumptions!Z120*Assumptions!Z11</f>
        <v>35838697.079457536</v>
      </c>
      <c r="Z9" s="9">
        <f>Assumptions!AA120*Assumptions!AA11</f>
        <v>38593602.141913228</v>
      </c>
      <c r="AA9" s="9">
        <f>Assumptions!AB120*Assumptions!AB11</f>
        <v>41488122.302556731</v>
      </c>
      <c r="AB9" s="9">
        <f>Assumptions!AC120*Assumptions!AC11</f>
        <v>44528371.904888079</v>
      </c>
      <c r="AC9" s="9">
        <f>Assumptions!AD120*Assumptions!AD11</f>
        <v>47720713.644530818</v>
      </c>
      <c r="AD9" s="9">
        <f>Assumptions!AE120*Assumptions!AE11</f>
        <v>51071768.202680103</v>
      </c>
      <c r="AE9" s="9">
        <f>Assumptions!AF120*Assumptions!AF11</f>
        <v>54588424.24177894</v>
      </c>
      <c r="AF9" s="9">
        <f>Assumptions!AG120*Assumptions!AG11</f>
        <v>58277848.776740529</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60233219.115377292</v>
      </c>
      <c r="D10" s="9">
        <f>SUM($C$8:D9)</f>
        <v>123198076.54904382</v>
      </c>
      <c r="E10" s="9">
        <f>SUM($C$8:E9)</f>
        <v>189007718.33699596</v>
      </c>
      <c r="F10" s="9">
        <f>SUM($C$8:F9)</f>
        <v>257779734.66389588</v>
      </c>
      <c r="G10" s="9">
        <f>SUM($C$8:G9)</f>
        <v>329636328.4270454</v>
      </c>
      <c r="H10" s="9">
        <f>SUM($C$8:H9)</f>
        <v>404704490.03764576</v>
      </c>
      <c r="I10" s="9">
        <f>SUM($C$8:I9)</f>
        <v>483116178.6859203</v>
      </c>
      <c r="J10" s="9">
        <f>SUM($C$8:J9)</f>
        <v>565008510.30479097</v>
      </c>
      <c r="K10" s="9">
        <f>SUM($C$8:K9)</f>
        <v>650523952.47519994</v>
      </c>
      <c r="L10" s="9">
        <f>SUM($C$8:L9)</f>
        <v>739810526.52486825</v>
      </c>
      <c r="M10" s="9">
        <f>SUM($C$8:M9)</f>
        <v>833022017.08128572</v>
      </c>
      <c r="N10" s="9">
        <f>SUM($C$8:N9)</f>
        <v>930318189.34905756</v>
      </c>
      <c r="O10" s="9">
        <f>SUM($C$8:O9)</f>
        <v>1031865014.3913807</v>
      </c>
      <c r="P10" s="9">
        <f>SUM($C$8:P9)</f>
        <v>1137834902.7054243</v>
      </c>
      <c r="Q10" s="9">
        <f>SUM($C$8:Q9)</f>
        <v>1248406946.3917348</v>
      </c>
      <c r="R10" s="9">
        <f>SUM($C$8:R9)</f>
        <v>1363767170.2285039</v>
      </c>
      <c r="S10" s="9">
        <f>SUM($C$8:S9)</f>
        <v>1484108791.9726262</v>
      </c>
      <c r="T10" s="9">
        <f>SUM($C$8:T9)</f>
        <v>1609632492.2209632</v>
      </c>
      <c r="U10" s="9">
        <f>SUM($C$8:U9)</f>
        <v>1740546694.1771193</v>
      </c>
      <c r="V10" s="9">
        <f>SUM($C$8:V9)</f>
        <v>1877067853.6813397</v>
      </c>
      <c r="W10" s="9">
        <f>SUM($C$8:W9)</f>
        <v>2019420759.8738983</v>
      </c>
      <c r="X10" s="9">
        <f>SUM($C$8:X9)</f>
        <v>2167838846.8755159</v>
      </c>
      <c r="Y10" s="9">
        <f>SUM($C$8:Y9)</f>
        <v>2322564516.8820319</v>
      </c>
      <c r="Z10" s="9">
        <f>SUM($C$8:Z9)</f>
        <v>2483849475.0846691</v>
      </c>
      <c r="AA10" s="9">
        <f>SUM($C$8:AA9)</f>
        <v>2651955076.8418918</v>
      </c>
      <c r="AB10" s="9">
        <f>SUM($C$8:AB9)</f>
        <v>2827152687.5439963</v>
      </c>
      <c r="AC10" s="9">
        <f>SUM($C$8:AC9)</f>
        <v>3009724055.6272545</v>
      </c>
      <c r="AD10" s="9">
        <f>SUM($C$8:AD9)</f>
        <v>3199961699.210701</v>
      </c>
      <c r="AE10" s="9">
        <f>SUM($C$8:AE9)</f>
        <v>3398169306.8454309</v>
      </c>
      <c r="AF10" s="9">
        <f>SUM($C$8:AF9)</f>
        <v>3604662152.8836966</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1774842823.0137715</v>
      </c>
      <c r="D12" s="9">
        <f>D7+D8+D9</f>
        <v>1837807680.447438</v>
      </c>
      <c r="E12" s="9">
        <f>E7+E8+E9</f>
        <v>1903617322.2353902</v>
      </c>
      <c r="F12" s="9">
        <f t="shared" ref="F12:H12" si="26">F7+F8+F9</f>
        <v>1972389338.5622902</v>
      </c>
      <c r="G12" s="9">
        <f t="shared" si="26"/>
        <v>2044245932.3254397</v>
      </c>
      <c r="H12" s="9">
        <f t="shared" si="26"/>
        <v>2119314093.9360402</v>
      </c>
      <c r="I12" s="9">
        <f t="shared" ref="I12:AF12" si="27">I7+I8+I9</f>
        <v>2197725782.5843143</v>
      </c>
      <c r="J12" s="9">
        <f t="shared" si="27"/>
        <v>2279618114.2031846</v>
      </c>
      <c r="K12" s="9">
        <f t="shared" si="27"/>
        <v>2365133556.3735938</v>
      </c>
      <c r="L12" s="9">
        <f t="shared" si="27"/>
        <v>2454420130.4232621</v>
      </c>
      <c r="M12" s="9">
        <f t="shared" si="27"/>
        <v>2547631620.9796796</v>
      </c>
      <c r="N12" s="9">
        <f t="shared" si="27"/>
        <v>2644927793.2474513</v>
      </c>
      <c r="O12" s="9">
        <f t="shared" si="27"/>
        <v>2746474618.2897744</v>
      </c>
      <c r="P12" s="9">
        <f t="shared" si="27"/>
        <v>2852444506.6038179</v>
      </c>
      <c r="Q12" s="9">
        <f t="shared" si="27"/>
        <v>2963016550.2901282</v>
      </c>
      <c r="R12" s="9">
        <f t="shared" si="27"/>
        <v>3078376774.1268973</v>
      </c>
      <c r="S12" s="9">
        <f t="shared" si="27"/>
        <v>3198718395.8710198</v>
      </c>
      <c r="T12" s="9">
        <f t="shared" si="27"/>
        <v>3324242096.1193571</v>
      </c>
      <c r="U12" s="9">
        <f t="shared" si="27"/>
        <v>3455156298.0755129</v>
      </c>
      <c r="V12" s="9">
        <f t="shared" si="27"/>
        <v>3591677457.5797338</v>
      </c>
      <c r="W12" s="9">
        <f t="shared" si="27"/>
        <v>3734030363.7722926</v>
      </c>
      <c r="X12" s="9">
        <f t="shared" si="27"/>
        <v>3882448450.77391</v>
      </c>
      <c r="Y12" s="9">
        <f t="shared" si="27"/>
        <v>4037174120.7804255</v>
      </c>
      <c r="Z12" s="9">
        <f t="shared" si="27"/>
        <v>4198459078.9830627</v>
      </c>
      <c r="AA12" s="9">
        <f t="shared" si="27"/>
        <v>4366564680.7402868</v>
      </c>
      <c r="AB12" s="9">
        <f t="shared" si="27"/>
        <v>4541762291.4423914</v>
      </c>
      <c r="AC12" s="9">
        <f t="shared" si="27"/>
        <v>4724333659.52565</v>
      </c>
      <c r="AD12" s="9">
        <f t="shared" si="27"/>
        <v>4914571303.1090965</v>
      </c>
      <c r="AE12" s="9">
        <f t="shared" si="27"/>
        <v>5112778910.7438269</v>
      </c>
      <c r="AF12" s="9">
        <f t="shared" si="27"/>
        <v>5319271756.7820921</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92701537.372691572</v>
      </c>
      <c r="D18" s="9">
        <f>Investment!D25</f>
        <v>96472161.875214845</v>
      </c>
      <c r="E18" s="9">
        <f>Investment!E25</f>
        <v>100389179.97162998</v>
      </c>
      <c r="F18" s="9">
        <f>Investment!F25</f>
        <v>104458099.73245546</v>
      </c>
      <c r="G18" s="9">
        <f>Investment!G25</f>
        <v>108684631.83768287</v>
      </c>
      <c r="H18" s="9">
        <f>Investment!H25</f>
        <v>113074696.90351874</v>
      </c>
      <c r="I18" s="9">
        <f>Investment!I25</f>
        <v>117634433.07056631</v>
      </c>
      <c r="J18" s="9">
        <f>Investment!J25</f>
        <v>122370203.8626758</v>
      </c>
      <c r="K18" s="9">
        <f>Investment!K25</f>
        <v>127288606.32601598</v>
      </c>
      <c r="L18" s="9">
        <f>Investment!L25</f>
        <v>132396479.45825456</v>
      </c>
      <c r="M18" s="9">
        <f>Investment!M25</f>
        <v>137700912.93807855</v>
      </c>
      <c r="N18" s="9">
        <f>Investment!N25</f>
        <v>143209256.16564605</v>
      </c>
      <c r="O18" s="9">
        <f>Investment!O25</f>
        <v>148929127.62492931</v>
      </c>
      <c r="P18" s="9">
        <f>Investment!P25</f>
        <v>154868424.57929301</v>
      </c>
      <c r="Q18" s="9">
        <f>Investment!Q25</f>
        <v>161035333.11204806</v>
      </c>
      <c r="R18" s="9">
        <f>Investment!R25</f>
        <v>167438338.52413028</v>
      </c>
      <c r="S18" s="9">
        <f>Investment!S25</f>
        <v>174086236.10147902</v>
      </c>
      <c r="T18" s="9">
        <f>Investment!T25</f>
        <v>180988142.26512933</v>
      </c>
      <c r="U18" s="9">
        <f>Investment!U25</f>
        <v>188153506.11748537</v>
      </c>
      <c r="V18" s="9">
        <f>Investment!V25</f>
        <v>195592121.39871275</v>
      </c>
      <c r="W18" s="9">
        <f>Investment!W25</f>
        <v>203314138.86767435</v>
      </c>
      <c r="X18" s="9">
        <f>Investment!X25</f>
        <v>211330079.12233716</v>
      </c>
      <c r="Y18" s="9">
        <f>Investment!Y25</f>
        <v>219650845.87509793</v>
      </c>
      <c r="Z18" s="9">
        <f>Investment!Z25</f>
        <v>228287739.6990141</v>
      </c>
      <c r="AA18" s="9">
        <f>Investment!AA25</f>
        <v>237252472.26148489</v>
      </c>
      <c r="AB18" s="9">
        <f>Investment!AB25</f>
        <v>246557181.06250191</v>
      </c>
      <c r="AC18" s="9">
        <f>Investment!AC25</f>
        <v>256214444.69518828</v>
      </c>
      <c r="AD18" s="9">
        <f>Investment!AD25</f>
        <v>266237298.64695862</v>
      </c>
      <c r="AE18" s="9">
        <f>Investment!AE25</f>
        <v>276639251.66027439</v>
      </c>
      <c r="AF18" s="9">
        <f>Investment!AF25</f>
        <v>287434302.67262775</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1807311141.271086</v>
      </c>
      <c r="D19" s="9">
        <f>D18+C20</f>
        <v>1843550084.0309236</v>
      </c>
      <c r="E19" s="9">
        <f>E18+D20</f>
        <v>1880974406.5688872</v>
      </c>
      <c r="F19" s="9">
        <f t="shared" ref="F19:AF19" si="28">F18+E20</f>
        <v>1919622864.5133905</v>
      </c>
      <c r="G19" s="9">
        <f t="shared" si="28"/>
        <v>1959535480.0241735</v>
      </c>
      <c r="H19" s="9">
        <f t="shared" si="28"/>
        <v>2000753583.1645427</v>
      </c>
      <c r="I19" s="9">
        <f t="shared" si="28"/>
        <v>2043319854.6245089</v>
      </c>
      <c r="J19" s="9">
        <f t="shared" si="28"/>
        <v>2087278369.8389101</v>
      </c>
      <c r="K19" s="9">
        <f t="shared" si="28"/>
        <v>2132674644.5460553</v>
      </c>
      <c r="L19" s="9">
        <f t="shared" si="28"/>
        <v>2179555681.8339005</v>
      </c>
      <c r="M19" s="9">
        <f t="shared" si="28"/>
        <v>2227970020.722311</v>
      </c>
      <c r="N19" s="9">
        <f t="shared" si="28"/>
        <v>2277967786.3315396</v>
      </c>
      <c r="O19" s="9">
        <f t="shared" si="28"/>
        <v>2329600741.6886973</v>
      </c>
      <c r="P19" s="9">
        <f t="shared" si="28"/>
        <v>2382922341.225667</v>
      </c>
      <c r="Q19" s="9">
        <f t="shared" si="28"/>
        <v>2437987786.0236716</v>
      </c>
      <c r="R19" s="9">
        <f t="shared" si="28"/>
        <v>2494854080.8614917</v>
      </c>
      <c r="S19" s="9">
        <f t="shared" si="28"/>
        <v>2553580093.1262016</v>
      </c>
      <c r="T19" s="9">
        <f t="shared" si="28"/>
        <v>2614226613.6472082</v>
      </c>
      <c r="U19" s="9">
        <f t="shared" si="28"/>
        <v>2676856419.5163565</v>
      </c>
      <c r="V19" s="9">
        <f t="shared" si="28"/>
        <v>2741534338.9589133</v>
      </c>
      <c r="W19" s="9">
        <f t="shared" si="28"/>
        <v>2808327318.3223667</v>
      </c>
      <c r="X19" s="9">
        <f t="shared" si="28"/>
        <v>2877304491.2521453</v>
      </c>
      <c r="Y19" s="9">
        <f t="shared" si="28"/>
        <v>2948537250.1256256</v>
      </c>
      <c r="Z19" s="9">
        <f t="shared" si="28"/>
        <v>3022099319.8181243</v>
      </c>
      <c r="AA19" s="9">
        <f t="shared" si="28"/>
        <v>3098066833.8769722</v>
      </c>
      <c r="AB19" s="9">
        <f t="shared" si="28"/>
        <v>3176518413.1822505</v>
      </c>
      <c r="AC19" s="9">
        <f t="shared" si="28"/>
        <v>3257535247.175334</v>
      </c>
      <c r="AD19" s="9">
        <f t="shared" si="28"/>
        <v>3341201177.7390347</v>
      </c>
      <c r="AE19" s="9">
        <f t="shared" si="28"/>
        <v>3427602785.8158627</v>
      </c>
      <c r="AF19" s="9">
        <f t="shared" si="28"/>
        <v>3516829480.8537607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1747077922.1557088</v>
      </c>
      <c r="D20" s="9">
        <f>D19-D8-D9</f>
        <v>1780585226.5972571</v>
      </c>
      <c r="E20" s="9">
        <f t="shared" ref="E20:AF20" si="29">E19-E8-E9</f>
        <v>1815164764.780935</v>
      </c>
      <c r="F20" s="9">
        <f t="shared" si="29"/>
        <v>1850850848.1864905</v>
      </c>
      <c r="G20" s="9">
        <f t="shared" si="29"/>
        <v>1887678886.261024</v>
      </c>
      <c r="H20" s="9">
        <f t="shared" si="29"/>
        <v>1925685421.5539424</v>
      </c>
      <c r="I20" s="9">
        <f t="shared" si="29"/>
        <v>1964908165.9762342</v>
      </c>
      <c r="J20" s="9">
        <f t="shared" si="29"/>
        <v>2005386038.2200394</v>
      </c>
      <c r="K20" s="9">
        <f t="shared" si="29"/>
        <v>2047159202.3756461</v>
      </c>
      <c r="L20" s="9">
        <f t="shared" si="29"/>
        <v>2090269107.7842324</v>
      </c>
      <c r="M20" s="9">
        <f t="shared" si="29"/>
        <v>2134758530.1658936</v>
      </c>
      <c r="N20" s="9">
        <f t="shared" si="29"/>
        <v>2180671614.0637679</v>
      </c>
      <c r="O20" s="9">
        <f t="shared" si="29"/>
        <v>2228053916.6463742</v>
      </c>
      <c r="P20" s="9">
        <f t="shared" si="29"/>
        <v>2276952452.9116235</v>
      </c>
      <c r="Q20" s="9">
        <f t="shared" si="29"/>
        <v>2327415742.3373613</v>
      </c>
      <c r="R20" s="9">
        <f t="shared" si="29"/>
        <v>2379493857.0247226</v>
      </c>
      <c r="S20" s="9">
        <f t="shared" si="29"/>
        <v>2433238471.3820791</v>
      </c>
      <c r="T20" s="9">
        <f t="shared" si="29"/>
        <v>2488702913.3988709</v>
      </c>
      <c r="U20" s="9">
        <f t="shared" si="29"/>
        <v>2545942217.5602007</v>
      </c>
      <c r="V20" s="9">
        <f t="shared" si="29"/>
        <v>2605013179.4546924</v>
      </c>
      <c r="W20" s="9">
        <f t="shared" si="29"/>
        <v>2665974412.1298079</v>
      </c>
      <c r="X20" s="9">
        <f t="shared" si="29"/>
        <v>2728886404.2505279</v>
      </c>
      <c r="Y20" s="9">
        <f t="shared" si="29"/>
        <v>2793811580.1191101</v>
      </c>
      <c r="Z20" s="9">
        <f t="shared" si="29"/>
        <v>2860814361.6154871</v>
      </c>
      <c r="AA20" s="9">
        <f t="shared" si="29"/>
        <v>2929961232.1197486</v>
      </c>
      <c r="AB20" s="9">
        <f t="shared" si="29"/>
        <v>3001320802.4801459</v>
      </c>
      <c r="AC20" s="9">
        <f t="shared" si="29"/>
        <v>3074963879.0920758</v>
      </c>
      <c r="AD20" s="9">
        <f t="shared" si="29"/>
        <v>3150963534.1555882</v>
      </c>
      <c r="AE20" s="9">
        <f t="shared" si="29"/>
        <v>3229395178.1811328</v>
      </c>
      <c r="AF20" s="9">
        <f t="shared" si="29"/>
        <v>3310336634.815495</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75070859.219999999</v>
      </c>
      <c r="D22" s="9">
        <f ca="1">'Balance Sheet'!C11</f>
        <v>140477245.85377654</v>
      </c>
      <c r="E22" s="9">
        <f ca="1">'Balance Sheet'!D11</f>
        <v>199970787.90404439</v>
      </c>
      <c r="F22" s="9">
        <f ca="1">'Balance Sheet'!E11</f>
        <v>254516870.08973938</v>
      </c>
      <c r="G22" s="9">
        <f ca="1">'Balance Sheet'!F11</f>
        <v>301926845.84073341</v>
      </c>
      <c r="H22" s="9">
        <f ca="1">'Balance Sheet'!G11</f>
        <v>342906309.69187367</v>
      </c>
      <c r="I22" s="9">
        <f ca="1">'Balance Sheet'!H11</f>
        <v>375429190.95577627</v>
      </c>
      <c r="J22" s="9">
        <f ca="1">'Balance Sheet'!I11</f>
        <v>400004676.73318487</v>
      </c>
      <c r="K22" s="9">
        <f ca="1">'Balance Sheet'!J11</f>
        <v>422744236.52526492</v>
      </c>
      <c r="L22" s="9">
        <f ca="1">'Balance Sheet'!K11</f>
        <v>444906202.28306782</v>
      </c>
      <c r="M22" s="9">
        <f ca="1">'Balance Sheet'!L11</f>
        <v>466253713.77833152</v>
      </c>
      <c r="N22" s="9">
        <f ca="1">'Balance Sheet'!M11</f>
        <v>488435433.13251793</v>
      </c>
      <c r="O22" s="9">
        <f ca="1">'Balance Sheet'!N11</f>
        <v>511422489.11966217</v>
      </c>
      <c r="P22" s="9">
        <f ca="1">'Balance Sheet'!O11</f>
        <v>535179157.37399518</v>
      </c>
      <c r="Q22" s="9">
        <f ca="1">'Balance Sheet'!P11</f>
        <v>559662222.88753438</v>
      </c>
      <c r="R22" s="9">
        <f ca="1">'Balance Sheet'!Q11</f>
        <v>584820297.06418061</v>
      </c>
      <c r="S22" s="9">
        <f ca="1">'Balance Sheet'!R11</f>
        <v>610593086.49998927</v>
      </c>
      <c r="T22" s="9">
        <f ca="1">'Balance Sheet'!S11</f>
        <v>636910610.49690568</v>
      </c>
      <c r="U22" s="9">
        <f ca="1">'Balance Sheet'!T11</f>
        <v>663692364.14605784</v>
      </c>
      <c r="V22" s="9">
        <f ca="1">'Balance Sheet'!U11</f>
        <v>690846423.63622177</v>
      </c>
      <c r="W22" s="9">
        <f ca="1">'Balance Sheet'!V11</f>
        <v>718268490.25283659</v>
      </c>
      <c r="X22" s="9">
        <f ca="1">'Balance Sheet'!W11</f>
        <v>745840869.33243299</v>
      </c>
      <c r="Y22" s="9">
        <f ca="1">'Balance Sheet'!X11</f>
        <v>773431380.22602189</v>
      </c>
      <c r="Z22" s="9">
        <f ca="1">'Balance Sheet'!Y11</f>
        <v>803507519.54828811</v>
      </c>
      <c r="AA22" s="9">
        <f ca="1">'Balance Sheet'!Z11</f>
        <v>836217240.88859391</v>
      </c>
      <c r="AB22" s="9">
        <f ca="1">'Balance Sheet'!AA11</f>
        <v>871715274.1663326</v>
      </c>
      <c r="AC22" s="9">
        <f ca="1">'Balance Sheet'!AB11</f>
        <v>910163384.48727071</v>
      </c>
      <c r="AD22" s="9">
        <f ca="1">'Balance Sheet'!AC11</f>
        <v>951730639.29078436</v>
      </c>
      <c r="AE22" s="9">
        <f ca="1">'Balance Sheet'!AD11</f>
        <v>996593683.98943853</v>
      </c>
      <c r="AF22" s="9">
        <f ca="1">'Balance Sheet'!AE11</f>
        <v>1044937026.303889</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1672007062.9357088</v>
      </c>
      <c r="D23" s="9">
        <f t="shared" ref="D23:AF23" ca="1" si="30">D20-D22</f>
        <v>1640107980.7434807</v>
      </c>
      <c r="E23" s="9">
        <f t="shared" ca="1" si="30"/>
        <v>1615193976.8768907</v>
      </c>
      <c r="F23" s="9">
        <f t="shared" ca="1" si="30"/>
        <v>1596333978.0967512</v>
      </c>
      <c r="G23" s="9">
        <f t="shared" ca="1" si="30"/>
        <v>1585752040.4202905</v>
      </c>
      <c r="H23" s="9">
        <f t="shared" ca="1" si="30"/>
        <v>1582779111.8620687</v>
      </c>
      <c r="I23" s="9">
        <f t="shared" ca="1" si="30"/>
        <v>1589478975.020458</v>
      </c>
      <c r="J23" s="9">
        <f ca="1">J20-J22</f>
        <v>1605381361.4868546</v>
      </c>
      <c r="K23" s="9">
        <f t="shared" ca="1" si="30"/>
        <v>1624414965.8503811</v>
      </c>
      <c r="L23" s="9">
        <f t="shared" ca="1" si="30"/>
        <v>1645362905.5011644</v>
      </c>
      <c r="M23" s="9">
        <f t="shared" ca="1" si="30"/>
        <v>1668504816.387562</v>
      </c>
      <c r="N23" s="9">
        <f t="shared" ca="1" si="30"/>
        <v>1692236180.9312501</v>
      </c>
      <c r="O23" s="9">
        <f t="shared" ca="1" si="30"/>
        <v>1716631427.5267119</v>
      </c>
      <c r="P23" s="9">
        <f t="shared" ca="1" si="30"/>
        <v>1741773295.5376282</v>
      </c>
      <c r="Q23" s="9">
        <f t="shared" ca="1" si="30"/>
        <v>1767753519.449827</v>
      </c>
      <c r="R23" s="9">
        <f t="shared" ca="1" si="30"/>
        <v>1794673559.960542</v>
      </c>
      <c r="S23" s="9">
        <f t="shared" ca="1" si="30"/>
        <v>1822645384.8820899</v>
      </c>
      <c r="T23" s="9">
        <f t="shared" ca="1" si="30"/>
        <v>1851792302.9019651</v>
      </c>
      <c r="U23" s="9">
        <f t="shared" ca="1" si="30"/>
        <v>1882249853.4141428</v>
      </c>
      <c r="V23" s="9">
        <f t="shared" ca="1" si="30"/>
        <v>1914166755.8184705</v>
      </c>
      <c r="W23" s="9">
        <f t="shared" ca="1" si="30"/>
        <v>1947705921.8769712</v>
      </c>
      <c r="X23" s="9">
        <f t="shared" ca="1" si="30"/>
        <v>1983045534.9180949</v>
      </c>
      <c r="Y23" s="9">
        <f t="shared" ca="1" si="30"/>
        <v>2020380199.8930883</v>
      </c>
      <c r="Z23" s="9">
        <f t="shared" ca="1" si="30"/>
        <v>2057306842.067199</v>
      </c>
      <c r="AA23" s="9">
        <f t="shared" ca="1" si="30"/>
        <v>2093743991.2311547</v>
      </c>
      <c r="AB23" s="9">
        <f t="shared" ca="1" si="30"/>
        <v>2129605528.3138132</v>
      </c>
      <c r="AC23" s="9">
        <f t="shared" ca="1" si="30"/>
        <v>2164800494.604805</v>
      </c>
      <c r="AD23" s="9">
        <f t="shared" ca="1" si="30"/>
        <v>2199232894.8648038</v>
      </c>
      <c r="AE23" s="9">
        <f t="shared" ca="1" si="30"/>
        <v>2232801494.1916943</v>
      </c>
      <c r="AF23" s="9">
        <f t="shared" ca="1" si="30"/>
        <v>2265399608.5116062</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162</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75070859.219999999</v>
      </c>
      <c r="D5" s="1">
        <f ca="1">C5+C6</f>
        <v>140477245.85377654</v>
      </c>
      <c r="E5" s="1">
        <f t="shared" ref="E5:AF5" ca="1" si="1">D5+D6</f>
        <v>199970787.90404439</v>
      </c>
      <c r="F5" s="1">
        <f t="shared" ca="1" si="1"/>
        <v>254516870.08973938</v>
      </c>
      <c r="G5" s="1">
        <f t="shared" ca="1" si="1"/>
        <v>301926845.84073341</v>
      </c>
      <c r="H5" s="1">
        <f t="shared" ca="1" si="1"/>
        <v>342906309.69187367</v>
      </c>
      <c r="I5" s="1">
        <f t="shared" ca="1" si="1"/>
        <v>375429190.95577627</v>
      </c>
      <c r="J5" s="1">
        <f t="shared" ca="1" si="1"/>
        <v>400004676.73318487</v>
      </c>
      <c r="K5" s="1">
        <f t="shared" ca="1" si="1"/>
        <v>422744236.52526492</v>
      </c>
      <c r="L5" s="1">
        <f t="shared" ca="1" si="1"/>
        <v>444906202.28306782</v>
      </c>
      <c r="M5" s="1">
        <f t="shared" ca="1" si="1"/>
        <v>466253713.77833152</v>
      </c>
      <c r="N5" s="1">
        <f t="shared" ca="1" si="1"/>
        <v>488435433.13251793</v>
      </c>
      <c r="O5" s="1">
        <f t="shared" ca="1" si="1"/>
        <v>511422489.11966217</v>
      </c>
      <c r="P5" s="1">
        <f t="shared" ca="1" si="1"/>
        <v>535179157.37399518</v>
      </c>
      <c r="Q5" s="1">
        <f t="shared" ca="1" si="1"/>
        <v>559662222.88753438</v>
      </c>
      <c r="R5" s="1">
        <f t="shared" ca="1" si="1"/>
        <v>584820297.06418061</v>
      </c>
      <c r="S5" s="1">
        <f t="shared" ca="1" si="1"/>
        <v>610593086.49998927</v>
      </c>
      <c r="T5" s="1">
        <f t="shared" ca="1" si="1"/>
        <v>636910610.49690568</v>
      </c>
      <c r="U5" s="1">
        <f t="shared" ca="1" si="1"/>
        <v>663692364.14605784</v>
      </c>
      <c r="V5" s="1">
        <f t="shared" ca="1" si="1"/>
        <v>690846423.63622177</v>
      </c>
      <c r="W5" s="1">
        <f t="shared" ca="1" si="1"/>
        <v>718268490.25283659</v>
      </c>
      <c r="X5" s="1">
        <f t="shared" ca="1" si="1"/>
        <v>745840869.33243299</v>
      </c>
      <c r="Y5" s="1">
        <f t="shared" ca="1" si="1"/>
        <v>773431380.22602189</v>
      </c>
      <c r="Z5" s="1">
        <f t="shared" ca="1" si="1"/>
        <v>803507519.54828811</v>
      </c>
      <c r="AA5" s="1">
        <f t="shared" ca="1" si="1"/>
        <v>836217240.88859391</v>
      </c>
      <c r="AB5" s="1">
        <f t="shared" ca="1" si="1"/>
        <v>871715274.1663326</v>
      </c>
      <c r="AC5" s="1">
        <f t="shared" ca="1" si="1"/>
        <v>910163384.48727071</v>
      </c>
      <c r="AD5" s="1">
        <f t="shared" ca="1" si="1"/>
        <v>951730639.29078436</v>
      </c>
      <c r="AE5" s="1">
        <f t="shared" ca="1" si="1"/>
        <v>996593683.98943853</v>
      </c>
      <c r="AF5" s="1">
        <f t="shared" ca="1" si="1"/>
        <v>1044937026.303889</v>
      </c>
      <c r="AG5" s="1"/>
      <c r="AH5" s="1"/>
      <c r="AI5" s="1"/>
      <c r="AJ5" s="1"/>
      <c r="AK5" s="1"/>
      <c r="AL5" s="1"/>
      <c r="AM5" s="1"/>
      <c r="AN5" s="1"/>
      <c r="AO5" s="1"/>
      <c r="AP5" s="1"/>
    </row>
    <row r="6" spans="1:42" x14ac:dyDescent="0.35">
      <c r="A6" s="63" t="s">
        <v>3</v>
      </c>
      <c r="C6" s="1">
        <f ca="1">-'Cash Flow'!C13</f>
        <v>65406386.633776546</v>
      </c>
      <c r="D6" s="1">
        <f ca="1">-'Cash Flow'!D13</f>
        <v>59493542.050267845</v>
      </c>
      <c r="E6" s="1">
        <f ca="1">-'Cash Flow'!E13</f>
        <v>54546082.185694993</v>
      </c>
      <c r="F6" s="1">
        <f ca="1">-'Cash Flow'!F13</f>
        <v>47409975.750993997</v>
      </c>
      <c r="G6" s="1">
        <f ca="1">-'Cash Flow'!G13</f>
        <v>40979463.851140231</v>
      </c>
      <c r="H6" s="1">
        <f ca="1">-'Cash Flow'!H13</f>
        <v>32522881.26390259</v>
      </c>
      <c r="I6" s="1">
        <f ca="1">-'Cash Flow'!I13</f>
        <v>24575485.777408615</v>
      </c>
      <c r="J6" s="1">
        <f ca="1">-'Cash Flow'!J13</f>
        <v>22739559.79208006</v>
      </c>
      <c r="K6" s="1">
        <f ca="1">-'Cash Flow'!K13</f>
        <v>22161965.757802889</v>
      </c>
      <c r="L6" s="1">
        <f ca="1">-'Cash Flow'!L13</f>
        <v>21347511.495263711</v>
      </c>
      <c r="M6" s="1">
        <f ca="1">-'Cash Flow'!M13</f>
        <v>22181719.354186386</v>
      </c>
      <c r="N6" s="1">
        <f ca="1">-'Cash Flow'!N13</f>
        <v>22987055.987144217</v>
      </c>
      <c r="O6" s="1">
        <f ca="1">-'Cash Flow'!O13</f>
        <v>23756668.254332989</v>
      </c>
      <c r="P6" s="1">
        <f ca="1">-'Cash Flow'!P13</f>
        <v>24483065.51353915</v>
      </c>
      <c r="Q6" s="1">
        <f ca="1">-'Cash Flow'!Q13</f>
        <v>25158074.176646203</v>
      </c>
      <c r="R6" s="1">
        <f ca="1">-'Cash Flow'!R13</f>
        <v>25772789.435808599</v>
      </c>
      <c r="S6" s="1">
        <f ca="1">-'Cash Flow'!S13</f>
        <v>26317523.996916413</v>
      </c>
      <c r="T6" s="1">
        <f ca="1">-'Cash Flow'!T13</f>
        <v>26781753.6491521</v>
      </c>
      <c r="U6" s="1">
        <f ca="1">-'Cash Flow'!U13</f>
        <v>27154059.490163893</v>
      </c>
      <c r="V6" s="1">
        <f ca="1">-'Cash Flow'!V13</f>
        <v>27422066.616614819</v>
      </c>
      <c r="W6" s="1">
        <f ca="1">-'Cash Flow'!W13</f>
        <v>27572379.0795964</v>
      </c>
      <c r="X6" s="1">
        <f ca="1">-'Cash Flow'!X13</f>
        <v>27590510.89358893</v>
      </c>
      <c r="Y6" s="1">
        <f ca="1">-'Cash Flow'!Y13</f>
        <v>30076139.322266221</v>
      </c>
      <c r="Z6" s="1">
        <f ca="1">-'Cash Flow'!Z13</f>
        <v>32709721.340305835</v>
      </c>
      <c r="AA6" s="1">
        <f ca="1">-'Cash Flow'!AA13</f>
        <v>35498033.277738661</v>
      </c>
      <c r="AB6" s="1">
        <f ca="1">-'Cash Flow'!AB13</f>
        <v>38448110.320938081</v>
      </c>
      <c r="AC6" s="1">
        <f ca="1">-'Cash Flow'!AC13</f>
        <v>41567254.803513646</v>
      </c>
      <c r="AD6" s="1">
        <f ca="1">-'Cash Flow'!AD13</f>
        <v>44863044.698654205</v>
      </c>
      <c r="AE6" s="1">
        <f ca="1">-'Cash Flow'!AE13</f>
        <v>48343342.314450502</v>
      </c>
      <c r="AF6" s="1">
        <f ca="1">-'Cash Flow'!AF13</f>
        <v>52016303.193489313</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4916703.6048821798</v>
      </c>
      <c r="D8" s="1">
        <f ca="1">IF(SUM(D5:D6)&gt;0,Assumptions!$C$26*SUM(D5:D6),Assumptions!$C$27*(SUM(D5:D6)))</f>
        <v>6998977.576641554</v>
      </c>
      <c r="E8" s="1">
        <f ca="1">IF(SUM(E5:E6)&gt;0,Assumptions!$C$26*SUM(E5:E6),Assumptions!$C$27*(SUM(E5:E6)))</f>
        <v>8908090.453140879</v>
      </c>
      <c r="F8" s="1">
        <f ca="1">IF(SUM(F5:F6)&gt;0,Assumptions!$C$26*SUM(F5:F6),Assumptions!$C$27*(SUM(F5:F6)))</f>
        <v>10567439.604425671</v>
      </c>
      <c r="G8" s="1">
        <f ca="1">IF(SUM(G5:G6)&gt;0,Assumptions!$C$26*SUM(G5:G6),Assumptions!$C$27*(SUM(G5:G6)))</f>
        <v>12001720.83921558</v>
      </c>
      <c r="H8" s="1">
        <f ca="1">IF(SUM(H5:H6)&gt;0,Assumptions!$C$26*SUM(H5:H6),Assumptions!$C$27*(SUM(H5:H6)))</f>
        <v>13140021.68345217</v>
      </c>
      <c r="I8" s="1">
        <f ca="1">IF(SUM(I5:I6)&gt;0,Assumptions!$C$26*SUM(I5:I6),Assumptions!$C$27*(SUM(I5:I6)))</f>
        <v>14000163.685661472</v>
      </c>
      <c r="J8" s="1">
        <f ca="1">IF(SUM(J5:J6)&gt;0,Assumptions!$C$26*SUM(J5:J6),Assumptions!$C$27*(SUM(J5:J6)))</f>
        <v>14796048.278384274</v>
      </c>
      <c r="K8" s="1">
        <f ca="1">IF(SUM(K5:K6)&gt;0,Assumptions!$C$26*SUM(K5:K6),Assumptions!$C$27*(SUM(K5:K6)))</f>
        <v>15571717.079907374</v>
      </c>
      <c r="L8" s="1">
        <f ca="1">IF(SUM(L5:L6)&gt;0,Assumptions!$C$26*SUM(L5:L6),Assumptions!$C$27*(SUM(L5:L6)))</f>
        <v>16318879.982241604</v>
      </c>
      <c r="M8" s="1">
        <f ca="1">IF(SUM(M5:M6)&gt;0,Assumptions!$C$26*SUM(M5:M6),Assumptions!$C$27*(SUM(M5:M6)))</f>
        <v>17095240.159638129</v>
      </c>
      <c r="N8" s="1">
        <f ca="1">IF(SUM(N5:N6)&gt;0,Assumptions!$C$26*SUM(N5:N6),Assumptions!$C$27*(SUM(N5:N6)))</f>
        <v>17899787.119188178</v>
      </c>
      <c r="O8" s="1">
        <f ca="1">IF(SUM(O5:O6)&gt;0,Assumptions!$C$26*SUM(O5:O6),Assumptions!$C$27*(SUM(O5:O6)))</f>
        <v>18731270.508089833</v>
      </c>
      <c r="P8" s="1">
        <f ca="1">IF(SUM(P5:P6)&gt;0,Assumptions!$C$26*SUM(P5:P6),Assumptions!$C$27*(SUM(P5:P6)))</f>
        <v>19588177.801063705</v>
      </c>
      <c r="Q8" s="1">
        <f ca="1">IF(SUM(Q5:Q6)&gt;0,Assumptions!$C$26*SUM(Q5:Q6),Assumptions!$C$27*(SUM(Q5:Q6)))</f>
        <v>20468710.397246324</v>
      </c>
      <c r="R8" s="1">
        <f ca="1">IF(SUM(R5:R6)&gt;0,Assumptions!$C$26*SUM(R5:R6),Assumptions!$C$27*(SUM(R5:R6)))</f>
        <v>21370758.027499627</v>
      </c>
      <c r="S8" s="1">
        <f ca="1">IF(SUM(S5:S6)&gt;0,Assumptions!$C$26*SUM(S5:S6),Assumptions!$C$27*(SUM(S5:S6)))</f>
        <v>22291871.367391702</v>
      </c>
      <c r="T8" s="1">
        <f ca="1">IF(SUM(T5:T6)&gt;0,Assumptions!$C$26*SUM(T5:T6),Assumptions!$C$27*(SUM(T5:T6)))</f>
        <v>23229232.745112028</v>
      </c>
      <c r="U8" s="1">
        <f ca="1">IF(SUM(U5:U6)&gt;0,Assumptions!$C$26*SUM(U5:U6),Assumptions!$C$27*(SUM(U5:U6)))</f>
        <v>24179624.827267762</v>
      </c>
      <c r="V8" s="1">
        <f ca="1">IF(SUM(V5:V6)&gt;0,Assumptions!$C$26*SUM(V5:V6),Assumptions!$C$27*(SUM(V5:V6)))</f>
        <v>25139397.158849284</v>
      </c>
      <c r="W8" s="1">
        <f ca="1">IF(SUM(W5:W6)&gt;0,Assumptions!$C$26*SUM(W5:W6),Assumptions!$C$27*(SUM(W5:W6)))</f>
        <v>26104430.426635157</v>
      </c>
      <c r="X8" s="1">
        <f ca="1">IF(SUM(X5:X6)&gt;0,Assumptions!$C$26*SUM(X5:X6),Assumptions!$C$27*(SUM(X5:X6)))</f>
        <v>27070098.30791077</v>
      </c>
      <c r="Y8" s="1">
        <f ca="1">IF(SUM(Y5:Y6)&gt;0,Assumptions!$C$26*SUM(Y5:Y6),Assumptions!$C$27*(SUM(Y5:Y6)))</f>
        <v>28122763.184190087</v>
      </c>
      <c r="Z8" s="1">
        <f ca="1">IF(SUM(Z5:Z6)&gt;0,Assumptions!$C$26*SUM(Z5:Z6),Assumptions!$C$27*(SUM(Z5:Z6)))</f>
        <v>29267603.431100789</v>
      </c>
      <c r="AA8" s="1">
        <f ca="1">IF(SUM(AA5:AA6)&gt;0,Assumptions!$C$26*SUM(AA5:AA6),Assumptions!$C$27*(SUM(AA5:AA6)))</f>
        <v>30510034.595821645</v>
      </c>
      <c r="AB8" s="1">
        <f ca="1">IF(SUM(AB5:AB6)&gt;0,Assumptions!$C$26*SUM(AB5:AB6),Assumptions!$C$27*(SUM(AB5:AB6)))</f>
        <v>31855718.457054477</v>
      </c>
      <c r="AC8" s="1">
        <f ca="1">IF(SUM(AC5:AC6)&gt;0,Assumptions!$C$26*SUM(AC5:AC6),Assumptions!$C$27*(SUM(AC5:AC6)))</f>
        <v>33310572.375177454</v>
      </c>
      <c r="AD8" s="1">
        <f ca="1">IF(SUM(AD5:AD6)&gt;0,Assumptions!$C$26*SUM(AD5:AD6),Assumptions!$C$27*(SUM(AD5:AD6)))</f>
        <v>34880778.939630352</v>
      </c>
      <c r="AE8" s="1">
        <f ca="1">IF(SUM(AE5:AE6)&gt;0,Assumptions!$C$26*SUM(AE5:AE6),Assumptions!$C$27*(SUM(AE5:AE6)))</f>
        <v>36572795.920636117</v>
      </c>
      <c r="AF8" s="1">
        <f ca="1">IF(SUM(AF5:AF6)&gt;0,Assumptions!$C$26*SUM(AF5:AF6),Assumptions!$C$27*(SUM(AF5:AF6)))</f>
        <v>38393366.532408245</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5" zoomScaleNormal="100" workbookViewId="0">
      <selection sqref="A1:XFD1048576"/>
    </sheetView>
  </sheetViews>
  <sheetFormatPr defaultRowHeight="15.5" x14ac:dyDescent="0.35"/>
  <cols>
    <col min="1" max="1" width="107.9140625" style="63" customWidth="1"/>
    <col min="2" max="2" width="18.1640625" style="182" bestFit="1" customWidth="1"/>
    <col min="3" max="3" width="52" style="63" customWidth="1"/>
    <col min="4" max="16384" width="8.6640625" style="63"/>
  </cols>
  <sheetData>
    <row r="1" spans="1:3" ht="26" x14ac:dyDescent="0.6">
      <c r="A1" s="13" t="s">
        <v>180</v>
      </c>
    </row>
    <row r="2" spans="1:3" ht="26" x14ac:dyDescent="0.6">
      <c r="A2" s="13"/>
    </row>
    <row r="3" spans="1:3" ht="186" x14ac:dyDescent="0.35">
      <c r="A3" s="173" t="s">
        <v>183</v>
      </c>
    </row>
    <row r="4" spans="1:3" ht="26" x14ac:dyDescent="0.6">
      <c r="A4" s="13"/>
    </row>
    <row r="5" spans="1:3" ht="18.5" x14ac:dyDescent="0.45">
      <c r="A5" s="89" t="s">
        <v>172</v>
      </c>
      <c r="B5" s="183"/>
    </row>
    <row r="6" spans="1:3" ht="18.5" x14ac:dyDescent="0.45">
      <c r="A6" s="90"/>
      <c r="B6" s="183"/>
    </row>
    <row r="7" spans="1:3" ht="18.5" x14ac:dyDescent="0.45">
      <c r="A7" s="90" t="s">
        <v>96</v>
      </c>
      <c r="B7" s="184">
        <f>Assumptions!C24</f>
        <v>50258000</v>
      </c>
      <c r="C7" s="179" t="str">
        <f>Assumptions!B24</f>
        <v>RFI Table F10; Lines F10.13 +F10.33 + F10.57 + F10.70</v>
      </c>
    </row>
    <row r="8" spans="1:3" ht="34" x14ac:dyDescent="0.45">
      <c r="A8" s="90" t="s">
        <v>170</v>
      </c>
      <c r="B8" s="185">
        <f>Assumptions!$C$133</f>
        <v>0.7</v>
      </c>
      <c r="C8" s="179" t="s">
        <v>192</v>
      </c>
    </row>
    <row r="9" spans="1:3" ht="18.5" x14ac:dyDescent="0.45">
      <c r="A9" s="90"/>
      <c r="B9" s="186"/>
      <c r="C9" s="179"/>
    </row>
    <row r="10" spans="1:3" ht="68" x14ac:dyDescent="0.45">
      <c r="A10" s="94" t="s">
        <v>102</v>
      </c>
      <c r="B10" s="187">
        <f>Assumptions!C135</f>
        <v>39777.777777777774</v>
      </c>
      <c r="C10" s="179" t="s">
        <v>193</v>
      </c>
    </row>
    <row r="11" spans="1:3" ht="18.5" x14ac:dyDescent="0.45">
      <c r="A11" s="94"/>
      <c r="B11" s="188"/>
      <c r="C11" s="179"/>
    </row>
    <row r="12" spans="1:3" ht="18.5" x14ac:dyDescent="0.45">
      <c r="A12" s="94" t="s">
        <v>179</v>
      </c>
      <c r="B12" s="184">
        <f>(B7*B8)/B10</f>
        <v>884.4284916201118</v>
      </c>
      <c r="C12" s="179"/>
    </row>
    <row r="13" spans="1:3" ht="18.5" x14ac:dyDescent="0.45">
      <c r="A13" s="96"/>
      <c r="B13" s="189"/>
      <c r="C13" s="179"/>
    </row>
    <row r="14" spans="1:3" ht="18.5" x14ac:dyDescent="0.45">
      <c r="A14" s="94" t="s">
        <v>103</v>
      </c>
      <c r="B14" s="103">
        <v>1</v>
      </c>
      <c r="C14" s="179"/>
    </row>
    <row r="15" spans="1:3" ht="18.5" x14ac:dyDescent="0.45">
      <c r="A15" s="96"/>
      <c r="B15" s="99"/>
      <c r="C15" s="179"/>
    </row>
    <row r="16" spans="1:3" ht="18.5" x14ac:dyDescent="0.45">
      <c r="A16" s="96" t="s">
        <v>174</v>
      </c>
      <c r="B16" s="190">
        <f>B12/B14</f>
        <v>884.4284916201118</v>
      </c>
      <c r="C16" s="179"/>
    </row>
    <row r="17" spans="1:3" ht="18.5" x14ac:dyDescent="0.45">
      <c r="A17" s="94"/>
      <c r="B17" s="191"/>
      <c r="C17" s="179"/>
    </row>
    <row r="18" spans="1:3" ht="18.5" x14ac:dyDescent="0.45">
      <c r="A18" s="102" t="s">
        <v>173</v>
      </c>
      <c r="B18" s="191"/>
      <c r="C18" s="179"/>
    </row>
    <row r="19" spans="1:3" ht="18.5" x14ac:dyDescent="0.45">
      <c r="A19" s="94"/>
      <c r="B19" s="191"/>
      <c r="C19" s="179"/>
    </row>
    <row r="20" spans="1:3" ht="34" x14ac:dyDescent="0.45">
      <c r="A20" s="94" t="s">
        <v>65</v>
      </c>
      <c r="B20" s="184">
        <f>'Profit and Loss'!L5</f>
        <v>181756418.59687805</v>
      </c>
      <c r="C20" s="179" t="s">
        <v>194</v>
      </c>
    </row>
    <row r="21" spans="1:3" ht="34" x14ac:dyDescent="0.45">
      <c r="A21" s="94" t="str">
        <f>A8</f>
        <v>Assumed revenue from households</v>
      </c>
      <c r="B21" s="185">
        <f>B8</f>
        <v>0.7</v>
      </c>
      <c r="C21" s="179" t="s">
        <v>192</v>
      </c>
    </row>
    <row r="22" spans="1:3" ht="18.5" x14ac:dyDescent="0.45">
      <c r="A22" s="94"/>
      <c r="B22" s="188"/>
      <c r="C22" s="179"/>
    </row>
    <row r="23" spans="1:3" ht="34" x14ac:dyDescent="0.45">
      <c r="A23" s="94" t="s">
        <v>101</v>
      </c>
      <c r="B23" s="187">
        <f>Assumptions!M135</f>
        <v>46275.745492582369</v>
      </c>
      <c r="C23" s="179" t="s">
        <v>195</v>
      </c>
    </row>
    <row r="24" spans="1:3" ht="18.5" x14ac:dyDescent="0.45">
      <c r="A24" s="94"/>
      <c r="B24" s="188"/>
      <c r="C24" s="179"/>
    </row>
    <row r="25" spans="1:3" ht="18.5" x14ac:dyDescent="0.45">
      <c r="A25" s="94" t="s">
        <v>178</v>
      </c>
      <c r="B25" s="184">
        <f>(B20*B21)/B23</f>
        <v>2749.3774905951213</v>
      </c>
      <c r="C25" s="179"/>
    </row>
    <row r="26" spans="1:3" ht="18.5" x14ac:dyDescent="0.45">
      <c r="A26" s="94"/>
      <c r="B26" s="184"/>
      <c r="C26" s="179"/>
    </row>
    <row r="27" spans="1:3" ht="34" x14ac:dyDescent="0.45">
      <c r="A27" s="94" t="s">
        <v>103</v>
      </c>
      <c r="B27" s="103">
        <f>1.022^11</f>
        <v>1.2704566586717592</v>
      </c>
      <c r="C27" s="179" t="s">
        <v>196</v>
      </c>
    </row>
    <row r="28" spans="1:3" ht="18.5" x14ac:dyDescent="0.45">
      <c r="A28" s="96"/>
      <c r="B28" s="189"/>
      <c r="C28" s="179"/>
    </row>
    <row r="29" spans="1:3" ht="18.5" x14ac:dyDescent="0.45">
      <c r="A29" s="96" t="s">
        <v>175</v>
      </c>
      <c r="B29" s="184">
        <f>B25/B27</f>
        <v>2164.0860172825955</v>
      </c>
      <c r="C29" s="179"/>
    </row>
    <row r="30" spans="1:3" ht="18.5" x14ac:dyDescent="0.45">
      <c r="A30" s="96"/>
      <c r="B30" s="189"/>
      <c r="C30" s="179"/>
    </row>
    <row r="31" spans="1:3" ht="18.5" x14ac:dyDescent="0.45">
      <c r="A31" s="102" t="s">
        <v>181</v>
      </c>
      <c r="B31" s="192"/>
      <c r="C31" s="179"/>
    </row>
    <row r="32" spans="1:3" ht="18.5" x14ac:dyDescent="0.45">
      <c r="A32" s="94"/>
      <c r="B32" s="184"/>
      <c r="C32" s="179"/>
    </row>
    <row r="33" spans="1:3" ht="34" x14ac:dyDescent="0.45">
      <c r="A33" s="94" t="s">
        <v>66</v>
      </c>
      <c r="B33" s="184">
        <f>'Profit and Loss'!AF5</f>
        <v>417416327.52772427</v>
      </c>
      <c r="C33" s="179" t="s">
        <v>194</v>
      </c>
    </row>
    <row r="34" spans="1:3" ht="34" x14ac:dyDescent="0.45">
      <c r="A34" s="94" t="str">
        <f>A21</f>
        <v>Assumed revenue from households</v>
      </c>
      <c r="B34" s="185">
        <f>B21</f>
        <v>0.7</v>
      </c>
      <c r="C34" s="179" t="s">
        <v>192</v>
      </c>
    </row>
    <row r="35" spans="1:3" ht="18.5" x14ac:dyDescent="0.45">
      <c r="A35" s="94"/>
      <c r="B35" s="188"/>
      <c r="C35" s="179"/>
    </row>
    <row r="36" spans="1:3" ht="34" x14ac:dyDescent="0.45">
      <c r="A36" s="94" t="s">
        <v>100</v>
      </c>
      <c r="B36" s="187">
        <f>Assumptions!AG135</f>
        <v>62629.542206079284</v>
      </c>
      <c r="C36" s="179" t="s">
        <v>195</v>
      </c>
    </row>
    <row r="37" spans="1:3" ht="18.5" x14ac:dyDescent="0.45">
      <c r="A37" s="94"/>
      <c r="B37" s="188"/>
      <c r="C37" s="179"/>
    </row>
    <row r="38" spans="1:3" ht="18.5" x14ac:dyDescent="0.45">
      <c r="A38" s="94" t="s">
        <v>177</v>
      </c>
      <c r="B38" s="184">
        <f>(B33*B34)/B36</f>
        <v>4665.3930234387808</v>
      </c>
      <c r="C38" s="179"/>
    </row>
    <row r="39" spans="1:3" ht="18.5" x14ac:dyDescent="0.45">
      <c r="A39" s="94"/>
      <c r="B39" s="188"/>
      <c r="C39" s="179"/>
    </row>
    <row r="40" spans="1:3" ht="34" x14ac:dyDescent="0.45">
      <c r="A40" s="94" t="s">
        <v>103</v>
      </c>
      <c r="B40" s="103">
        <f>1.022^31</f>
        <v>1.9632597808456462</v>
      </c>
      <c r="C40" s="179" t="s">
        <v>196</v>
      </c>
    </row>
    <row r="41" spans="1:3" ht="18.5" x14ac:dyDescent="0.45">
      <c r="A41" s="96"/>
      <c r="B41" s="189"/>
    </row>
    <row r="42" spans="1:3" ht="18.5" x14ac:dyDescent="0.45">
      <c r="A42" s="96" t="s">
        <v>176</v>
      </c>
      <c r="B42" s="184">
        <f>B38/B40</f>
        <v>2376.3503276317456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157</v>
      </c>
    </row>
    <row r="2" spans="1:33" ht="26.5" thickBot="1" x14ac:dyDescent="0.4">
      <c r="A2" s="111"/>
      <c r="B2" s="111"/>
      <c r="D2" s="112"/>
    </row>
    <row r="3" spans="1:33" s="114" customFormat="1" ht="21.5" thickBot="1" x14ac:dyDescent="0.4">
      <c r="A3" s="84"/>
      <c r="B3" s="84"/>
      <c r="C3" s="113"/>
      <c r="D3" s="193" t="s">
        <v>27</v>
      </c>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row>
    <row r="4" spans="1:33" s="120" customFormat="1" ht="16" thickBot="1" x14ac:dyDescent="0.4">
      <c r="A4" s="115" t="s">
        <v>25</v>
      </c>
      <c r="B4" s="115" t="s">
        <v>190</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197</v>
      </c>
      <c r="C13" s="127">
        <v>1.5246008397444832E-2</v>
      </c>
      <c r="D13" s="128">
        <f t="shared" ref="D13:AG13" si="3">(1+$C$13)^D8</f>
        <v>1.0152460083974448</v>
      </c>
      <c r="E13" s="128">
        <f t="shared" si="3"/>
        <v>1.0307244575669445</v>
      </c>
      <c r="F13" s="128">
        <f t="shared" si="3"/>
        <v>1.046438891302462</v>
      </c>
      <c r="G13" s="128">
        <f t="shared" si="3"/>
        <v>1.062392907426672</v>
      </c>
      <c r="H13" s="128">
        <f t="shared" si="3"/>
        <v>1.0785901586146849</v>
      </c>
      <c r="I13" s="128">
        <f t="shared" si="3"/>
        <v>1.0950343532303257</v>
      </c>
      <c r="J13" s="128">
        <f t="shared" si="3"/>
        <v>1.1117292561751659</v>
      </c>
      <c r="K13" s="128">
        <f t="shared" si="3"/>
        <v>1.1286786897504972</v>
      </c>
      <c r="L13" s="128">
        <f t="shared" si="3"/>
        <v>1.1458865345324503</v>
      </c>
      <c r="M13" s="128">
        <f t="shared" si="3"/>
        <v>1.1633567302604508</v>
      </c>
      <c r="N13" s="128">
        <f t="shared" si="3"/>
        <v>1.1810932767392259</v>
      </c>
      <c r="O13" s="128">
        <f t="shared" si="3"/>
        <v>1.1991002347545574</v>
      </c>
      <c r="P13" s="128">
        <f t="shared" si="3"/>
        <v>1.2173817270030036</v>
      </c>
      <c r="Q13" s="128">
        <f t="shared" si="3"/>
        <v>1.2359419390357873</v>
      </c>
      <c r="R13" s="128">
        <f t="shared" si="3"/>
        <v>1.2547851202170812</v>
      </c>
      <c r="S13" s="128">
        <f t="shared" si="3"/>
        <v>1.2739155846968993</v>
      </c>
      <c r="T13" s="128">
        <f t="shared" si="3"/>
        <v>1.2933377123988241</v>
      </c>
      <c r="U13" s="128">
        <f t="shared" si="3"/>
        <v>1.3130559500227885</v>
      </c>
      <c r="V13" s="128">
        <f t="shared" si="3"/>
        <v>1.3330748120631508</v>
      </c>
      <c r="W13" s="128">
        <f t="shared" si="3"/>
        <v>1.3533988818422877</v>
      </c>
      <c r="X13" s="128">
        <f t="shared" si="3"/>
        <v>1.3740328125599477</v>
      </c>
      <c r="Y13" s="128">
        <f t="shared" si="3"/>
        <v>1.3949813283586012</v>
      </c>
      <c r="Z13" s="128">
        <f t="shared" si="3"/>
        <v>1.4162492254050354</v>
      </c>
      <c r="AA13" s="128">
        <f t="shared" si="3"/>
        <v>1.4378413729884347</v>
      </c>
      <c r="AB13" s="128">
        <f t="shared" si="3"/>
        <v>1.4597627146352099</v>
      </c>
      <c r="AC13" s="128">
        <f t="shared" si="3"/>
        <v>1.482018269240815</v>
      </c>
      <c r="AD13" s="128">
        <f t="shared" si="3"/>
        <v>1.5046131322188276</v>
      </c>
      <c r="AE13" s="128">
        <f t="shared" si="3"/>
        <v>1.5275524766675412</v>
      </c>
      <c r="AF13" s="128">
        <f t="shared" si="3"/>
        <v>1.5508415545543524</v>
      </c>
      <c r="AG13" s="128">
        <f t="shared" si="3"/>
        <v>1.5744856979181945</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187</v>
      </c>
      <c r="B15" s="178" t="s">
        <v>188</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166</v>
      </c>
      <c r="C17" s="136">
        <f>AVERAGE(C49:C50)</f>
        <v>3429219207.7967887</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1714609603.8983943</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ht="46.5" x14ac:dyDescent="0.35">
      <c r="A20" s="77" t="s">
        <v>64</v>
      </c>
      <c r="B20" s="180" t="s">
        <v>198</v>
      </c>
      <c r="C20" s="137">
        <v>75070859.219999999</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155</v>
      </c>
      <c r="B22" s="178" t="s">
        <v>188</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199</v>
      </c>
      <c r="C24" s="136">
        <v>50258000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ht="77.5" x14ac:dyDescent="0.35">
      <c r="A25" s="77" t="s">
        <v>1</v>
      </c>
      <c r="B25" s="180" t="s">
        <v>200</v>
      </c>
      <c r="C25" s="136">
        <v>29495349.789966043</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156</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ht="46.5" x14ac:dyDescent="0.35">
      <c r="A49" s="69" t="s">
        <v>106</v>
      </c>
      <c r="B49" s="180" t="s">
        <v>202</v>
      </c>
      <c r="C49" s="71">
        <v>1411095388.7392805</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ht="77.5" x14ac:dyDescent="0.35">
      <c r="A50" s="69" t="s">
        <v>107</v>
      </c>
      <c r="B50" s="180" t="s">
        <v>201</v>
      </c>
      <c r="C50" s="71">
        <v>5447343026.8542967</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167</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167</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4167732.1918595969</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22754444.306467507</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13461088.249163551</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11360074.623166015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58351927.223592274</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34856000.923379146</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57610445.229846656</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124" x14ac:dyDescent="0.35">
      <c r="A77" s="69" t="s">
        <v>137</v>
      </c>
      <c r="B77" s="181" t="s">
        <v>203</v>
      </c>
      <c r="C77" s="87">
        <v>140092176.32165521</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138</v>
      </c>
      <c r="B79" s="69" t="s">
        <v>151</v>
      </c>
      <c r="C79" s="87">
        <v>390624644.97177106</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139</v>
      </c>
      <c r="B80" s="69" t="s">
        <v>151</v>
      </c>
      <c r="C80" s="87">
        <v>1216883924.3217943</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140</v>
      </c>
      <c r="B82" s="69" t="s">
        <v>86</v>
      </c>
      <c r="C82" s="87">
        <f>C79+$C$77</f>
        <v>530716821.29342628</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141</v>
      </c>
      <c r="B83" s="69" t="s">
        <v>86</v>
      </c>
      <c r="C83" s="87">
        <f>C80+$C$77</f>
        <v>1356976100.6434495</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146</v>
      </c>
      <c r="B85" s="69" t="s">
        <v>133</v>
      </c>
      <c r="C85" s="150">
        <v>107400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147</v>
      </c>
      <c r="B86" s="69" t="s">
        <v>134</v>
      </c>
      <c r="C86" s="150">
        <v>107400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107400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142</v>
      </c>
      <c r="B89" s="69" t="s">
        <v>86</v>
      </c>
      <c r="C89" s="150">
        <f>C82/$C$87</f>
        <v>4941.4974049667253</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142</v>
      </c>
      <c r="B90" s="69" t="s">
        <v>86</v>
      </c>
      <c r="C90" s="150">
        <f>C83/$C$87</f>
        <v>12634.78678438966</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143</v>
      </c>
      <c r="B92" s="69" t="s">
        <v>150</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144</v>
      </c>
      <c r="B94" s="69" t="s">
        <v>86</v>
      </c>
      <c r="C94" s="87">
        <f>IF(C89&lt;$C$92,C89*$C$87,$C$92*$C$87)</f>
        <v>530716821.29342628</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145</v>
      </c>
      <c r="B95" s="69" t="s">
        <v>86</v>
      </c>
      <c r="C95" s="87">
        <f>IF(C90&lt;$C$92,C90*$C$87,$C$92*$C$87)</f>
        <v>1356976100.6434495</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149</v>
      </c>
      <c r="B96" s="69" t="s">
        <v>86</v>
      </c>
      <c r="C96" s="87">
        <f>AVERAGE(C94:C95)</f>
        <v>943846460.96843791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943846460.96843791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ht="15" customHeight="1"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31461548.698947929</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165</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165</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57610445.229846656</v>
      </c>
      <c r="E111" s="149">
        <f t="shared" si="9"/>
        <v>57610445.229846656</v>
      </c>
      <c r="F111" s="149">
        <f t="shared" si="9"/>
        <v>57610445.229846656</v>
      </c>
      <c r="G111" s="149">
        <f t="shared" si="9"/>
        <v>57610445.229846656</v>
      </c>
      <c r="H111" s="149">
        <f t="shared" si="9"/>
        <v>57610445.229846656</v>
      </c>
      <c r="I111" s="149">
        <f t="shared" si="9"/>
        <v>57610445.229846656</v>
      </c>
      <c r="J111" s="149">
        <f t="shared" si="9"/>
        <v>57610445.229846656</v>
      </c>
      <c r="K111" s="149">
        <f t="shared" si="9"/>
        <v>57610445.229846656</v>
      </c>
      <c r="L111" s="149">
        <f t="shared" si="9"/>
        <v>57610445.229846656</v>
      </c>
      <c r="M111" s="149">
        <f t="shared" si="9"/>
        <v>57610445.229846656</v>
      </c>
      <c r="N111" s="149">
        <f t="shared" si="9"/>
        <v>57610445.229846656</v>
      </c>
      <c r="O111" s="149">
        <f t="shared" si="9"/>
        <v>57610445.229846656</v>
      </c>
      <c r="P111" s="149">
        <f t="shared" si="9"/>
        <v>57610445.229846656</v>
      </c>
      <c r="Q111" s="149">
        <f t="shared" si="9"/>
        <v>57610445.229846656</v>
      </c>
      <c r="R111" s="149">
        <f t="shared" si="9"/>
        <v>57610445.229846656</v>
      </c>
      <c r="S111" s="149">
        <f t="shared" si="9"/>
        <v>57610445.229846656</v>
      </c>
      <c r="T111" s="149">
        <f t="shared" si="9"/>
        <v>57610445.229846656</v>
      </c>
      <c r="U111" s="149">
        <f t="shared" si="9"/>
        <v>57610445.229846656</v>
      </c>
      <c r="V111" s="149">
        <f t="shared" si="9"/>
        <v>57610445.229846656</v>
      </c>
      <c r="W111" s="149">
        <f t="shared" si="9"/>
        <v>57610445.229846656</v>
      </c>
      <c r="X111" s="149">
        <f t="shared" si="9"/>
        <v>57610445.229846656</v>
      </c>
      <c r="Y111" s="149">
        <f t="shared" si="9"/>
        <v>57610445.229846656</v>
      </c>
      <c r="Z111" s="149">
        <f t="shared" si="9"/>
        <v>57610445.229846656</v>
      </c>
      <c r="AA111" s="149">
        <f t="shared" si="9"/>
        <v>57610445.229846656</v>
      </c>
      <c r="AB111" s="149">
        <f t="shared" si="9"/>
        <v>57610445.229846656</v>
      </c>
      <c r="AC111" s="149">
        <f t="shared" si="9"/>
        <v>57610445.229846656</v>
      </c>
      <c r="AD111" s="149">
        <f t="shared" si="9"/>
        <v>57610445.229846656</v>
      </c>
      <c r="AE111" s="149">
        <f t="shared" si="9"/>
        <v>57610445.229846656</v>
      </c>
      <c r="AF111" s="149">
        <f t="shared" si="9"/>
        <v>57610445.229846656</v>
      </c>
      <c r="AG111" s="149">
        <f t="shared" si="9"/>
        <v>57610445.229846656</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943846460.96843743</v>
      </c>
      <c r="D113" s="149">
        <f t="shared" ref="D113:AG113" si="10">$C$102</f>
        <v>31461548.698947929</v>
      </c>
      <c r="E113" s="149">
        <f t="shared" si="10"/>
        <v>31461548.698947929</v>
      </c>
      <c r="F113" s="149">
        <f t="shared" si="10"/>
        <v>31461548.698947929</v>
      </c>
      <c r="G113" s="149">
        <f t="shared" si="10"/>
        <v>31461548.698947929</v>
      </c>
      <c r="H113" s="149">
        <f t="shared" si="10"/>
        <v>31461548.698947929</v>
      </c>
      <c r="I113" s="149">
        <f t="shared" si="10"/>
        <v>31461548.698947929</v>
      </c>
      <c r="J113" s="149">
        <f t="shared" si="10"/>
        <v>31461548.698947929</v>
      </c>
      <c r="K113" s="149">
        <f t="shared" si="10"/>
        <v>31461548.698947929</v>
      </c>
      <c r="L113" s="149">
        <f t="shared" si="10"/>
        <v>31461548.698947929</v>
      </c>
      <c r="M113" s="149">
        <f t="shared" si="10"/>
        <v>31461548.698947929</v>
      </c>
      <c r="N113" s="149">
        <f t="shared" si="10"/>
        <v>31461548.698947929</v>
      </c>
      <c r="O113" s="149">
        <f t="shared" si="10"/>
        <v>31461548.698947929</v>
      </c>
      <c r="P113" s="149">
        <f t="shared" si="10"/>
        <v>31461548.698947929</v>
      </c>
      <c r="Q113" s="149">
        <f t="shared" si="10"/>
        <v>31461548.698947929</v>
      </c>
      <c r="R113" s="149">
        <f t="shared" si="10"/>
        <v>31461548.698947929</v>
      </c>
      <c r="S113" s="149">
        <f t="shared" si="10"/>
        <v>31461548.698947929</v>
      </c>
      <c r="T113" s="149">
        <f t="shared" si="10"/>
        <v>31461548.698947929</v>
      </c>
      <c r="U113" s="149">
        <f t="shared" si="10"/>
        <v>31461548.698947929</v>
      </c>
      <c r="V113" s="149">
        <f t="shared" si="10"/>
        <v>31461548.698947929</v>
      </c>
      <c r="W113" s="149">
        <f t="shared" si="10"/>
        <v>31461548.698947929</v>
      </c>
      <c r="X113" s="149">
        <f t="shared" si="10"/>
        <v>31461548.698947929</v>
      </c>
      <c r="Y113" s="149">
        <f t="shared" si="10"/>
        <v>31461548.698947929</v>
      </c>
      <c r="Z113" s="149">
        <f t="shared" si="10"/>
        <v>31461548.698947929</v>
      </c>
      <c r="AA113" s="149">
        <f t="shared" si="10"/>
        <v>31461548.698947929</v>
      </c>
      <c r="AB113" s="149">
        <f t="shared" si="10"/>
        <v>31461548.698947929</v>
      </c>
      <c r="AC113" s="149">
        <f t="shared" si="10"/>
        <v>31461548.698947929</v>
      </c>
      <c r="AD113" s="149">
        <f t="shared" si="10"/>
        <v>31461548.698947929</v>
      </c>
      <c r="AE113" s="149">
        <f t="shared" si="10"/>
        <v>31461548.698947929</v>
      </c>
      <c r="AF113" s="149">
        <f t="shared" si="10"/>
        <v>31461548.698947929</v>
      </c>
      <c r="AG113" s="149">
        <f t="shared" si="10"/>
        <v>31461548.698947929</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31461548.698947929</v>
      </c>
      <c r="E118" s="149">
        <f t="shared" ref="E118:AG118" si="13">E113+E115+E116</f>
        <v>31461548.698947929</v>
      </c>
      <c r="F118" s="149">
        <f>F113+F115+F116</f>
        <v>31461548.698947929</v>
      </c>
      <c r="G118" s="149">
        <f t="shared" si="13"/>
        <v>31461548.698947929</v>
      </c>
      <c r="H118" s="149">
        <f t="shared" si="13"/>
        <v>31461548.698947929</v>
      </c>
      <c r="I118" s="149">
        <f t="shared" si="13"/>
        <v>31461548.698947929</v>
      </c>
      <c r="J118" s="149">
        <f t="shared" si="13"/>
        <v>31461548.698947929</v>
      </c>
      <c r="K118" s="149">
        <f t="shared" si="13"/>
        <v>31461548.698947929</v>
      </c>
      <c r="L118" s="149">
        <f t="shared" si="13"/>
        <v>31461548.698947929</v>
      </c>
      <c r="M118" s="149">
        <f t="shared" si="13"/>
        <v>31461548.698947929</v>
      </c>
      <c r="N118" s="149">
        <f t="shared" si="13"/>
        <v>31461548.698947929</v>
      </c>
      <c r="O118" s="149">
        <f t="shared" si="13"/>
        <v>31461548.698947929</v>
      </c>
      <c r="P118" s="149">
        <f t="shared" si="13"/>
        <v>31461548.698947929</v>
      </c>
      <c r="Q118" s="149">
        <f t="shared" si="13"/>
        <v>31461548.698947929</v>
      </c>
      <c r="R118" s="149">
        <f t="shared" si="13"/>
        <v>31461548.698947929</v>
      </c>
      <c r="S118" s="149">
        <f t="shared" si="13"/>
        <v>31461548.698947929</v>
      </c>
      <c r="T118" s="149">
        <f t="shared" si="13"/>
        <v>31461548.698947929</v>
      </c>
      <c r="U118" s="149">
        <f t="shared" si="13"/>
        <v>31461548.698947929</v>
      </c>
      <c r="V118" s="149">
        <f t="shared" si="13"/>
        <v>31461548.698947929</v>
      </c>
      <c r="W118" s="149">
        <f t="shared" si="13"/>
        <v>31461548.698947929</v>
      </c>
      <c r="X118" s="149">
        <f t="shared" si="13"/>
        <v>31461548.698947929</v>
      </c>
      <c r="Y118" s="149">
        <f t="shared" si="13"/>
        <v>31461548.698947929</v>
      </c>
      <c r="Z118" s="149">
        <f t="shared" si="13"/>
        <v>31461548.698947929</v>
      </c>
      <c r="AA118" s="149">
        <f t="shared" si="13"/>
        <v>31461548.698947929</v>
      </c>
      <c r="AB118" s="149">
        <f t="shared" si="13"/>
        <v>31461548.698947929</v>
      </c>
      <c r="AC118" s="149">
        <f t="shared" si="13"/>
        <v>31461548.698947929</v>
      </c>
      <c r="AD118" s="149">
        <f t="shared" si="13"/>
        <v>31461548.698947929</v>
      </c>
      <c r="AE118" s="149">
        <f t="shared" si="13"/>
        <v>31461548.698947929</v>
      </c>
      <c r="AF118" s="149">
        <f t="shared" si="13"/>
        <v>31461548.698947929</v>
      </c>
      <c r="AG118" s="149">
        <f t="shared" si="13"/>
        <v>31461548.698947929</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755077.16877475032</v>
      </c>
      <c r="E120" s="149">
        <f>(SUM($D$118:E118)*$C$104/$C$106)+(SUM($D$118:E118)*$C$105/$C$107)</f>
        <v>1510154.3375495006</v>
      </c>
      <c r="F120" s="149">
        <f>(SUM($D$118:F118)*$C$104/$C$106)+(SUM($D$118:F118)*$C$105/$C$107)</f>
        <v>2265231.5063242507</v>
      </c>
      <c r="G120" s="149">
        <f>(SUM($D$118:G118)*$C$104/$C$106)+(SUM($D$118:G118)*$C$105/$C$107)</f>
        <v>3020308.6750990013</v>
      </c>
      <c r="H120" s="149">
        <f>(SUM($D$118:H118)*$C$104/$C$106)+(SUM($D$118:H118)*$C$105/$C$107)</f>
        <v>3775385.8438737518</v>
      </c>
      <c r="I120" s="149">
        <f>(SUM($D$118:I118)*$C$104/$C$106)+(SUM($D$118:I118)*$C$105/$C$107)</f>
        <v>4530463.0126485024</v>
      </c>
      <c r="J120" s="149">
        <f>(SUM($D$118:J118)*$C$104/$C$106)+(SUM($D$118:J118)*$C$105/$C$107)</f>
        <v>5285540.1814232524</v>
      </c>
      <c r="K120" s="149">
        <f>(SUM($D$118:K118)*$C$104/$C$106)+(SUM($D$118:K118)*$C$105/$C$107)</f>
        <v>6040617.3501980035</v>
      </c>
      <c r="L120" s="149">
        <f>(SUM($D$118:L118)*$C$104/$C$106)+(SUM($D$118:L118)*$C$105/$C$107)</f>
        <v>6795694.5189727526</v>
      </c>
      <c r="M120" s="149">
        <f>(SUM($D$118:M118)*$C$104/$C$106)+(SUM($D$118:M118)*$C$105/$C$107)</f>
        <v>7550771.6877475036</v>
      </c>
      <c r="N120" s="149">
        <f>(SUM($D$118:N118)*$C$104/$C$106)+(SUM($D$118:N118)*$C$105/$C$107)</f>
        <v>8305848.8565222528</v>
      </c>
      <c r="O120" s="149">
        <f>(SUM($D$118:O118)*$C$104/$C$106)+(SUM($D$118:O118)*$C$105/$C$107)</f>
        <v>9060926.0252970029</v>
      </c>
      <c r="P120" s="149">
        <f>(SUM($D$118:P118)*$C$104/$C$106)+(SUM($D$118:P118)*$C$105/$C$107)</f>
        <v>9816003.1940717511</v>
      </c>
      <c r="Q120" s="149">
        <f>(SUM($D$118:Q118)*$C$104/$C$106)+(SUM($D$118:Q118)*$C$105/$C$107)</f>
        <v>10571080.362846503</v>
      </c>
      <c r="R120" s="149">
        <f>(SUM($D$118:R118)*$C$104/$C$106)+(SUM($D$118:R118)*$C$105/$C$107)</f>
        <v>11326157.531621251</v>
      </c>
      <c r="S120" s="149">
        <f>(SUM($D$118:S118)*$C$104/$C$106)+(SUM($D$118:S118)*$C$105/$C$107)</f>
        <v>12081234.700396001</v>
      </c>
      <c r="T120" s="149">
        <f>(SUM($D$118:T118)*$C$104/$C$106)+(SUM($D$118:T118)*$C$105/$C$107)</f>
        <v>12836311.869170751</v>
      </c>
      <c r="U120" s="149">
        <f>(SUM($D$118:U118)*$C$104/$C$106)+(SUM($D$118:U118)*$C$105/$C$107)</f>
        <v>13591389.037945502</v>
      </c>
      <c r="V120" s="149">
        <f>(SUM($D$118:V118)*$C$104/$C$106)+(SUM($D$118:V118)*$C$105/$C$107)</f>
        <v>14346466.20672025</v>
      </c>
      <c r="W120" s="149">
        <f>(SUM($D$118:W118)*$C$104/$C$106)+(SUM($D$118:W118)*$C$105/$C$107)</f>
        <v>15101543.375495002</v>
      </c>
      <c r="X120" s="149">
        <f>(SUM($D$118:X118)*$C$104/$C$106)+(SUM($D$118:X118)*$C$105/$C$107)</f>
        <v>15856620.54426975</v>
      </c>
      <c r="Y120" s="149">
        <f>(SUM($D$118:Y118)*$C$104/$C$106)+(SUM($D$118:Y118)*$C$105/$C$107)</f>
        <v>16611697.7130445</v>
      </c>
      <c r="Z120" s="149">
        <f>(SUM($D$118:Z118)*$C$104/$C$106)+(SUM($D$118:Z118)*$C$105/$C$107)</f>
        <v>17366774.881819252</v>
      </c>
      <c r="AA120" s="149">
        <f>(SUM($D$118:AA118)*$C$104/$C$106)+(SUM($D$118:AA118)*$C$105/$C$107)</f>
        <v>18121852.050593998</v>
      </c>
      <c r="AB120" s="149">
        <f>(SUM($D$118:AB118)*$C$104/$C$106)+(SUM($D$118:AB118)*$C$105/$C$107)</f>
        <v>18876929.219368748</v>
      </c>
      <c r="AC120" s="149">
        <f>(SUM($D$118:AC118)*$C$104/$C$106)+(SUM($D$118:AC118)*$C$105/$C$107)</f>
        <v>19632006.388143498</v>
      </c>
      <c r="AD120" s="149">
        <f>(SUM($D$118:AD118)*$C$104/$C$106)+(SUM($D$118:AD118)*$C$105/$C$107)</f>
        <v>20387083.556918249</v>
      </c>
      <c r="AE120" s="149">
        <f>(SUM($D$118:AE118)*$C$104/$C$106)+(SUM($D$118:AE118)*$C$105/$C$107)</f>
        <v>21142160.725692999</v>
      </c>
      <c r="AF120" s="149">
        <f>(SUM($D$118:AF118)*$C$104/$C$106)+(SUM($D$118:AF118)*$C$105/$C$107)</f>
        <v>21897237.894467752</v>
      </c>
      <c r="AG120" s="149">
        <f>(SUM($D$118:AG118)*$C$104/$C$106)+(SUM($D$118:AG118)*$C$105/$C$107)</f>
        <v>22652315.063242499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943846.46096843784</v>
      </c>
      <c r="E122" s="72">
        <f>(SUM($D$118:E118)*$C$109)</f>
        <v>1887692.9219368757</v>
      </c>
      <c r="F122" s="72">
        <f>(SUM($D$118:F118)*$C$109)</f>
        <v>2831539.3829053133</v>
      </c>
      <c r="G122" s="72">
        <f>(SUM($D$118:G118)*$C$109)</f>
        <v>3775385.8438737513</v>
      </c>
      <c r="H122" s="72">
        <f>(SUM($D$118:H118)*$C$109)</f>
        <v>4719232.304842189</v>
      </c>
      <c r="I122" s="72">
        <f>(SUM($D$118:I118)*$C$109)</f>
        <v>5663078.7658106275</v>
      </c>
      <c r="J122" s="72">
        <f>(SUM($D$118:J118)*$C$109)</f>
        <v>6606925.2267790651</v>
      </c>
      <c r="K122" s="72">
        <f>(SUM($D$118:K118)*$C$109)</f>
        <v>7550771.6877475036</v>
      </c>
      <c r="L122" s="72">
        <f>(SUM($D$118:L118)*$C$109)</f>
        <v>8494618.1487159412</v>
      </c>
      <c r="M122" s="72">
        <f>(SUM($D$118:M118)*$C$109)</f>
        <v>9438464.6096843779</v>
      </c>
      <c r="N122" s="72">
        <f>(SUM($D$118:N118)*$C$109)</f>
        <v>10382311.070652816</v>
      </c>
      <c r="O122" s="72">
        <f>(SUM($D$118:O118)*$C$109)</f>
        <v>11326157.531621253</v>
      </c>
      <c r="P122" s="72">
        <f>(SUM($D$118:P118)*$C$109)</f>
        <v>12270003.99258969</v>
      </c>
      <c r="Q122" s="72">
        <f>(SUM($D$118:Q118)*$C$109)</f>
        <v>13213850.453558126</v>
      </c>
      <c r="R122" s="72">
        <f>(SUM($D$118:R118)*$C$109)</f>
        <v>14157696.914526565</v>
      </c>
      <c r="S122" s="72">
        <f>(SUM($D$118:S118)*$C$109)</f>
        <v>15101543.375495002</v>
      </c>
      <c r="T122" s="72">
        <f>(SUM($D$118:T118)*$C$109)</f>
        <v>16045389.836463438</v>
      </c>
      <c r="U122" s="72">
        <f>(SUM($D$118:U118)*$C$109)</f>
        <v>16989236.297431875</v>
      </c>
      <c r="V122" s="72">
        <f>(SUM($D$118:V118)*$C$109)</f>
        <v>17933082.758400314</v>
      </c>
      <c r="W122" s="72">
        <f>(SUM($D$118:W118)*$C$109)</f>
        <v>18876929.219368752</v>
      </c>
      <c r="X122" s="72">
        <f>(SUM($D$118:X118)*$C$109)</f>
        <v>19820775.680337187</v>
      </c>
      <c r="Y122" s="72">
        <f>(SUM($D$118:Y118)*$C$109)</f>
        <v>20764622.141305625</v>
      </c>
      <c r="Z122" s="72">
        <f>(SUM($D$118:Z118)*$C$109)</f>
        <v>21708468.60227406</v>
      </c>
      <c r="AA122" s="72">
        <f>(SUM($D$118:AA118)*$C$109)</f>
        <v>22652315.063242499</v>
      </c>
      <c r="AB122" s="72">
        <f>(SUM($D$118:AB118)*$C$109)</f>
        <v>23596161.524210937</v>
      </c>
      <c r="AC122" s="72">
        <f>(SUM($D$118:AC118)*$C$109)</f>
        <v>24540007.985179372</v>
      </c>
      <c r="AD122" s="72">
        <f>(SUM($D$118:AD118)*$C$109)</f>
        <v>25483854.446147811</v>
      </c>
      <c r="AE122" s="72">
        <f>(SUM($D$118:AE118)*$C$109)</f>
        <v>26427700.907116249</v>
      </c>
      <c r="AF122" s="72">
        <f>(SUM($D$118:AF118)*$C$109)</f>
        <v>27371547.368084684</v>
      </c>
      <c r="AG122" s="72">
        <f>(SUM($D$118:AG118)*$C$109)</f>
        <v>28315393.829053123</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148</v>
      </c>
      <c r="B126" s="77" t="s">
        <v>133</v>
      </c>
      <c r="C126" s="126">
        <v>107400</v>
      </c>
      <c r="D126" s="140"/>
    </row>
    <row r="127" spans="1:33" x14ac:dyDescent="0.35">
      <c r="A127" s="77" t="s">
        <v>147</v>
      </c>
      <c r="B127" s="77" t="s">
        <v>134</v>
      </c>
      <c r="C127" s="126">
        <v>107400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107400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152</v>
      </c>
      <c r="B133" s="77" t="s">
        <v>153</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39777.777777777774</v>
      </c>
      <c r="D135" s="157">
        <f t="shared" ref="D135:AG135" si="14">$C$135*D13</f>
        <v>40384.230111809469</v>
      </c>
      <c r="E135" s="157">
        <f t="shared" si="14"/>
        <v>40999.928423218458</v>
      </c>
      <c r="F135" s="157">
        <f t="shared" si="14"/>
        <v>41625.013676253482</v>
      </c>
      <c r="G135" s="157">
        <f t="shared" si="14"/>
        <v>42259.628984305396</v>
      </c>
      <c r="H135" s="157">
        <f t="shared" si="14"/>
        <v>42903.91964267302</v>
      </c>
      <c r="I135" s="157">
        <f t="shared" si="14"/>
        <v>43558.033161828505</v>
      </c>
      <c r="J135" s="157">
        <f t="shared" si="14"/>
        <v>44222.11930118993</v>
      </c>
      <c r="K135" s="157">
        <f t="shared" si="14"/>
        <v>44896.330103408662</v>
      </c>
      <c r="L135" s="157">
        <f t="shared" si="14"/>
        <v>45580.819929179685</v>
      </c>
      <c r="M135" s="157">
        <f t="shared" si="14"/>
        <v>46275.745492582369</v>
      </c>
      <c r="N135" s="157">
        <f t="shared" si="14"/>
        <v>46981.265896960314</v>
      </c>
      <c r="O135" s="157">
        <f t="shared" si="14"/>
        <v>47697.542671347946</v>
      </c>
      <c r="P135" s="157">
        <f t="shared" si="14"/>
        <v>48424.739807452803</v>
      </c>
      <c r="Q135" s="157">
        <f t="shared" si="14"/>
        <v>49163.023797201313</v>
      </c>
      <c r="R135" s="157">
        <f t="shared" si="14"/>
        <v>49912.563670857227</v>
      </c>
      <c r="S135" s="157">
        <f t="shared" si="14"/>
        <v>50673.531035721098</v>
      </c>
      <c r="T135" s="157">
        <f t="shared" si="14"/>
        <v>51446.100115419889</v>
      </c>
      <c r="U135" s="157">
        <f t="shared" si="14"/>
        <v>52230.447789795362</v>
      </c>
      <c r="V135" s="157">
        <f t="shared" si="14"/>
        <v>53026.753635400884</v>
      </c>
      <c r="W135" s="157">
        <f t="shared" si="14"/>
        <v>53835.199966615437</v>
      </c>
      <c r="X135" s="157">
        <f t="shared" si="14"/>
        <v>54655.971877384582</v>
      </c>
      <c r="Y135" s="157">
        <f t="shared" si="14"/>
        <v>55489.25728359769</v>
      </c>
      <c r="Z135" s="157">
        <f t="shared" si="14"/>
        <v>56335.246966111401</v>
      </c>
      <c r="AA135" s="157">
        <f t="shared" si="14"/>
        <v>57194.13461442884</v>
      </c>
      <c r="AB135" s="157">
        <f t="shared" si="14"/>
        <v>58066.116871045007</v>
      </c>
      <c r="AC135" s="157">
        <f t="shared" si="14"/>
        <v>58951.393376467968</v>
      </c>
      <c r="AD135" s="157">
        <f t="shared" si="14"/>
        <v>59850.166814926692</v>
      </c>
      <c r="AE135" s="157">
        <f t="shared" si="14"/>
        <v>60762.64296077552</v>
      </c>
      <c r="AF135" s="157">
        <f t="shared" si="14"/>
        <v>61689.030725606455</v>
      </c>
      <c r="AG135" s="157">
        <f t="shared" si="14"/>
        <v>62629.542206079284</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0.25</v>
      </c>
      <c r="F4" s="65">
        <v>0.2</v>
      </c>
      <c r="G4" s="65">
        <v>0.15</v>
      </c>
      <c r="H4" s="65">
        <v>0.15</v>
      </c>
      <c r="I4" s="65">
        <v>0.12</v>
      </c>
      <c r="J4" s="65">
        <v>0.12</v>
      </c>
      <c r="K4" s="65">
        <v>0.1</v>
      </c>
      <c r="L4" s="65">
        <v>0.05</v>
      </c>
      <c r="M4" s="65">
        <v>0.04</v>
      </c>
      <c r="N4" s="65">
        <v>0.04</v>
      </c>
      <c r="O4" s="65">
        <v>0.03</v>
      </c>
      <c r="P4" s="65">
        <v>0.03</v>
      </c>
      <c r="Q4" s="65">
        <v>0.03</v>
      </c>
      <c r="R4" s="65">
        <v>0.03</v>
      </c>
      <c r="S4" s="65">
        <v>0.03</v>
      </c>
      <c r="T4" s="65">
        <v>0.03</v>
      </c>
      <c r="U4" s="65">
        <v>0.03</v>
      </c>
      <c r="V4" s="65">
        <v>0.03</v>
      </c>
      <c r="W4" s="65">
        <v>0.03</v>
      </c>
      <c r="X4" s="65">
        <v>0.03</v>
      </c>
      <c r="Y4" s="65">
        <v>0.03</v>
      </c>
      <c r="Z4" s="65">
        <v>0.03</v>
      </c>
      <c r="AA4" s="65">
        <v>2.1999999999999999E-2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2.5068890438118756</v>
      </c>
      <c r="C6" s="25"/>
      <c r="D6" s="25"/>
      <c r="E6" s="27">
        <f>'Debt worksheet'!C5/'Profit and Loss'!C5</f>
        <v>1.1770228144027965</v>
      </c>
      <c r="F6" s="28">
        <f ca="1">'Debt worksheet'!D5/'Profit and Loss'!D5</f>
        <v>1.8078689324361441</v>
      </c>
      <c r="G6" s="28">
        <f ca="1">'Debt worksheet'!E5/'Profit and Loss'!E5</f>
        <v>2.2042374884693232</v>
      </c>
      <c r="H6" s="28">
        <f ca="1">'Debt worksheet'!F5/'Profit and Loss'!F5</f>
        <v>2.402919763719241</v>
      </c>
      <c r="I6" s="28">
        <f ca="1">'Debt worksheet'!G5/'Profit and Loss'!G5</f>
        <v>2.5068890438118756</v>
      </c>
      <c r="J6" s="28">
        <f ca="1">'Debt worksheet'!H5/'Profit and Loss'!H5</f>
        <v>2.503914789628694</v>
      </c>
      <c r="K6" s="28">
        <f ca="1">'Debt worksheet'!I5/'Profit and Loss'!I5</f>
        <v>2.4547548717549299</v>
      </c>
      <c r="L6" s="28">
        <f ca="1">'Debt worksheet'!J5/'Profit and Loss'!J5</f>
        <v>2.4534915824933461</v>
      </c>
      <c r="M6" s="28">
        <f ca="1">'Debt worksheet'!K5/'Profit and Loss'!K5</f>
        <v>2.4557975894292814</v>
      </c>
      <c r="N6" s="28">
        <f ca="1">'Debt worksheet'!L5/'Profit and Loss'!L5</f>
        <v>2.4478156299384177</v>
      </c>
      <c r="O6" s="28">
        <f ca="1">'Debt worksheet'!M5/'Profit and Loss'!M5</f>
        <v>2.4531495918589021</v>
      </c>
      <c r="P6" s="28">
        <f ca="1">'Debt worksheet'!N5/'Profit and Loss'!N5</f>
        <v>2.4575387509389648</v>
      </c>
      <c r="Q6" s="28">
        <f ca="1">'Debt worksheet'!O5/'Profit and Loss'!O5</f>
        <v>2.4607331442233829</v>
      </c>
      <c r="R6" s="28">
        <f ca="1">'Debt worksheet'!P5/'Profit and Loss'!P5</f>
        <v>2.462495090670918</v>
      </c>
      <c r="S6" s="28">
        <f ca="1">'Debt worksheet'!Q5/'Profit and Loss'!Q5</f>
        <v>2.4625987779926648</v>
      </c>
      <c r="T6" s="28">
        <f ca="1">'Debt worksheet'!R5/'Profit and Loss'!R5</f>
        <v>2.4608298616231896</v>
      </c>
      <c r="U6" s="28">
        <f ca="1">'Debt worksheet'!S5/'Profit and Loss'!S5</f>
        <v>2.4569850754899845</v>
      </c>
      <c r="V6" s="28">
        <f ca="1">'Debt worksheet'!T5/'Profit and Loss'!T5</f>
        <v>2.450871854255686</v>
      </c>
      <c r="W6" s="28">
        <f ca="1">'Debt worksheet'!U5/'Profit and Loss'!U5</f>
        <v>2.4423079667161658</v>
      </c>
      <c r="X6" s="28">
        <f ca="1">'Debt worksheet'!V5/'Profit and Loss'!V5</f>
        <v>2.4311211600460512</v>
      </c>
      <c r="Y6" s="28">
        <f ca="1">'Debt worksheet'!W5/'Profit and Loss'!W5</f>
        <v>2.4171488145914761</v>
      </c>
      <c r="Z6" s="28">
        <f ca="1">'Debt worksheet'!X5/'Profit and Loss'!X5</f>
        <v>2.4002376089178554</v>
      </c>
      <c r="AA6" s="28">
        <f ca="1">'Debt worksheet'!Y5/'Profit and Loss'!Y5</f>
        <v>2.3988752354923126</v>
      </c>
      <c r="AB6" s="28">
        <f ca="1">'Debt worksheet'!Z5/'Profit and Loss'!Z5</f>
        <v>2.4018928615353867</v>
      </c>
      <c r="AC6" s="28">
        <f ca="1">'Debt worksheet'!AA5/'Profit and Loss'!AA5</f>
        <v>2.4091321148309364</v>
      </c>
      <c r="AD6" s="28">
        <f ca="1">'Debt worksheet'!AB5/'Profit and Loss'!AB5</f>
        <v>2.4204380347697807</v>
      </c>
      <c r="AE6" s="28">
        <f ca="1">'Debt worksheet'!AC5/'Profit and Loss'!AC5</f>
        <v>2.4356590057459626</v>
      </c>
      <c r="AF6" s="28">
        <f ca="1">'Debt worksheet'!AD5/'Profit and Loss'!AD5</f>
        <v>2.4546466917984708</v>
      </c>
      <c r="AG6" s="28">
        <f ca="1">'Debt worksheet'!AE5/'Profit and Loss'!AE5</f>
        <v>2.4772559724758687</v>
      </c>
      <c r="AH6" s="28">
        <f ca="1">'Debt worksheet'!AF5/'Profit and Loss'!AF5</f>
        <v>2.5033448799016749</v>
      </c>
      <c r="AI6" s="31"/>
    </row>
    <row r="7" spans="1:35" ht="21" x14ac:dyDescent="0.5">
      <c r="A7" s="19" t="s">
        <v>38</v>
      </c>
      <c r="B7" s="26">
        <f ca="1">MIN('Price and Financial ratios'!E7:AH7)</f>
        <v>0.22414280028411096</v>
      </c>
      <c r="C7" s="26"/>
      <c r="D7" s="26"/>
      <c r="E7" s="56">
        <f ca="1">'Cash Flow'!C7/'Debt worksheet'!C5</f>
        <v>0.3635918254102411</v>
      </c>
      <c r="F7" s="32">
        <f ca="1">'Cash Flow'!D7/'Debt worksheet'!D5</f>
        <v>0.2632356550002285</v>
      </c>
      <c r="G7" s="32">
        <f ca="1">'Cash Flow'!E7/'Debt worksheet'!E5</f>
        <v>0.22924897314468107</v>
      </c>
      <c r="H7" s="32">
        <f ca="1">'Cash Flow'!F7/'Debt worksheet'!F5</f>
        <v>0.22414280028411096</v>
      </c>
      <c r="I7" s="32">
        <f ca="1">'Cash Flow'!G7/'Debt worksheet'!G5</f>
        <v>0.22424361701926021</v>
      </c>
      <c r="J7" s="32">
        <f ca="1">'Cash Flow'!H7/'Debt worksheet'!H5</f>
        <v>0.23490910888165875</v>
      </c>
      <c r="K7" s="32">
        <f ca="1">'Cash Flow'!I7/'Debt worksheet'!I5</f>
        <v>0.24787349927757638</v>
      </c>
      <c r="L7" s="32">
        <f ca="1">'Cash Flow'!J7/'Debt worksheet'!J5</f>
        <v>0.2490736980484165</v>
      </c>
      <c r="M7" s="17">
        <f ca="1">'Cash Flow'!K7/'Debt worksheet'!K5</f>
        <v>0.24867669736268608</v>
      </c>
      <c r="N7" s="17">
        <f ca="1">'Cash Flow'!L7/'Debt worksheet'!L5</f>
        <v>0.24960085382747008</v>
      </c>
      <c r="O7" s="17">
        <f ca="1">'Cash Flow'!M7/'Debt worksheet'!M5</f>
        <v>0.24776037202528928</v>
      </c>
      <c r="P7" s="17">
        <f ca="1">'Cash Flow'!N7/'Debt worksheet'!N5</f>
        <v>0.24613734390126488</v>
      </c>
      <c r="Q7" s="17">
        <f ca="1">'Cash Flow'!O7/'Debt worksheet'!O5</f>
        <v>0.24475352968161826</v>
      </c>
      <c r="R7" s="17">
        <f ca="1">'Cash Flow'!P7/'Debt worksheet'!P5</f>
        <v>0.24362936648266675</v>
      </c>
      <c r="S7" s="17">
        <f ca="1">'Cash Flow'!Q7/'Debt worksheet'!Q5</f>
        <v>0.24278440348243185</v>
      </c>
      <c r="T7" s="17">
        <f ca="1">'Cash Flow'!R7/'Debt worksheet'!R5</f>
        <v>0.24223774345638813</v>
      </c>
      <c r="U7" s="17">
        <f ca="1">'Cash Flow'!S7/'Debt worksheet'!S5</f>
        <v>0.24200849202468855</v>
      </c>
      <c r="V7" s="17">
        <f ca="1">'Cash Flow'!T7/'Debt worksheet'!T5</f>
        <v>0.24211621862551214</v>
      </c>
      <c r="W7" s="17">
        <f ca="1">'Cash Flow'!U7/'Debt worksheet'!U5</f>
        <v>0.24258143580493349</v>
      </c>
      <c r="X7" s="17">
        <f ca="1">'Cash Flow'!V7/'Debt worksheet'!V5</f>
        <v>0.2434261060467631</v>
      </c>
      <c r="Y7" s="17">
        <f ca="1">'Cash Flow'!W7/'Debt worksheet'!W5</f>
        <v>0.24467418823595527</v>
      </c>
      <c r="Z7" s="17">
        <f ca="1">'Cash Flow'!X7/'Debt worksheet'!X5</f>
        <v>0.24635223917563656</v>
      </c>
      <c r="AA7" s="17">
        <f ca="1">'Cash Flow'!Y7/'Debt worksheet'!Y5</f>
        <v>0.24510863070674971</v>
      </c>
      <c r="AB7" s="17">
        <f ca="1">'Cash Flow'!Z7/'Debt worksheet'!Z5</f>
        <v>0.24340533672747375</v>
      </c>
      <c r="AC7" s="17">
        <f ca="1">'Cash Flow'!AA7/'Debt worksheet'!AA5</f>
        <v>0.24127036506608601</v>
      </c>
      <c r="AD7" s="17">
        <f ca="1">'Cash Flow'!AB7/'Debt worksheet'!AB5</f>
        <v>0.23873514312410038</v>
      </c>
      <c r="AE7" s="17">
        <f ca="1">'Cash Flow'!AC7/'Debt worksheet'!AC5</f>
        <v>0.23583369046711705</v>
      </c>
      <c r="AF7" s="17">
        <f ca="1">'Cash Flow'!AD7/'Debt worksheet'!AD5</f>
        <v>0.23260179383661458</v>
      </c>
      <c r="AG7" s="17">
        <f ca="1">'Cash Flow'!AE7/'Debt worksheet'!AE5</f>
        <v>0.22907621532572672</v>
      </c>
      <c r="AH7" s="17">
        <f ca="1">'Cash Flow'!AF7/'Debt worksheet'!AF5</f>
        <v>0.22529395892099824</v>
      </c>
      <c r="AI7" s="29"/>
    </row>
    <row r="8" spans="1:35" ht="21" x14ac:dyDescent="0.5">
      <c r="A8" s="19" t="s">
        <v>33</v>
      </c>
      <c r="B8" s="26">
        <f ca="1">MAX('Price and Financial ratios'!E8:AH8)</f>
        <v>0.3533181602127331</v>
      </c>
      <c r="C8" s="26"/>
      <c r="D8" s="176"/>
      <c r="E8" s="17">
        <f>'Balance Sheet'!B11/'Balance Sheet'!B8</f>
        <v>4.5377134194191281E-2</v>
      </c>
      <c r="F8" s="17">
        <f ca="1">'Balance Sheet'!C11/'Balance Sheet'!C8</f>
        <v>8.6783632733067981E-2</v>
      </c>
      <c r="G8" s="17">
        <f ca="1">'Balance Sheet'!D11/'Balance Sheet'!D8</f>
        <v>0.1212407677585132</v>
      </c>
      <c r="H8" s="17">
        <f ca="1">'Balance Sheet'!E11/'Balance Sheet'!E8</f>
        <v>0.15140924154443192</v>
      </c>
      <c r="I8" s="17">
        <f ca="1">'Balance Sheet'!F11/'Balance Sheet'!F8</f>
        <v>0.17619571865328545</v>
      </c>
      <c r="J8" s="17">
        <f ca="1">'Balance Sheet'!G11/'Balance Sheet'!G8</f>
        <v>0.19625999216618623</v>
      </c>
      <c r="K8" s="17">
        <f ca="1">'Balance Sheet'!H11/'Balance Sheet'!H8</f>
        <v>0.2106942426108584</v>
      </c>
      <c r="L8" s="17">
        <f ca="1">'Balance Sheet'!I11/'Balance Sheet'!I8</f>
        <v>0.220071851647866</v>
      </c>
      <c r="M8" s="17">
        <f ca="1">'Balance Sheet'!J11/'Balance Sheet'!J8</f>
        <v>0.22796031024962576</v>
      </c>
      <c r="N8" s="17">
        <f ca="1">'Balance Sheet'!K11/'Balance Sheet'!K8</f>
        <v>0.23509333613541375</v>
      </c>
      <c r="O8" s="17">
        <f ca="1">'Balance Sheet'!L11/'Balance Sheet'!L8</f>
        <v>0.24137572372987076</v>
      </c>
      <c r="P8" s="17">
        <f ca="1">'Balance Sheet'!M11/'Balance Sheet'!M8</f>
        <v>0.24767828106793896</v>
      </c>
      <c r="Q8" s="17">
        <f ca="1">'Balance Sheet'!N11/'Balance Sheet'!N8</f>
        <v>0.25396921859246452</v>
      </c>
      <c r="R8" s="17">
        <f ca="1">'Balance Sheet'!O11/'Balance Sheet'!O8</f>
        <v>0.26021538160545438</v>
      </c>
      <c r="S8" s="17">
        <f ca="1">'Balance Sheet'!P11/'Balance Sheet'!P8</f>
        <v>0.2663822669245548</v>
      </c>
      <c r="T8" s="17">
        <f ca="1">'Balance Sheet'!Q11/'Balance Sheet'!Q8</f>
        <v>0.27243404074870697</v>
      </c>
      <c r="U8" s="17">
        <f ca="1">'Balance Sheet'!R11/'Balance Sheet'!R8</f>
        <v>0.27833355758900863</v>
      </c>
      <c r="V8" s="17">
        <f ca="1">'Balance Sheet'!S11/'Balance Sheet'!S8</f>
        <v>0.28404238012022459</v>
      </c>
      <c r="W8" s="17">
        <f ca="1">'Balance Sheet'!T11/'Balance Sheet'!T8</f>
        <v>0.28952079980872047</v>
      </c>
      <c r="X8" s="17">
        <f ca="1">'Balance Sheet'!U11/'Balance Sheet'!U8</f>
        <v>0.29472785817379682</v>
      </c>
      <c r="Y8" s="17">
        <f ca="1">'Balance Sheet'!V11/'Balance Sheet'!V8</f>
        <v>0.29962136854142429</v>
      </c>
      <c r="Z8" s="17">
        <f ca="1">'Balance Sheet'!W11/'Balance Sheet'!W8</f>
        <v>0.30415793815217063</v>
      </c>
      <c r="AA8" s="17">
        <f ca="1">'Balance Sheet'!X11/'Balance Sheet'!X8</f>
        <v>0.30829299048859427</v>
      </c>
      <c r="AB8" s="17">
        <f ca="1">'Balance Sheet'!Y11/'Balance Sheet'!Y8</f>
        <v>0.31299956601362855</v>
      </c>
      <c r="AC8" s="17">
        <f ca="1">'Balance Sheet'!Z11/'Balance Sheet'!Z8</f>
        <v>0.31827978743927565</v>
      </c>
      <c r="AD8" s="17">
        <f ca="1">'Balance Sheet'!AA11/'Balance Sheet'!AA8</f>
        <v>0.3241351735989767</v>
      </c>
      <c r="AE8" s="17">
        <f ca="1">'Balance Sheet'!AB11/'Balance Sheet'!AB8</f>
        <v>0.33056664886953041</v>
      </c>
      <c r="AF8" s="17">
        <f ca="1">'Balance Sheet'!AC11/'Balance Sheet'!AC8</f>
        <v>0.33757455354723431</v>
      </c>
      <c r="AG8" s="17">
        <f ca="1">'Balance Sheet'!AD11/'Balance Sheet'!AD8</f>
        <v>0.34515865509944937</v>
      </c>
      <c r="AH8" s="17">
        <f ca="1">'Balance Sheet'!AE11/'Balance Sheet'!AE8</f>
        <v>0.3533181602127331</v>
      </c>
      <c r="AI8" s="29"/>
    </row>
    <row r="9" spans="1:35" ht="21.5" thickBot="1" x14ac:dyDescent="0.55000000000000004">
      <c r="A9" s="20" t="s">
        <v>32</v>
      </c>
      <c r="B9" s="21">
        <f ca="1">MIN('Price and Financial ratios'!E9:AH9)</f>
        <v>6.146231734745272</v>
      </c>
      <c r="C9" s="21"/>
      <c r="D9" s="177"/>
      <c r="E9" s="21">
        <f ca="1">('Cash Flow'!C7+'Profit and Loss'!C8)/('Profit and Loss'!C8)</f>
        <v>6.5515143747553823</v>
      </c>
      <c r="F9" s="21">
        <f ca="1">('Cash Flow'!D7+'Profit and Loss'!D8)/('Profit and Loss'!D8)</f>
        <v>6.2834316755578348</v>
      </c>
      <c r="G9" s="21">
        <f ca="1">('Cash Flow'!E7+'Profit and Loss'!E8)/('Profit and Loss'!E8)</f>
        <v>6.146231734745272</v>
      </c>
      <c r="H9" s="21">
        <f ca="1">('Cash Flow'!F7+'Profit and Loss'!F8)/('Profit and Loss'!F8)</f>
        <v>6.3984811947796292</v>
      </c>
      <c r="I9" s="21">
        <f ca="1">('Cash Flow'!G7+'Profit and Loss'!G8)/('Profit and Loss'!G8)</f>
        <v>6.6412883530265292</v>
      </c>
      <c r="J9" s="21">
        <f ca="1">('Cash Flow'!H7+'Profit and Loss'!H8)/('Profit and Loss'!H8)</f>
        <v>7.1302650467509299</v>
      </c>
      <c r="K9" s="21">
        <f ca="1">('Cash Flow'!I7+'Profit and Loss'!I8)/('Profit and Loss'!I8)</f>
        <v>7.6469899483008001</v>
      </c>
      <c r="L9" s="21">
        <f ca="1">('Cash Flow'!J7+'Profit and Loss'!J8)/('Profit and Loss'!J8)</f>
        <v>7.7335982010917972</v>
      </c>
      <c r="M9" s="21">
        <f ca="1">('Cash Flow'!K7+'Profit and Loss'!K8)/('Profit and Loss'!K8)</f>
        <v>7.7511270612449641</v>
      </c>
      <c r="N9" s="21">
        <f ca="1">('Cash Flow'!L7+'Profit and Loss'!L8)/('Profit and Loss'!L8)</f>
        <v>7.8049380891234952</v>
      </c>
      <c r="O9" s="21">
        <f ca="1">('Cash Flow'!M7+'Profit and Loss'!M8)/('Profit and Loss'!M8)</f>
        <v>7.7573893379183438</v>
      </c>
      <c r="P9" s="21">
        <f ca="1">('Cash Flow'!N7+'Profit and Loss'!N8)/('Profit and Loss'!N8)</f>
        <v>7.716403909051313</v>
      </c>
      <c r="Q9" s="21">
        <f ca="1">('Cash Flow'!O7+'Profit and Loss'!O8)/('Profit and Loss'!O8)</f>
        <v>7.6825397303688341</v>
      </c>
      <c r="R9" s="21">
        <f ca="1">('Cash Flow'!P7+'Profit and Loss'!P8)/('Profit and Loss'!P8)</f>
        <v>7.6563291588395472</v>
      </c>
      <c r="S9" s="21">
        <f ca="1">('Cash Flow'!Q7+'Profit and Loss'!Q8)/('Profit and Loss'!Q8)</f>
        <v>7.6382911428402238</v>
      </c>
      <c r="T9" s="21">
        <f ca="1">('Cash Flow'!R7+'Profit and Loss'!R8)/('Profit and Loss'!R8)</f>
        <v>7.6289435735516822</v>
      </c>
      <c r="U9" s="21">
        <f ca="1">('Cash Flow'!S7+'Profit and Loss'!S8)/('Profit and Loss'!S8)</f>
        <v>7.6288159333593244</v>
      </c>
      <c r="V9" s="21">
        <f ca="1">('Cash Flow'!T7+'Profit and Loss'!T8)/('Profit and Loss'!T8)</f>
        <v>7.6384624196606685</v>
      </c>
      <c r="W9" s="21">
        <f ca="1">('Cash Flow'!U7+'Profit and Loss'!U8)/('Profit and Loss'!U8)</f>
        <v>7.6584757942877486</v>
      </c>
      <c r="X9" s="21">
        <f ca="1">('Cash Flow'!V7+'Profit and Loss'!V8)/('Profit and Loss'!V8)</f>
        <v>7.689502286768267</v>
      </c>
      <c r="Y9" s="21">
        <f ca="1">('Cash Flow'!W7+'Profit and Loss'!W8)/('Profit and Loss'!W8)</f>
        <v>7.7322579698487957</v>
      </c>
      <c r="Z9" s="21">
        <f ca="1">('Cash Flow'!X7+'Profit and Loss'!X8)/('Profit and Loss'!X8)</f>
        <v>7.7875471355437789</v>
      </c>
      <c r="AA9" s="21">
        <f ca="1">('Cash Flow'!Y7+'Profit and Loss'!Y8)/('Profit and Loss'!Y8)</f>
        <v>7.7409701284049452</v>
      </c>
      <c r="AB9" s="21">
        <f ca="1">('Cash Flow'!Z7+'Profit and Loss'!Z8)/('Profit and Loss'!Z8)</f>
        <v>7.6824063274986205</v>
      </c>
      <c r="AC9" s="21">
        <f ca="1">('Cash Flow'!AA7+'Profit and Loss'!AA8)/('Profit and Loss'!AA8)</f>
        <v>7.6127240318297291</v>
      </c>
      <c r="AD9" s="21">
        <f ca="1">('Cash Flow'!AB7+'Profit and Loss'!AB8)/('Profit and Loss'!AB8)</f>
        <v>7.532863825442238</v>
      </c>
      <c r="AE9" s="21">
        <f ca="1">('Cash Flow'!AC7+'Profit and Loss'!AC8)/('Profit and Loss'!AC8)</f>
        <v>7.4438157193488079</v>
      </c>
      <c r="AF9" s="21">
        <f ca="1">('Cash Flow'!AD7+'Profit and Loss'!AD8)/('Profit and Loss'!AD8)</f>
        <v>7.3465971998918445</v>
      </c>
      <c r="AG9" s="21">
        <f ca="1">('Cash Flow'!AE7+'Profit and Loss'!AE8)/('Profit and Loss'!AE8)</f>
        <v>7.2422328837322612</v>
      </c>
      <c r="AH9" s="21">
        <f ca="1">('Cash Flow'!AF7+'Profit and Loss'!AF8)/('Profit and Loss'!AF8)</f>
        <v>7.1317363060730719</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158</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57610445.229846656</v>
      </c>
      <c r="D5" s="1">
        <f>Assumptions!E111</f>
        <v>57610445.229846656</v>
      </c>
      <c r="E5" s="1">
        <f>Assumptions!F111</f>
        <v>57610445.229846656</v>
      </c>
      <c r="F5" s="1">
        <f>Assumptions!G111</f>
        <v>57610445.229846656</v>
      </c>
      <c r="G5" s="1">
        <f>Assumptions!H111</f>
        <v>57610445.229846656</v>
      </c>
      <c r="H5" s="1">
        <f>Assumptions!I111</f>
        <v>57610445.229846656</v>
      </c>
      <c r="I5" s="1">
        <f>Assumptions!J111</f>
        <v>57610445.229846656</v>
      </c>
      <c r="J5" s="1">
        <f>Assumptions!K111</f>
        <v>57610445.229846656</v>
      </c>
      <c r="K5" s="1">
        <f>Assumptions!L111</f>
        <v>57610445.229846656</v>
      </c>
      <c r="L5" s="1">
        <f>Assumptions!M111</f>
        <v>57610445.229846656</v>
      </c>
      <c r="M5" s="1">
        <f>Assumptions!N111</f>
        <v>57610445.229846656</v>
      </c>
      <c r="N5" s="1">
        <f>Assumptions!O111</f>
        <v>57610445.229846656</v>
      </c>
      <c r="O5" s="1">
        <f>Assumptions!P111</f>
        <v>57610445.229846656</v>
      </c>
      <c r="P5" s="1">
        <f>Assumptions!Q111</f>
        <v>57610445.229846656</v>
      </c>
      <c r="Q5" s="1">
        <f>Assumptions!R111</f>
        <v>57610445.229846656</v>
      </c>
      <c r="R5" s="1">
        <f>Assumptions!S111</f>
        <v>57610445.229846656</v>
      </c>
      <c r="S5" s="1">
        <f>Assumptions!T111</f>
        <v>57610445.229846656</v>
      </c>
      <c r="T5" s="1">
        <f>Assumptions!U111</f>
        <v>57610445.229846656</v>
      </c>
      <c r="U5" s="1">
        <f>Assumptions!V111</f>
        <v>57610445.229846656</v>
      </c>
      <c r="V5" s="1">
        <f>Assumptions!W111</f>
        <v>57610445.229846656</v>
      </c>
      <c r="W5" s="1">
        <f>Assumptions!X111</f>
        <v>57610445.229846656</v>
      </c>
      <c r="X5" s="1">
        <f>Assumptions!Y111</f>
        <v>57610445.229846656</v>
      </c>
      <c r="Y5" s="1">
        <f>Assumptions!Z111</f>
        <v>57610445.229846656</v>
      </c>
      <c r="Z5" s="1">
        <f>Assumptions!AA111</f>
        <v>57610445.229846656</v>
      </c>
      <c r="AA5" s="1">
        <f>Assumptions!AB111</f>
        <v>57610445.229846656</v>
      </c>
      <c r="AB5" s="1">
        <f>Assumptions!AC111</f>
        <v>57610445.229846656</v>
      </c>
      <c r="AC5" s="1">
        <f>Assumptions!AD111</f>
        <v>57610445.229846656</v>
      </c>
      <c r="AD5" s="1">
        <f>Assumptions!AE111</f>
        <v>57610445.229846656</v>
      </c>
      <c r="AE5" s="1">
        <f>Assumptions!AF111</f>
        <v>57610445.229846656</v>
      </c>
      <c r="AF5" s="1">
        <f>Assumptions!AG111</f>
        <v>57610445.229846656</v>
      </c>
    </row>
    <row r="6" spans="1:32" x14ac:dyDescent="0.35">
      <c r="A6" t="s">
        <v>68</v>
      </c>
      <c r="C6" s="1">
        <f>Assumptions!D113</f>
        <v>31461548.698947929</v>
      </c>
      <c r="D6" s="1">
        <f>Assumptions!E113</f>
        <v>31461548.698947929</v>
      </c>
      <c r="E6" s="1">
        <f>Assumptions!F113</f>
        <v>31461548.698947929</v>
      </c>
      <c r="F6" s="1">
        <f>Assumptions!G113</f>
        <v>31461548.698947929</v>
      </c>
      <c r="G6" s="1">
        <f>Assumptions!H113</f>
        <v>31461548.698947929</v>
      </c>
      <c r="H6" s="1">
        <f>Assumptions!I113</f>
        <v>31461548.698947929</v>
      </c>
      <c r="I6" s="1">
        <f>Assumptions!J113</f>
        <v>31461548.698947929</v>
      </c>
      <c r="J6" s="1">
        <f>Assumptions!K113</f>
        <v>31461548.698947929</v>
      </c>
      <c r="K6" s="1">
        <f>Assumptions!L113</f>
        <v>31461548.698947929</v>
      </c>
      <c r="L6" s="1">
        <f>Assumptions!M113</f>
        <v>31461548.698947929</v>
      </c>
      <c r="M6" s="1">
        <f>Assumptions!N113</f>
        <v>31461548.698947929</v>
      </c>
      <c r="N6" s="1">
        <f>Assumptions!O113</f>
        <v>31461548.698947929</v>
      </c>
      <c r="O6" s="1">
        <f>Assumptions!P113</f>
        <v>31461548.698947929</v>
      </c>
      <c r="P6" s="1">
        <f>Assumptions!Q113</f>
        <v>31461548.698947929</v>
      </c>
      <c r="Q6" s="1">
        <f>Assumptions!R113</f>
        <v>31461548.698947929</v>
      </c>
      <c r="R6" s="1">
        <f>Assumptions!S113</f>
        <v>31461548.698947929</v>
      </c>
      <c r="S6" s="1">
        <f>Assumptions!T113</f>
        <v>31461548.698947929</v>
      </c>
      <c r="T6" s="1">
        <f>Assumptions!U113</f>
        <v>31461548.698947929</v>
      </c>
      <c r="U6" s="1">
        <f>Assumptions!V113</f>
        <v>31461548.698947929</v>
      </c>
      <c r="V6" s="1">
        <f>Assumptions!W113</f>
        <v>31461548.698947929</v>
      </c>
      <c r="W6" s="1">
        <f>Assumptions!X113</f>
        <v>31461548.698947929</v>
      </c>
      <c r="X6" s="1">
        <f>Assumptions!Y113</f>
        <v>31461548.698947929</v>
      </c>
      <c r="Y6" s="1">
        <f>Assumptions!Z113</f>
        <v>31461548.698947929</v>
      </c>
      <c r="Z6" s="1">
        <f>Assumptions!AA113</f>
        <v>31461548.698947929</v>
      </c>
      <c r="AA6" s="1">
        <f>Assumptions!AB113</f>
        <v>31461548.698947929</v>
      </c>
      <c r="AB6" s="1">
        <f>Assumptions!AC113</f>
        <v>31461548.698947929</v>
      </c>
      <c r="AC6" s="1">
        <f>Assumptions!AD113</f>
        <v>31461548.698947929</v>
      </c>
      <c r="AD6" s="1">
        <f>Assumptions!AE113</f>
        <v>31461548.698947929</v>
      </c>
      <c r="AE6" s="1">
        <f>Assumptions!AF113</f>
        <v>31461548.698947929</v>
      </c>
      <c r="AF6" s="1">
        <f>Assumptions!AG113</f>
        <v>31461548.698947929</v>
      </c>
    </row>
    <row r="7" spans="1:32" x14ac:dyDescent="0.35">
      <c r="A7" t="s">
        <v>73</v>
      </c>
      <c r="C7" s="1">
        <f>Assumptions!D120</f>
        <v>755077.16877475032</v>
      </c>
      <c r="D7" s="1">
        <f>Assumptions!E120</f>
        <v>1510154.3375495006</v>
      </c>
      <c r="E7" s="1">
        <f>Assumptions!F120</f>
        <v>2265231.5063242507</v>
      </c>
      <c r="F7" s="1">
        <f>Assumptions!G120</f>
        <v>3020308.6750990013</v>
      </c>
      <c r="G7" s="1">
        <f>Assumptions!H120</f>
        <v>3775385.8438737518</v>
      </c>
      <c r="H7" s="1">
        <f>Assumptions!I120</f>
        <v>4530463.0126485024</v>
      </c>
      <c r="I7" s="1">
        <f>Assumptions!J120</f>
        <v>5285540.1814232524</v>
      </c>
      <c r="J7" s="1">
        <f>Assumptions!K120</f>
        <v>6040617.3501980035</v>
      </c>
      <c r="K7" s="1">
        <f>Assumptions!L120</f>
        <v>6795694.5189727526</v>
      </c>
      <c r="L7" s="1">
        <f>Assumptions!M120</f>
        <v>7550771.6877475036</v>
      </c>
      <c r="M7" s="1">
        <f>Assumptions!N120</f>
        <v>8305848.8565222528</v>
      </c>
      <c r="N7" s="1">
        <f>Assumptions!O120</f>
        <v>9060926.0252970029</v>
      </c>
      <c r="O7" s="1">
        <f>Assumptions!P120</f>
        <v>9816003.1940717511</v>
      </c>
      <c r="P7" s="1">
        <f>Assumptions!Q120</f>
        <v>10571080.362846503</v>
      </c>
      <c r="Q7" s="1">
        <f>Assumptions!R120</f>
        <v>11326157.531621251</v>
      </c>
      <c r="R7" s="1">
        <f>Assumptions!S120</f>
        <v>12081234.700396001</v>
      </c>
      <c r="S7" s="1">
        <f>Assumptions!T120</f>
        <v>12836311.869170751</v>
      </c>
      <c r="T7" s="1">
        <f>Assumptions!U120</f>
        <v>13591389.037945502</v>
      </c>
      <c r="U7" s="1">
        <f>Assumptions!V120</f>
        <v>14346466.20672025</v>
      </c>
      <c r="V7" s="1">
        <f>Assumptions!W120</f>
        <v>15101543.375495002</v>
      </c>
      <c r="W7" s="1">
        <f>Assumptions!X120</f>
        <v>15856620.54426975</v>
      </c>
      <c r="X7" s="1">
        <f>Assumptions!Y120</f>
        <v>16611697.7130445</v>
      </c>
      <c r="Y7" s="1">
        <f>Assumptions!Z120</f>
        <v>17366774.881819252</v>
      </c>
      <c r="Z7" s="1">
        <f>Assumptions!AA120</f>
        <v>18121852.050593998</v>
      </c>
      <c r="AA7" s="1">
        <f>Assumptions!AB120</f>
        <v>18876929.219368748</v>
      </c>
      <c r="AB7" s="1">
        <f>Assumptions!AC120</f>
        <v>19632006.388143498</v>
      </c>
      <c r="AC7" s="1">
        <f>Assumptions!AD120</f>
        <v>20387083.556918249</v>
      </c>
      <c r="AD7" s="1">
        <f>Assumptions!AE120</f>
        <v>21142160.725692999</v>
      </c>
      <c r="AE7" s="1">
        <f>Assumptions!AF120</f>
        <v>21897237.894467752</v>
      </c>
      <c r="AF7" s="1">
        <f>Assumptions!AG120</f>
        <v>22652315.063242499</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59453979.477201752</v>
      </c>
      <c r="D11" s="1">
        <f>D5*D$9</f>
        <v>61356506.820472203</v>
      </c>
      <c r="E11" s="1">
        <f t="shared" ref="D11:AF13" si="1">E5*E$9</f>
        <v>63319915.038727313</v>
      </c>
      <c r="F11" s="1">
        <f t="shared" si="1"/>
        <v>65346152.319966584</v>
      </c>
      <c r="G11" s="1">
        <f t="shared" si="1"/>
        <v>67437229.194205523</v>
      </c>
      <c r="H11" s="1">
        <f t="shared" si="1"/>
        <v>69595220.528420091</v>
      </c>
      <c r="I11" s="1">
        <f t="shared" si="1"/>
        <v>71822267.585329518</v>
      </c>
      <c r="J11" s="1">
        <f t="shared" si="1"/>
        <v>74120580.148060083</v>
      </c>
      <c r="K11" s="1">
        <f t="shared" si="1"/>
        <v>76492438.712798014</v>
      </c>
      <c r="L11" s="1">
        <f t="shared" si="1"/>
        <v>78940196.751607537</v>
      </c>
      <c r="M11" s="1">
        <f t="shared" si="1"/>
        <v>81466283.04765898</v>
      </c>
      <c r="N11" s="1">
        <f t="shared" si="1"/>
        <v>84073204.105184063</v>
      </c>
      <c r="O11" s="1">
        <f t="shared" si="1"/>
        <v>86763546.636549965</v>
      </c>
      <c r="P11" s="1">
        <f t="shared" si="1"/>
        <v>89539980.128919542</v>
      </c>
      <c r="Q11" s="1">
        <f t="shared" si="1"/>
        <v>92405259.493044958</v>
      </c>
      <c r="R11" s="1">
        <f t="shared" si="1"/>
        <v>95362227.796822414</v>
      </c>
      <c r="S11" s="1">
        <f t="shared" si="1"/>
        <v>98413819.086320743</v>
      </c>
      <c r="T11" s="1">
        <f t="shared" si="1"/>
        <v>101563061.29708299</v>
      </c>
      <c r="U11" s="1">
        <f t="shared" si="1"/>
        <v>104813079.25858964</v>
      </c>
      <c r="V11" s="1">
        <f t="shared" si="1"/>
        <v>108167097.79486452</v>
      </c>
      <c r="W11" s="1">
        <f t="shared" si="1"/>
        <v>111628444.92430019</v>
      </c>
      <c r="X11" s="1">
        <f t="shared" si="1"/>
        <v>115200555.16187778</v>
      </c>
      <c r="Y11" s="1">
        <f t="shared" si="1"/>
        <v>118886972.92705786</v>
      </c>
      <c r="Z11" s="1">
        <f t="shared" si="1"/>
        <v>122691356.06072371</v>
      </c>
      <c r="AA11" s="1">
        <f t="shared" si="1"/>
        <v>126617479.45466691</v>
      </c>
      <c r="AB11" s="1">
        <f t="shared" si="1"/>
        <v>130669238.79721622</v>
      </c>
      <c r="AC11" s="1">
        <f t="shared" si="1"/>
        <v>134850654.43872714</v>
      </c>
      <c r="AD11" s="1">
        <f t="shared" si="1"/>
        <v>139165875.38076642</v>
      </c>
      <c r="AE11" s="1">
        <f t="shared" si="1"/>
        <v>143619183.39295095</v>
      </c>
      <c r="AF11" s="1">
        <f t="shared" si="1"/>
        <v>148214997.26152533</v>
      </c>
    </row>
    <row r="12" spans="1:32" x14ac:dyDescent="0.35">
      <c r="A12" t="s">
        <v>71</v>
      </c>
      <c r="C12" s="1">
        <f t="shared" ref="C12:R12" si="2">C6*C$9</f>
        <v>32468318.257314265</v>
      </c>
      <c r="D12" s="1">
        <f t="shared" si="2"/>
        <v>33507304.441548318</v>
      </c>
      <c r="E12" s="1">
        <f t="shared" si="2"/>
        <v>34579538.18367786</v>
      </c>
      <c r="F12" s="1">
        <f t="shared" si="2"/>
        <v>35686083.405555554</v>
      </c>
      <c r="G12" s="1">
        <f t="shared" si="2"/>
        <v>36828038.074533336</v>
      </c>
      <c r="H12" s="1">
        <f t="shared" si="2"/>
        <v>38006535.292918399</v>
      </c>
      <c r="I12" s="1">
        <f t="shared" si="2"/>
        <v>39222744.422291778</v>
      </c>
      <c r="J12" s="1">
        <f t="shared" si="2"/>
        <v>40477872.243805125</v>
      </c>
      <c r="K12" s="1">
        <f t="shared" si="2"/>
        <v>41773164.155606888</v>
      </c>
      <c r="L12" s="1">
        <f t="shared" si="2"/>
        <v>43109905.408586308</v>
      </c>
      <c r="M12" s="1">
        <f t="shared" si="2"/>
        <v>44489422.381661065</v>
      </c>
      <c r="N12" s="1">
        <f t="shared" si="2"/>
        <v>45913083.897874221</v>
      </c>
      <c r="O12" s="1">
        <f t="shared" si="2"/>
        <v>47382302.582606204</v>
      </c>
      <c r="P12" s="1">
        <f t="shared" si="2"/>
        <v>48898536.265249595</v>
      </c>
      <c r="Q12" s="1">
        <f t="shared" si="2"/>
        <v>50463289.425737567</v>
      </c>
      <c r="R12" s="1">
        <f t="shared" si="2"/>
        <v>52078114.687361188</v>
      </c>
      <c r="S12" s="1">
        <f t="shared" si="1"/>
        <v>53744614.357356749</v>
      </c>
      <c r="T12" s="1">
        <f t="shared" si="1"/>
        <v>55464442.016792156</v>
      </c>
      <c r="U12" s="1">
        <f t="shared" si="1"/>
        <v>57239304.1613295</v>
      </c>
      <c r="V12" s="1">
        <f t="shared" si="1"/>
        <v>59070961.894492052</v>
      </c>
      <c r="W12" s="1">
        <f t="shared" si="1"/>
        <v>60961232.675115801</v>
      </c>
      <c r="X12" s="1">
        <f t="shared" si="1"/>
        <v>62911992.1207195</v>
      </c>
      <c r="Y12" s="1">
        <f t="shared" si="1"/>
        <v>64925175.868582517</v>
      </c>
      <c r="Z12" s="1">
        <f t="shared" si="1"/>
        <v>67002781.496377155</v>
      </c>
      <c r="AA12" s="1">
        <f t="shared" si="1"/>
        <v>69146870.50426124</v>
      </c>
      <c r="AB12" s="1">
        <f t="shared" si="1"/>
        <v>71359570.360397592</v>
      </c>
      <c r="AC12" s="1">
        <f t="shared" si="1"/>
        <v>73643076.611930311</v>
      </c>
      <c r="AD12" s="1">
        <f t="shared" si="1"/>
        <v>75999655.063512087</v>
      </c>
      <c r="AE12" s="1">
        <f t="shared" si="1"/>
        <v>78431644.025544479</v>
      </c>
      <c r="AF12" s="1">
        <f t="shared" si="1"/>
        <v>80941456.634361878</v>
      </c>
    </row>
    <row r="13" spans="1:32" x14ac:dyDescent="0.35">
      <c r="A13" t="s">
        <v>74</v>
      </c>
      <c r="C13" s="1">
        <f>C7*C$9</f>
        <v>779239.63817554235</v>
      </c>
      <c r="D13" s="1">
        <f t="shared" si="1"/>
        <v>1608350.6131943194</v>
      </c>
      <c r="E13" s="1">
        <f t="shared" si="1"/>
        <v>2489726.7492248057</v>
      </c>
      <c r="F13" s="1">
        <f t="shared" si="1"/>
        <v>3425864.0069333334</v>
      </c>
      <c r="G13" s="1">
        <f t="shared" si="1"/>
        <v>4419364.5689440006</v>
      </c>
      <c r="H13" s="1">
        <f t="shared" si="1"/>
        <v>5472941.0821802495</v>
      </c>
      <c r="I13" s="1">
        <f t="shared" si="1"/>
        <v>6589421.0629450195</v>
      </c>
      <c r="J13" s="1">
        <f t="shared" si="1"/>
        <v>7771751.4708105857</v>
      </c>
      <c r="K13" s="1">
        <f t="shared" si="1"/>
        <v>9023003.4576110877</v>
      </c>
      <c r="L13" s="1">
        <f t="shared" si="1"/>
        <v>10346377.298060715</v>
      </c>
      <c r="M13" s="1">
        <f t="shared" si="1"/>
        <v>11745207.508758521</v>
      </c>
      <c r="N13" s="1">
        <f t="shared" si="1"/>
        <v>13222968.162587775</v>
      </c>
      <c r="O13" s="1">
        <f t="shared" si="1"/>
        <v>14783278.405773131</v>
      </c>
      <c r="P13" s="1">
        <f t="shared" si="1"/>
        <v>16429908.185123861</v>
      </c>
      <c r="Q13" s="1">
        <f t="shared" si="1"/>
        <v>18166784.19326552</v>
      </c>
      <c r="R13" s="1">
        <f t="shared" si="1"/>
        <v>19997996.03994669</v>
      </c>
      <c r="S13" s="1">
        <f t="shared" si="1"/>
        <v>21927802.657801546</v>
      </c>
      <c r="T13" s="1">
        <f t="shared" si="1"/>
        <v>23960638.951254204</v>
      </c>
      <c r="U13" s="1">
        <f t="shared" si="1"/>
        <v>26101122.697566241</v>
      </c>
      <c r="V13" s="1">
        <f t="shared" si="1"/>
        <v>28354061.709356178</v>
      </c>
      <c r="W13" s="1">
        <f t="shared" si="1"/>
        <v>30724461.268258352</v>
      </c>
      <c r="X13" s="1">
        <f t="shared" si="1"/>
        <v>33217531.839739881</v>
      </c>
      <c r="Y13" s="1">
        <f t="shared" si="1"/>
        <v>35838697.079457536</v>
      </c>
      <c r="Z13" s="1">
        <f t="shared" si="1"/>
        <v>38593602.141913228</v>
      </c>
      <c r="AA13" s="1">
        <f t="shared" si="1"/>
        <v>41488122.302556731</v>
      </c>
      <c r="AB13" s="1">
        <f t="shared" si="1"/>
        <v>44528371.904888079</v>
      </c>
      <c r="AC13" s="1">
        <f t="shared" si="1"/>
        <v>47720713.644530818</v>
      </c>
      <c r="AD13" s="1">
        <f t="shared" si="1"/>
        <v>51071768.202680103</v>
      </c>
      <c r="AE13" s="1">
        <f t="shared" si="1"/>
        <v>54588424.24177894</v>
      </c>
      <c r="AF13" s="1">
        <f t="shared" si="1"/>
        <v>58277848.776740529</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92701537.372691572</v>
      </c>
      <c r="D25" s="40">
        <f>SUM(D11:D13,D18:D23)</f>
        <v>96472161.875214845</v>
      </c>
      <c r="E25" s="40">
        <f t="shared" ref="E25:AF25" si="7">SUM(E11:E13,E18:E23)</f>
        <v>100389179.97162998</v>
      </c>
      <c r="F25" s="40">
        <f t="shared" si="7"/>
        <v>104458099.73245546</v>
      </c>
      <c r="G25" s="40">
        <f t="shared" si="7"/>
        <v>108684631.83768287</v>
      </c>
      <c r="H25" s="40">
        <f t="shared" si="7"/>
        <v>113074696.90351874</v>
      </c>
      <c r="I25" s="40">
        <f t="shared" si="7"/>
        <v>117634433.07056631</v>
      </c>
      <c r="J25" s="40">
        <f t="shared" si="7"/>
        <v>122370203.8626758</v>
      </c>
      <c r="K25" s="40">
        <f t="shared" si="7"/>
        <v>127288606.32601598</v>
      </c>
      <c r="L25" s="40">
        <f t="shared" si="7"/>
        <v>132396479.45825456</v>
      </c>
      <c r="M25" s="40">
        <f t="shared" si="7"/>
        <v>137700912.93807855</v>
      </c>
      <c r="N25" s="40">
        <f t="shared" si="7"/>
        <v>143209256.16564605</v>
      </c>
      <c r="O25" s="40">
        <f t="shared" si="7"/>
        <v>148929127.62492931</v>
      </c>
      <c r="P25" s="40">
        <f t="shared" si="7"/>
        <v>154868424.57929301</v>
      </c>
      <c r="Q25" s="40">
        <f t="shared" si="7"/>
        <v>161035333.11204806</v>
      </c>
      <c r="R25" s="40">
        <f t="shared" si="7"/>
        <v>167438338.52413028</v>
      </c>
      <c r="S25" s="40">
        <f t="shared" si="7"/>
        <v>174086236.10147902</v>
      </c>
      <c r="T25" s="40">
        <f t="shared" si="7"/>
        <v>180988142.26512933</v>
      </c>
      <c r="U25" s="40">
        <f t="shared" si="7"/>
        <v>188153506.11748537</v>
      </c>
      <c r="V25" s="40">
        <f t="shared" si="7"/>
        <v>195592121.39871275</v>
      </c>
      <c r="W25" s="40">
        <f t="shared" si="7"/>
        <v>203314138.86767435</v>
      </c>
      <c r="X25" s="40">
        <f t="shared" si="7"/>
        <v>211330079.12233716</v>
      </c>
      <c r="Y25" s="40">
        <f t="shared" si="7"/>
        <v>219650845.87509793</v>
      </c>
      <c r="Z25" s="40">
        <f t="shared" si="7"/>
        <v>228287739.6990141</v>
      </c>
      <c r="AA25" s="40">
        <f t="shared" si="7"/>
        <v>237252472.26148489</v>
      </c>
      <c r="AB25" s="40">
        <f t="shared" si="7"/>
        <v>246557181.06250191</v>
      </c>
      <c r="AC25" s="40">
        <f t="shared" si="7"/>
        <v>256214444.69518828</v>
      </c>
      <c r="AD25" s="40">
        <f t="shared" si="7"/>
        <v>266237298.64695862</v>
      </c>
      <c r="AE25" s="40">
        <f t="shared" si="7"/>
        <v>276639251.66027439</v>
      </c>
      <c r="AF25" s="40">
        <f t="shared" si="7"/>
        <v>287434302.67262775</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159</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63780292.362548478</v>
      </c>
      <c r="D5" s="59">
        <f>C5*('Price and Financial ratios'!F4+1)*(1+Assumptions!$C$13)</f>
        <v>77703224.682599247</v>
      </c>
      <c r="E5" s="59">
        <f>D5*('Price and Financial ratios'!G4+1)*(1+Assumptions!$C$13)</f>
        <v>90721072.003411502</v>
      </c>
      <c r="F5" s="59">
        <f>E5*('Price and Financial ratios'!H4+1)*(1+Assumptions!$C$13)</f>
        <v>105919837.16335081</v>
      </c>
      <c r="G5" s="59">
        <f>F5*('Price and Financial ratios'!I4+1)*(1+Assumptions!$C$13)</f>
        <v>120438854.91702315</v>
      </c>
      <c r="H5" s="59">
        <f>G5*('Price and Financial ratios'!J4+1)*(1+Assumptions!$C$13)</f>
        <v>136948074.71572277</v>
      </c>
      <c r="I5" s="59">
        <f>H5*('Price and Financial ratios'!K4+1)*(1+Assumptions!$C$13)</f>
        <v>152939584.83413786</v>
      </c>
      <c r="J5" s="59">
        <f>I5*('Price and Financial ratios'!L4+1)*(1+Assumptions!$C$13)</f>
        <v>163034868.18026191</v>
      </c>
      <c r="K5" s="59">
        <f>J5*('Price and Financial ratios'!M4+1)*(1+Assumptions!$C$13)</f>
        <v>172141319.1155991</v>
      </c>
      <c r="L5" s="59">
        <f>K5*('Price and Financial ratios'!N4+1)*(1+Assumptions!$C$13)</f>
        <v>181756418.59687805</v>
      </c>
      <c r="M5" s="59">
        <f>L5*('Price and Financial ratios'!O4+1)*(1+Assumptions!$C$13)</f>
        <v>190063302.83552843</v>
      </c>
      <c r="N5" s="59">
        <f>M5*('Price and Financial ratios'!P4+1)*(1+Assumptions!$C$13)</f>
        <v>198749839.83300316</v>
      </c>
      <c r="O5" s="59">
        <f>N5*('Price and Financial ratios'!Q4+1)*(1+Assumptions!$C$13)</f>
        <v>207833381.00689059</v>
      </c>
      <c r="P5" s="59">
        <f>O5*('Price and Financial ratios'!R4+1)*(1+Assumptions!$C$13)</f>
        <v>217332070.79336074</v>
      </c>
      <c r="Q5" s="59">
        <f>P5*('Price and Financial ratios'!S4+1)*(1+Assumptions!$C$13)</f>
        <v>227264882.8908017</v>
      </c>
      <c r="R5" s="59">
        <f>Q5*('Price and Financial ratios'!T4+1)*(1+Assumptions!$C$13)</f>
        <v>237651658.15991315</v>
      </c>
      <c r="S5" s="59">
        <f>R5*('Price and Financial ratios'!U4+1)*(1+Assumptions!$C$13)</f>
        <v>248513144.25596246</v>
      </c>
      <c r="T5" s="59">
        <f>S5*('Price and Financial ratios'!V4+1)*(1+Assumptions!$C$13)</f>
        <v>259871037.07236922</v>
      </c>
      <c r="U5" s="59">
        <f>T5*('Price and Financial ratios'!W4+1)*(1+Assumptions!$C$13)</f>
        <v>271748024.0784021</v>
      </c>
      <c r="V5" s="59">
        <f>U5*('Price and Financial ratios'!X4+1)*(1+Assumptions!$C$13)</f>
        <v>284167829.63755518</v>
      </c>
      <c r="W5" s="59">
        <f>V5*('Price and Financial ratios'!Y4+1)*(1+Assumptions!$C$13)</f>
        <v>297155262.39712781</v>
      </c>
      <c r="X5" s="59">
        <f>W5*('Price and Financial ratios'!Z4+1)*(1+Assumptions!$C$13)</f>
        <v>310736264.84366876</v>
      </c>
      <c r="Y5" s="59">
        <f>X5*('Price and Financial ratios'!AA4+1)*(1+Assumptions!$C$13)</f>
        <v>322414175.10289705</v>
      </c>
      <c r="Z5" s="59">
        <f>Y5*('Price and Financial ratios'!AB4+1)*(1+Assumptions!$C$13)</f>
        <v>334530957.81909841</v>
      </c>
      <c r="AA5" s="59">
        <f>Z5*('Price and Financial ratios'!AC4+1)*(1+Assumptions!$C$13)</f>
        <v>347103106.44266033</v>
      </c>
      <c r="AB5" s="59">
        <f>AA5*('Price and Financial ratios'!AD4+1)*(1+Assumptions!$C$13)</f>
        <v>360147734.2712661</v>
      </c>
      <c r="AC5" s="59">
        <f>AB5*('Price and Financial ratios'!AE4+1)*(1+Assumptions!$C$13)</f>
        <v>373682597.74463683</v>
      </c>
      <c r="AD5" s="59">
        <f>AC5*('Price and Financial ratios'!AF4+1)*(1+Assumptions!$C$13)</f>
        <v>387726120.61472285</v>
      </c>
      <c r="AE5" s="59">
        <f>AD5*('Price and Financial ratios'!AG4+1)*(1+Assumptions!$C$13)</f>
        <v>402297419.02424514</v>
      </c>
      <c r="AF5" s="59">
        <f>AE5*('Price and Financial ratios'!AH4+1)*(1+Assumptions!$C$13)</f>
        <v>417416327.52772427</v>
      </c>
    </row>
    <row r="6" spans="1:32" s="11" customFormat="1" x14ac:dyDescent="0.35">
      <c r="A6" s="11" t="s">
        <v>20</v>
      </c>
      <c r="C6" s="59">
        <f>C27</f>
        <v>31568438.018751271</v>
      </c>
      <c r="D6" s="59">
        <f t="shared" ref="D6:AF6" si="1">D27</f>
        <v>33725627.281010695</v>
      </c>
      <c r="E6" s="59">
        <f>E27</f>
        <v>35969883.76433564</v>
      </c>
      <c r="F6" s="59">
        <f t="shared" si="1"/>
        <v>38304273.577463664</v>
      </c>
      <c r="G6" s="59">
        <f t="shared" si="1"/>
        <v>40731966.091264941</v>
      </c>
      <c r="H6" s="59">
        <f t="shared" si="1"/>
        <v>43256237.392654441</v>
      </c>
      <c r="I6" s="59">
        <f t="shared" si="1"/>
        <v>45880473.85531868</v>
      </c>
      <c r="J6" s="59">
        <f t="shared" si="1"/>
        <v>48608175.8312819</v>
      </c>
      <c r="K6" s="59">
        <f t="shared" si="1"/>
        <v>51442961.467478633</v>
      </c>
      <c r="L6" s="59">
        <f t="shared" si="1"/>
        <v>54388570.651645608</v>
      </c>
      <c r="M6" s="59">
        <f t="shared" si="1"/>
        <v>57448869.091998145</v>
      </c>
      <c r="N6" s="59">
        <f t="shared" si="1"/>
        <v>60627852.535313159</v>
      </c>
      <c r="O6" s="59">
        <f t="shared" si="1"/>
        <v>63929651.128204435</v>
      </c>
      <c r="P6" s="59">
        <f t="shared" si="1"/>
        <v>67358533.926543176</v>
      </c>
      <c r="Q6" s="59">
        <f t="shared" si="1"/>
        <v>70918913.55815351</v>
      </c>
      <c r="R6" s="59">
        <f t="shared" si="1"/>
        <v>74615351.044091836</v>
      </c>
      <c r="S6" s="59">
        <f t="shared" si="1"/>
        <v>78452560.784008145</v>
      </c>
      <c r="T6" s="59">
        <f t="shared" si="1"/>
        <v>82435415.711279958</v>
      </c>
      <c r="U6" s="59">
        <f t="shared" si="1"/>
        <v>86568952.623812854</v>
      </c>
      <c r="V6" s="59">
        <f t="shared" si="1"/>
        <v>90858377.696607932</v>
      </c>
      <c r="W6" s="59">
        <f t="shared" si="1"/>
        <v>95309072.182414696</v>
      </c>
      <c r="X6" s="59">
        <f t="shared" si="1"/>
        <v>99926598.307009771</v>
      </c>
      <c r="Y6" s="59">
        <f t="shared" si="1"/>
        <v>104716705.36587526</v>
      </c>
      <c r="Z6" s="59">
        <f t="shared" si="1"/>
        <v>109685336.02928936</v>
      </c>
      <c r="AA6" s="59">
        <f t="shared" si="1"/>
        <v>114838632.86309245</v>
      </c>
      <c r="AB6" s="59">
        <f t="shared" si="1"/>
        <v>120182945.07264781</v>
      </c>
      <c r="AC6" s="59">
        <f t="shared" si="1"/>
        <v>125724835.47778474</v>
      </c>
      <c r="AD6" s="59">
        <f t="shared" si="1"/>
        <v>131471087.72678807</v>
      </c>
      <c r="AE6" s="59">
        <f t="shared" si="1"/>
        <v>137428713.75778514</v>
      </c>
      <c r="AF6" s="59">
        <f t="shared" si="1"/>
        <v>143604961.51617759</v>
      </c>
    </row>
    <row r="7" spans="1:32" x14ac:dyDescent="0.35">
      <c r="A7" t="s">
        <v>21</v>
      </c>
      <c r="C7" s="4">
        <f>Depreciation!C8+Depreciation!C9</f>
        <v>60233219.115377292</v>
      </c>
      <c r="D7" s="4">
        <f>Depreciation!D8+Depreciation!D9</f>
        <v>62964857.43366652</v>
      </c>
      <c r="E7" s="4">
        <f>Depreciation!E8+Depreciation!E9</f>
        <v>65809641.787952118</v>
      </c>
      <c r="F7" s="4">
        <f>Depreciation!F8+Depreciation!F9</f>
        <v>68772016.326899916</v>
      </c>
      <c r="G7" s="4">
        <f>Depreciation!G8+Depreciation!G9</f>
        <v>71856593.76314953</v>
      </c>
      <c r="H7" s="4">
        <f>Depreciation!H8+Depreciation!H9</f>
        <v>75068161.610600337</v>
      </c>
      <c r="I7" s="4">
        <f>Depreciation!I8+Depreciation!I9</f>
        <v>78411688.648274541</v>
      </c>
      <c r="J7" s="4">
        <f>Depreciation!J8+Depreciation!J9</f>
        <v>81892331.618870676</v>
      </c>
      <c r="K7" s="4">
        <f>Depreciation!K8+Depreciation!K9</f>
        <v>85515442.170409098</v>
      </c>
      <c r="L7" s="4">
        <f>Depreciation!L8+Depreciation!L9</f>
        <v>89286574.049668252</v>
      </c>
      <c r="M7" s="4">
        <f>Depreciation!M8+Depreciation!M9</f>
        <v>93211490.556417495</v>
      </c>
      <c r="N7" s="4">
        <f>Depreciation!N8+Depreciation!N9</f>
        <v>97296172.26777184</v>
      </c>
      <c r="O7" s="4">
        <f>Depreciation!O8+Depreciation!O9</f>
        <v>101546825.0423231</v>
      </c>
      <c r="P7" s="4">
        <f>Depreciation!P8+Depreciation!P9</f>
        <v>105969888.3140434</v>
      </c>
      <c r="Q7" s="4">
        <f>Depreciation!Q8+Depreciation!Q9</f>
        <v>110572043.68631047</v>
      </c>
      <c r="R7" s="4">
        <f>Depreciation!R8+Depreciation!R9</f>
        <v>115360223.8367691</v>
      </c>
      <c r="S7" s="4">
        <f>Depreciation!S8+Depreciation!S9</f>
        <v>120341621.7441223</v>
      </c>
      <c r="T7" s="4">
        <f>Depreciation!T8+Depreciation!T9</f>
        <v>125523700.24833719</v>
      </c>
      <c r="U7" s="4">
        <f>Depreciation!U8+Depreciation!U9</f>
        <v>130914201.95615588</v>
      </c>
      <c r="V7" s="4">
        <f>Depreciation!V8+Depreciation!V9</f>
        <v>136521159.50422069</v>
      </c>
      <c r="W7" s="4">
        <f>Depreciation!W8+Depreciation!W9</f>
        <v>142352906.19255856</v>
      </c>
      <c r="X7" s="4">
        <f>Depreciation!X8+Depreciation!X9</f>
        <v>148418087.00161767</v>
      </c>
      <c r="Y7" s="4">
        <f>Depreciation!Y8+Depreciation!Y9</f>
        <v>154725670.00651538</v>
      </c>
      <c r="Z7" s="4">
        <f>Depreciation!Z8+Depreciation!Z9</f>
        <v>161284958.20263693</v>
      </c>
      <c r="AA7" s="4">
        <f>Depreciation!AA8+Depreciation!AA9</f>
        <v>168105601.75722364</v>
      </c>
      <c r="AB7" s="4">
        <f>Depreciation!AB8+Depreciation!AB9</f>
        <v>175197610.7021043</v>
      </c>
      <c r="AC7" s="4">
        <f>Depreciation!AC8+Depreciation!AC9</f>
        <v>182571368.08325797</v>
      </c>
      <c r="AD7" s="4">
        <f>Depreciation!AD8+Depreciation!AD9</f>
        <v>190237643.58344653</v>
      </c>
      <c r="AE7" s="4">
        <f>Depreciation!AE8+Depreciation!AE9</f>
        <v>198207607.63472989</v>
      </c>
      <c r="AF7" s="4">
        <f>Depreciation!AF8+Depreciation!AF9</f>
        <v>206492846.03826585</v>
      </c>
    </row>
    <row r="8" spans="1:32" x14ac:dyDescent="0.35">
      <c r="A8" t="s">
        <v>6</v>
      </c>
      <c r="C8" s="4">
        <f ca="1">'Debt worksheet'!C8</f>
        <v>4916703.6048821798</v>
      </c>
      <c r="D8" s="4">
        <f ca="1">'Debt worksheet'!D8</f>
        <v>6998977.576641554</v>
      </c>
      <c r="E8" s="4">
        <f ca="1">'Debt worksheet'!E8</f>
        <v>8908090.453140879</v>
      </c>
      <c r="F8" s="4">
        <f ca="1">'Debt worksheet'!F8</f>
        <v>10567439.604425671</v>
      </c>
      <c r="G8" s="4">
        <f ca="1">'Debt worksheet'!G8</f>
        <v>12001720.83921558</v>
      </c>
      <c r="H8" s="4">
        <f ca="1">'Debt worksheet'!H8</f>
        <v>13140021.68345217</v>
      </c>
      <c r="I8" s="4">
        <f ca="1">'Debt worksheet'!I8</f>
        <v>14000163.685661472</v>
      </c>
      <c r="J8" s="4">
        <f ca="1">'Debt worksheet'!J8</f>
        <v>14796048.278384274</v>
      </c>
      <c r="K8" s="4">
        <f ca="1">'Debt worksheet'!K8</f>
        <v>15571717.079907374</v>
      </c>
      <c r="L8" s="4">
        <f ca="1">'Debt worksheet'!L8</f>
        <v>16318879.982241604</v>
      </c>
      <c r="M8" s="4">
        <f ca="1">'Debt worksheet'!M8</f>
        <v>17095240.159638129</v>
      </c>
      <c r="N8" s="4">
        <f ca="1">'Debt worksheet'!N8</f>
        <v>17899787.119188178</v>
      </c>
      <c r="O8" s="4">
        <f ca="1">'Debt worksheet'!O8</f>
        <v>18731270.508089833</v>
      </c>
      <c r="P8" s="4">
        <f ca="1">'Debt worksheet'!P8</f>
        <v>19588177.801063705</v>
      </c>
      <c r="Q8" s="4">
        <f ca="1">'Debt worksheet'!Q8</f>
        <v>20468710.397246324</v>
      </c>
      <c r="R8" s="4">
        <f ca="1">'Debt worksheet'!R8</f>
        <v>21370758.027499627</v>
      </c>
      <c r="S8" s="4">
        <f ca="1">'Debt worksheet'!S8</f>
        <v>22291871.367391702</v>
      </c>
      <c r="T8" s="4">
        <f ca="1">'Debt worksheet'!T8</f>
        <v>23229232.745112028</v>
      </c>
      <c r="U8" s="4">
        <f ca="1">'Debt worksheet'!U8</f>
        <v>24179624.827267762</v>
      </c>
      <c r="V8" s="4">
        <f ca="1">'Debt worksheet'!V8</f>
        <v>25139397.158849284</v>
      </c>
      <c r="W8" s="4">
        <f ca="1">'Debt worksheet'!W8</f>
        <v>26104430.426635157</v>
      </c>
      <c r="X8" s="4">
        <f ca="1">'Debt worksheet'!X8</f>
        <v>27070098.30791077</v>
      </c>
      <c r="Y8" s="4">
        <f ca="1">'Debt worksheet'!Y8</f>
        <v>28122763.184190087</v>
      </c>
      <c r="Z8" s="4">
        <f ca="1">'Debt worksheet'!Z8</f>
        <v>29267603.431100789</v>
      </c>
      <c r="AA8" s="4">
        <f ca="1">'Debt worksheet'!AA8</f>
        <v>30510034.595821645</v>
      </c>
      <c r="AB8" s="4">
        <f ca="1">'Debt worksheet'!AB8</f>
        <v>31855718.457054477</v>
      </c>
      <c r="AC8" s="4">
        <f ca="1">'Debt worksheet'!AC8</f>
        <v>33310572.375177454</v>
      </c>
      <c r="AD8" s="4">
        <f ca="1">'Debt worksheet'!AD8</f>
        <v>34880778.939630352</v>
      </c>
      <c r="AE8" s="4">
        <f ca="1">'Debt worksheet'!AE8</f>
        <v>36572795.920636117</v>
      </c>
      <c r="AF8" s="4">
        <f ca="1">'Debt worksheet'!AF8</f>
        <v>38393366.532408245</v>
      </c>
    </row>
    <row r="9" spans="1:32" x14ac:dyDescent="0.35">
      <c r="A9" t="s">
        <v>22</v>
      </c>
      <c r="C9" s="4">
        <f ca="1">C5-C6-C7-C8</f>
        <v>-32938068.376462266</v>
      </c>
      <c r="D9" s="4">
        <f t="shared" ref="D9:AF9" ca="1" si="2">D5-D6-D7-D8</f>
        <v>-25986237.60871952</v>
      </c>
      <c r="E9" s="4">
        <f t="shared" ca="1" si="2"/>
        <v>-19966544.002017133</v>
      </c>
      <c r="F9" s="4">
        <f t="shared" ca="1" si="2"/>
        <v>-11723892.345438452</v>
      </c>
      <c r="G9" s="4">
        <f t="shared" ca="1" si="2"/>
        <v>-4151425.7766068913</v>
      </c>
      <c r="H9" s="4">
        <f t="shared" ca="1" si="2"/>
        <v>5483654.029015813</v>
      </c>
      <c r="I9" s="4">
        <f t="shared" ca="1" si="2"/>
        <v>14647258.644883163</v>
      </c>
      <c r="J9" s="4">
        <f t="shared" ca="1" si="2"/>
        <v>17738312.451725058</v>
      </c>
      <c r="K9" s="4">
        <f t="shared" ca="1" si="2"/>
        <v>19611198.397803992</v>
      </c>
      <c r="L9" s="4">
        <f t="shared" ca="1" si="2"/>
        <v>21762393.913322594</v>
      </c>
      <c r="M9" s="4">
        <f t="shared" ca="1" si="2"/>
        <v>22307703.027474664</v>
      </c>
      <c r="N9" s="4">
        <f t="shared" ca="1" si="2"/>
        <v>22926027.910729986</v>
      </c>
      <c r="O9" s="4">
        <f t="shared" ca="1" si="2"/>
        <v>23625634.328273229</v>
      </c>
      <c r="P9" s="4">
        <f t="shared" ca="1" si="2"/>
        <v>24415470.751710456</v>
      </c>
      <c r="Q9" s="4">
        <f t="shared" ca="1" si="2"/>
        <v>25305215.249091394</v>
      </c>
      <c r="R9" s="4">
        <f t="shared" ca="1" si="2"/>
        <v>26305325.251552571</v>
      </c>
      <c r="S9" s="4">
        <f t="shared" ca="1" si="2"/>
        <v>27427090.360440318</v>
      </c>
      <c r="T9" s="4">
        <f t="shared" ca="1" si="2"/>
        <v>28682688.367640037</v>
      </c>
      <c r="U9" s="4">
        <f t="shared" ca="1" si="2"/>
        <v>30085244.671165604</v>
      </c>
      <c r="V9" s="4">
        <f t="shared" ca="1" si="2"/>
        <v>31648895.277877256</v>
      </c>
      <c r="W9" s="4">
        <f t="shared" ca="1" si="2"/>
        <v>33388853.595519383</v>
      </c>
      <c r="X9" s="4">
        <f t="shared" ca="1" si="2"/>
        <v>35321481.227130562</v>
      </c>
      <c r="Y9" s="4">
        <f t="shared" ca="1" si="2"/>
        <v>34849036.546316333</v>
      </c>
      <c r="Z9" s="4">
        <f t="shared" ca="1" si="2"/>
        <v>34293060.156071335</v>
      </c>
      <c r="AA9" s="4">
        <f t="shared" ca="1" si="2"/>
        <v>33648837.226522595</v>
      </c>
      <c r="AB9" s="4">
        <f t="shared" ca="1" si="2"/>
        <v>32911460.039459515</v>
      </c>
      <c r="AC9" s="4">
        <f t="shared" ca="1" si="2"/>
        <v>32075821.808416653</v>
      </c>
      <c r="AD9" s="4">
        <f t="shared" ca="1" si="2"/>
        <v>31136610.36485789</v>
      </c>
      <c r="AE9" s="4">
        <f t="shared" ca="1" si="2"/>
        <v>30088301.711093992</v>
      </c>
      <c r="AF9" s="4">
        <f t="shared" ca="1" si="2"/>
        <v>28925153.440872572</v>
      </c>
    </row>
    <row r="12" spans="1:32" x14ac:dyDescent="0.35">
      <c r="A12" t="s">
        <v>79</v>
      </c>
      <c r="C12" s="2">
        <f>Assumptions!$C$25*Assumptions!D9*Assumptions!D13</f>
        <v>30603826.935641527</v>
      </c>
      <c r="D12" s="2">
        <f>Assumptions!$C$25*Assumptions!E9*Assumptions!E13</f>
        <v>31753962.22713438</v>
      </c>
      <c r="E12" s="2">
        <f>Assumptions!$C$25*Assumptions!F9*Assumptions!F13</f>
        <v>32947321.236743249</v>
      </c>
      <c r="F12" s="2">
        <f>Assumptions!$C$25*Assumptions!G9*Assumptions!G13</f>
        <v>34185528.373197764</v>
      </c>
      <c r="G12" s="2">
        <f>Assumptions!$C$25*Assumptions!H9*Assumptions!H13</f>
        <v>35470269.092815258</v>
      </c>
      <c r="H12" s="2">
        <f>Assumptions!$C$25*Assumptions!I9*Assumptions!I13</f>
        <v>36803292.193755746</v>
      </c>
      <c r="I12" s="2">
        <f>Assumptions!$C$25*Assumptions!J9*Assumptions!J13</f>
        <v>38186412.196498469</v>
      </c>
      <c r="J12" s="2">
        <f>Assumptions!$C$25*Assumptions!K9*Assumptions!K13</f>
        <v>39621511.813779891</v>
      </c>
      <c r="K12" s="2">
        <f>Assumptions!$C$25*Assumptions!L9*Assumptions!L13</f>
        <v>41110544.513355695</v>
      </c>
      <c r="L12" s="2">
        <f>Assumptions!$C$25*Assumptions!M9*Assumptions!M13</f>
        <v>42655537.177074902</v>
      </c>
      <c r="M12" s="2">
        <f>Assumptions!$C$25*Assumptions!N9*Assumptions!N13</f>
        <v>44258592.859885752</v>
      </c>
      <c r="N12" s="2">
        <f>Assumptions!$C$25*Assumptions!O9*Assumptions!O13</f>
        <v>45921893.652528949</v>
      </c>
      <c r="O12" s="2">
        <f>Assumptions!$C$25*Assumptions!P9*Assumptions!P13</f>
        <v>47647703.651815183</v>
      </c>
      <c r="P12" s="2">
        <f>Assumptions!$C$25*Assumptions!Q9*Assumptions!Q13</f>
        <v>49438372.042529531</v>
      </c>
      <c r="Q12" s="2">
        <f>Assumptions!$C$25*Assumptions!R9*Assumptions!R13</f>
        <v>51296336.295158558</v>
      </c>
      <c r="R12" s="2">
        <f>Assumptions!$C$25*Assumptions!S9*Assumptions!S13</f>
        <v>53224125.483792283</v>
      </c>
      <c r="S12" s="2">
        <f>Assumptions!$C$25*Assumptions!T9*Assumptions!T13</f>
        <v>55224363.728717864</v>
      </c>
      <c r="T12" s="2">
        <f>Assumptions!$C$25*Assumptions!U9*Assumptions!U13</f>
        <v>57299773.768390559</v>
      </c>
      <c r="U12" s="2">
        <f>Assumptions!$C$25*Assumptions!V9*Assumptions!V13</f>
        <v>59453180.665644705</v>
      </c>
      <c r="V12" s="2">
        <f>Assumptions!$C$25*Assumptions!W9*Assumptions!W13</f>
        <v>61687515.653189145</v>
      </c>
      <c r="W12" s="2">
        <f>Assumptions!$C$25*Assumptions!X9*Assumptions!X13</f>
        <v>64005820.123622</v>
      </c>
      <c r="X12" s="2">
        <f>Assumptions!$C$25*Assumptions!Y9*Assumptions!Y13</f>
        <v>66411249.769395731</v>
      </c>
      <c r="Y12" s="2">
        <f>Assumptions!$C$25*Assumptions!Z9*Assumptions!Z13</f>
        <v>68907078.878368184</v>
      </c>
      <c r="Z12" s="2">
        <f>Assumptions!$C$25*Assumptions!AA9*Assumptions!AA13</f>
        <v>71496704.790786162</v>
      </c>
      <c r="AA12" s="2">
        <f>Assumptions!$C$25*Assumptions!AB9*Assumptions!AB13</f>
        <v>74183652.523769259</v>
      </c>
      <c r="AB12" s="2">
        <f>Assumptions!$C$25*Assumptions!AC9*Assumptions!AC13</f>
        <v>76971579.569587976</v>
      </c>
      <c r="AC12" s="2">
        <f>Assumptions!$C$25*Assumptions!AD9*Assumptions!AD13</f>
        <v>79864280.87426807</v>
      </c>
      <c r="AD12" s="2">
        <f>Assumptions!$C$25*Assumptions!AE9*Assumptions!AE13</f>
        <v>82865694.00329797</v>
      </c>
      <c r="AE12" s="2">
        <f>Assumptions!$C$25*Assumptions!AF9*Assumptions!AF13</f>
        <v>85979904.501470864</v>
      </c>
      <c r="AF12" s="2">
        <f>Assumptions!$C$25*Assumptions!AG9*Assumptions!AG13</f>
        <v>89211151.454157054</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964611.08310974354</v>
      </c>
      <c r="D14" s="5">
        <f>Assumptions!E122*Assumptions!E9</f>
        <v>1971665.0538763155</v>
      </c>
      <c r="E14" s="5">
        <f>Assumptions!F122*Assumptions!F9</f>
        <v>3022562.5275923917</v>
      </c>
      <c r="F14" s="5">
        <f>Assumptions!G122*Assumptions!G9</f>
        <v>4118745.2042658995</v>
      </c>
      <c r="G14" s="5">
        <f>Assumptions!H122*Assumptions!H9</f>
        <v>5261696.998449686</v>
      </c>
      <c r="H14" s="5">
        <f>Assumptions!I122*Assumptions!I9</f>
        <v>6452945.1988986954</v>
      </c>
      <c r="I14" s="5">
        <f>Assumptions!J122*Assumptions!J9</f>
        <v>7694061.658820211</v>
      </c>
      <c r="J14" s="5">
        <f>Assumptions!K122*Assumptions!K9</f>
        <v>8986664.017502008</v>
      </c>
      <c r="K14" s="5">
        <f>Assumptions!L122*Assumptions!L9</f>
        <v>10332416.954122934</v>
      </c>
      <c r="L14" s="5">
        <f>Assumptions!M122*Assumptions!M9</f>
        <v>11733033.474570708</v>
      </c>
      <c r="M14" s="5">
        <f>Assumptions!N122*Assumptions!N9</f>
        <v>13190276.232112391</v>
      </c>
      <c r="N14" s="5">
        <f>Assumptions!O122*Assumptions!O9</f>
        <v>14705958.882784214</v>
      </c>
      <c r="O14" s="5">
        <f>Assumptions!P122*Assumptions!P9</f>
        <v>16281947.476389255</v>
      </c>
      <c r="P14" s="5">
        <f>Assumptions!Q122*Assumptions!Q9</f>
        <v>17920161.884013645</v>
      </c>
      <c r="Q14" s="5">
        <f>Assumptions!R122*Assumptions!R9</f>
        <v>19622577.262994945</v>
      </c>
      <c r="R14" s="5">
        <f>Assumptions!S122*Assumptions!S9</f>
        <v>21391225.560299557</v>
      </c>
      <c r="S14" s="5">
        <f>Assumptions!T122*Assumptions!T9</f>
        <v>23228197.055290282</v>
      </c>
      <c r="T14" s="5">
        <f>Assumptions!U122*Assumptions!U9</f>
        <v>25135641.942889407</v>
      </c>
      <c r="U14" s="5">
        <f>Assumptions!V122*Assumptions!V9</f>
        <v>27115771.958168145</v>
      </c>
      <c r="V14" s="5">
        <f>Assumptions!W122*Assumptions!W9</f>
        <v>29170862.043418784</v>
      </c>
      <c r="W14" s="5">
        <f>Assumptions!X122*Assumptions!X9</f>
        <v>31303252.058792695</v>
      </c>
      <c r="X14" s="5">
        <f>Assumptions!Y122*Assumptions!Y9</f>
        <v>33515348.537614044</v>
      </c>
      <c r="Y14" s="5">
        <f>Assumptions!Z122*Assumptions!Z9</f>
        <v>35809626.487507075</v>
      </c>
      <c r="Z14" s="5">
        <f>Assumptions!AA122*Assumptions!AA9</f>
        <v>38188631.238503203</v>
      </c>
      <c r="AA14" s="5">
        <f>Assumptions!AB122*Assumptions!AB9</f>
        <v>40654980.3393232</v>
      </c>
      <c r="AB14" s="5">
        <f>Assumptions!AC122*Assumptions!AC9</f>
        <v>43211365.503059842</v>
      </c>
      <c r="AC14" s="5">
        <f>Assumptions!AD122*Assumptions!AD9</f>
        <v>45860554.603516668</v>
      </c>
      <c r="AD14" s="5">
        <f>Assumptions!AE122*Assumptions!AE9</f>
        <v>48605393.723490112</v>
      </c>
      <c r="AE14" s="5">
        <f>Assumptions!AF122*Assumptions!AF9</f>
        <v>51448809.256314278</v>
      </c>
      <c r="AF14" s="5">
        <f>Assumptions!AG122*Assumptions!AG9</f>
        <v>54393810.06202054</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189</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31568438.018751271</v>
      </c>
      <c r="D27" s="2">
        <f t="shared" ref="D27:AF27" si="8">D12+D13+D14+D19+D20+D22+D24+D25</f>
        <v>33725627.281010695</v>
      </c>
      <c r="E27" s="2">
        <f t="shared" si="8"/>
        <v>35969883.76433564</v>
      </c>
      <c r="F27" s="2">
        <f t="shared" si="8"/>
        <v>38304273.577463664</v>
      </c>
      <c r="G27" s="2">
        <f t="shared" si="8"/>
        <v>40731966.091264941</v>
      </c>
      <c r="H27" s="2">
        <f t="shared" si="8"/>
        <v>43256237.392654441</v>
      </c>
      <c r="I27" s="2">
        <f t="shared" si="8"/>
        <v>45880473.85531868</v>
      </c>
      <c r="J27" s="2">
        <f t="shared" si="8"/>
        <v>48608175.8312819</v>
      </c>
      <c r="K27" s="2">
        <f t="shared" si="8"/>
        <v>51442961.467478633</v>
      </c>
      <c r="L27" s="2">
        <f t="shared" si="8"/>
        <v>54388570.651645608</v>
      </c>
      <c r="M27" s="2">
        <f t="shared" si="8"/>
        <v>57448869.091998145</v>
      </c>
      <c r="N27" s="2">
        <f t="shared" si="8"/>
        <v>60627852.535313159</v>
      </c>
      <c r="O27" s="2">
        <f t="shared" si="8"/>
        <v>63929651.128204435</v>
      </c>
      <c r="P27" s="2">
        <f t="shared" si="8"/>
        <v>67358533.926543176</v>
      </c>
      <c r="Q27" s="2">
        <f t="shared" si="8"/>
        <v>70918913.55815351</v>
      </c>
      <c r="R27" s="2">
        <f t="shared" si="8"/>
        <v>74615351.044091836</v>
      </c>
      <c r="S27" s="2">
        <f t="shared" si="8"/>
        <v>78452560.784008145</v>
      </c>
      <c r="T27" s="2">
        <f t="shared" si="8"/>
        <v>82435415.711279958</v>
      </c>
      <c r="U27" s="2">
        <f t="shared" si="8"/>
        <v>86568952.623812854</v>
      </c>
      <c r="V27" s="2">
        <f t="shared" si="8"/>
        <v>90858377.696607932</v>
      </c>
      <c r="W27" s="2">
        <f t="shared" si="8"/>
        <v>95309072.182414696</v>
      </c>
      <c r="X27" s="2">
        <f t="shared" si="8"/>
        <v>99926598.307009771</v>
      </c>
      <c r="Y27" s="2">
        <f t="shared" si="8"/>
        <v>104716705.36587526</v>
      </c>
      <c r="Z27" s="2">
        <f t="shared" si="8"/>
        <v>109685336.02928936</v>
      </c>
      <c r="AA27" s="2">
        <f t="shared" si="8"/>
        <v>114838632.86309245</v>
      </c>
      <c r="AB27" s="2">
        <f t="shared" si="8"/>
        <v>120182945.07264781</v>
      </c>
      <c r="AC27" s="2">
        <f t="shared" si="8"/>
        <v>125724835.47778474</v>
      </c>
      <c r="AD27" s="2">
        <f t="shared" si="8"/>
        <v>131471087.72678807</v>
      </c>
      <c r="AE27" s="2">
        <f t="shared" si="8"/>
        <v>137428713.75778514</v>
      </c>
      <c r="AF27" s="2">
        <f t="shared" si="8"/>
        <v>143604961.51617759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3W2DU3RAJ5R2-1900874439-802</_dlc_DocId>
    <_dlc_DocIdUrl xmlns="f54e2983-00ce-40fc-8108-18f351fc47bf">
      <Url>https://dia.cohesion.net.nz/Sites/LGV/TWRP/CAE/_layouts/15/DocIdRedir.aspx?ID=3W2DU3RAJ5R2-1900874439-802</Url>
      <Description>3W2DU3RAJ5R2-1900874439-802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B831DFCD-A9F2-4072-A5BB-8BFADB98AA95}"/>
</file>

<file path=customXml/itemProps3.xml><?xml version="1.0" encoding="utf-8"?>
<ds:datastoreItem xmlns:ds="http://schemas.openxmlformats.org/officeDocument/2006/customXml" ds:itemID="{CBCC2D2A-763C-48F8-A3E5-6B0A81386C39}">
  <ds:schemaRefs>
    <ds:schemaRef ds:uri="http://schemas.openxmlformats.org/package/2006/metadata/core-properties"/>
    <ds:schemaRef ds:uri="http://www.w3.org/XML/1998/namespace"/>
    <ds:schemaRef ds:uri="http://purl.org/dc/elements/1.1/"/>
    <ds:schemaRef ds:uri="08a23fc5-e034-477c-ac83-93bc1440f322"/>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65b6d800-2dda-48d6-88d8-9e2b35e6f7ea"/>
    <ds:schemaRef ds:uri="http://schemas.microsoft.com/sharepoint/v3"/>
  </ds:schemaRefs>
</ds:datastoreItem>
</file>

<file path=customXml/itemProps4.xml><?xml version="1.0" encoding="utf-8"?>
<ds:datastoreItem xmlns:ds="http://schemas.openxmlformats.org/officeDocument/2006/customXml" ds:itemID="{876B845A-A284-48BF-AE48-AD66098E9E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2021-07-01T15:09:47Z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ba311f0e-49f2-4da1-ac3f-e04183dea138</vt:lpwstr>
  </property>
</Properties>
</file>