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205" documentId="8_{D4D370DF-069D-463B-A553-EBFF8196DB23}" xr6:coauthVersionLast="47" xr6:coauthVersionMax="47" xr10:uidLastSave="{48614F24-D18D-4C41-B5A2-6C7D23ACC627}"/>
  <bookViews>
    <workbookView xWindow="1290" yWindow="-110" windowWidth="37220" windowHeight="2182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1" l="1"/>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<sst xmlns="http://schemas.openxmlformats.org/spreadsheetml/2006/main" count="276" uniqueCount="203">
  <si>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</si>
  <si>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</si>
  <si>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</si>
  <si>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</si>
  <si>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</si>
  <si>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</si>
  <si>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</si>
  <si>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</si>
  <si>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</si>
  <si>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</si>
  <si>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</si>
  <si>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</si>
  <si>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</si>
  <si>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</si>
  <si>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</si>
  <si>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</si>
  <si>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</si>
  <si>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</si>
  <si>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</si>
  <si>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</si>
  <si>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</si>
  <si>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</si>
  <si>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</si>
  <si>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</si>
  <si>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</si>
  <si>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</si>
  <si>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</si>
  <si>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</si>
  <si>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</si>
  <si>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</si>
  <si>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</si>
  <si>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</si>
  <si>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</si>
  <si>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</si>
  <si>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</si>
  <si>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</si>
  <si>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</si>
  <si>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</si>
  <si>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</si>
  <si>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</si>
  <si>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</si>
  <si>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</si>
  <si>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</si>
  <si>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</si>
  <si>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</si>
  <si>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</si>
  <si>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</si>
  <si>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</si>
  <si>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</si>
  <si>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</si>
  <si>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</si>
  <si>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</si>
  <si>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</si>
  <si>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</si>
  <si>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</si>
  <si>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</si>
  <si>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</si>
  <si>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</si>
  <si>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</si>
  <si>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</si>
  <si>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</si>
  <si>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</si>
  <si>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</si>
  <si>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</si>
  <si>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</si>
  <si>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</si>
  <si>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</si>
  <si>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</si>
  <si>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</si>
  <si>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</si>
  <si>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</si>
  <si>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</si>
  <si>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</si>
  <si>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</si>
  <si>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</si>
  <si>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</si>
  <si>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</si>
  <si>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</si>
  <si>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</si>
  <si>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</si>
  <si>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</si>
  <si>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</si>
  <si>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</si>
  <si>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</si>
  <si>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</si>
  <si>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</si>
  <si>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</si>
  <si>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</si>
  <si>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</si>
  <si>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</si>
  <si>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</si>
  <si>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</si>
  <si>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</si>
  <si>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</si>
  <si>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</si>
  <si>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</si>
  <si>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</si>
  <si>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</si>
  <si>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</si>
  <si>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</si>
  <si>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</si>
  <si>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</si>
  <si>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</si>
  <si>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</si>
  <si>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</si>
  <si>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</si>
  <si>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</si>
  <si>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</si>
  <si>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</si>
  <si>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</si>
  <si>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</si>
  <si>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</si>
  <si>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</si>
  <si>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</si>
  <si>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</si>
  <si>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</si>
  <si>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</si>
  <si>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</si>
  <si>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</si>
  <si>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</si>
  <si>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</si>
  <si>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</si>
  <si>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</si>
  <si>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</si>
  <si>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</si>
  <si>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</si>
  <si>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</si>
  <si>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</si>
  <si>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</si>
  <si>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</si>
  <si>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</si>
  <si>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</si>
  <si>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</si>
  <si>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</si>
  <si>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</si>
  <si>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</si>
  <si>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</si>
  <si>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</si>
  <si>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</si>
  <si>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</si>
  <si>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</si>
  <si>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</si>
  <si>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</si>
  <si>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</si>
  <si>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</si>
  <si>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</si>
  <si>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</si>
  <si>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</si>
  <si>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</si>
  <si>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</si>
  <si>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</si>
  <si>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</si>
  <si>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</si>
  <si>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</si>
  <si>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</si>
  <si>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</si>
  <si>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</si>
  <si>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</si>
  <si>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</si>
  <si>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</si>
  <si>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</si>
  <si>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</si>
  <si>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</si>
  <si>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</si>
  <si>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</si>
  <si>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</si>
  <si>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</si>
  <si>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</si>
  <si>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</si>
  <si>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</si>
  <si>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</si>
  <si>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</si>
  <si>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</si>
  <si>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</si>
  <si>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</si>
  <si>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</si>
  <si>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</si>
  <si>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</si>
  <si>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</si>
  <si>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</si>
  <si>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</si>
  <si>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</si>
  <si>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</si>
  <si>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</si>
  <si>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</si>
  <si>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</si>
  <si>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</si>
  <si>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</si>
  <si>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</si>
  <si>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</si>
  <si>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</si>
  <si>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</si>
  <si>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</si>
  <si>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</si>
  <si>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A1.47</t>
  </si>
  <si>
    <t>RFI Table J1 incomplete. Based on asset value per head of population across New Zealand multiplied the population in Kapiti Coast District Council.</t>
  </si>
  <si>
    <t>RFI Table G1; Line G1.3 2022 - 2031 
RFI Table G2, G3 and G4 2032 - 2051
(adjusted for projected inflation in RFI Table G5)</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</si>
  <si>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</si>
  <si>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</si>
  <si>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</si>
  <si>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</si>
  <si>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</si>
  <si>
    <t>Kāpiti Coast Stand-alone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</si>
</sst>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83">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0" fillId="0" borderId="11" xfId="0" applyBorder="1" applyAlignment="1">
      <alignment vertical="top"/>
    </xf>
    <xf numFmtId="0" fontId="18" fillId="0" borderId="0" xfId="0" applyFont="1" applyAlignment="1">
      <alignment horizontal="left" vertical="center" wrapText="1"/>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externalLink" Target="externalLinks/externalLink57.xml"/><Relationship Id="rId75"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sharedStrings" Target="sharedStrings.xml"/><Relationship Id="rId78"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2.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sites/commission-business/DIA2/Information_release/Council%20Financial%20Models/Christchurch_mode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ide outputs and checklist"/>
      <sheetName val="Model overview and manual"/>
      <sheetName val="Model output==&gt;"/>
      <sheetName val="Average cost per household"/>
      <sheetName val="Input sheets ===&gt;"/>
      <sheetName val="Assumptions"/>
      <sheetName val="Price and Financial ratios"/>
      <sheetName val="Processing sheets ===&gt;"/>
      <sheetName val="Investment"/>
      <sheetName val="Profit and Loss"/>
      <sheetName val="Balance Sheet"/>
      <sheetName val="Cash Flow"/>
      <sheetName val="Depreciation"/>
      <sheetName val="Debt worksheet"/>
    </sheetNames>
    <sheetDataSet>
      <sheetData sheetId="0"/>
      <sheetData sheetId="1"/>
      <sheetData sheetId="2"/>
      <sheetData sheetId="3"/>
      <sheetData sheetId="4"/>
      <sheetData sheetId="5">
        <row r="24">
          <cell r="B24" t="str">
            <v>RFI Table F10; Lines F10.62 + F10.70</v>
          </cell>
        </row>
      </sheetData>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202</v>
      </c>
      <c r="C2" s="171"/>
      <c r="D2" s="60"/>
      <c r="E2" s="14"/>
      <c r="F2" s="60"/>
    </row>
    <row r="3" spans="1:6" x14ac:dyDescent="0.35">
      <c r="C3" s="14"/>
      <c r="D3" s="14"/>
    </row>
    <row r="4" spans="1:6" x14ac:dyDescent="0.35">
      <c r="A4" s="14" t="s">
        <v>156</v>
      </c>
      <c r="B4" s="14"/>
      <c r="D4" s="14"/>
    </row>
    <row r="6" spans="1:6" ht="21" x14ac:dyDescent="0.5">
      <c r="A6" s="15" t="s">
        <v>165</v>
      </c>
    </row>
    <row r="7" spans="1:6" ht="241" customHeight="1" x14ac:dyDescent="0.35">
      <c r="A7" s="107">
        <v>1</v>
      </c>
      <c r="B7" s="104" t="s">
        <v>166</v>
      </c>
    </row>
    <row r="8" spans="1:6" ht="408" customHeight="1" x14ac:dyDescent="0.35">
      <c r="A8" s="107">
        <v>2</v>
      </c>
      <c r="B8" s="104" t="s">
        <v>186</v>
      </c>
    </row>
    <row r="9" spans="1:6" ht="195.5" customHeight="1" x14ac:dyDescent="0.35">
      <c r="A9" s="107">
        <f>A8+1</f>
        <v>3</v>
      </c>
      <c r="B9" s="105" t="s">
        <v>170</v>
      </c>
    </row>
    <row r="10" spans="1:6" ht="236" customHeight="1" x14ac:dyDescent="0.35">
      <c r="A10" s="107">
        <v>4</v>
      </c>
      <c r="B10" s="105" t="s">
        <v>171</v>
      </c>
    </row>
    <row r="11" spans="1:6" ht="21" x14ac:dyDescent="0.35">
      <c r="A11" s="107">
        <f>A10+1</f>
        <v>5</v>
      </c>
      <c r="B11" s="63" t="s">
        <v>184</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162</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187</v>
      </c>
      <c r="B6" s="1">
        <f>Assumptions!C17</f>
        <v>940599300</v>
      </c>
      <c r="C6" s="12">
        <f ca="1">B6+Depreciation!C18+'Cash Flow'!C13</f>
        <v>949278101.14478004</v>
      </c>
      <c r="D6" s="1">
        <f ca="1">C6+Depreciation!D18</f>
        <v>982041729.57287955</v>
      </c>
      <c r="E6" s="1">
        <f ca="1">D6+Depreciation!E18</f>
        <v>1016307117.6012936</v>
      </c>
      <c r="F6" s="1">
        <f ca="1">E6+Depreciation!F18</f>
        <v>1052136827.8889319</v>
      </c>
      <c r="G6" s="1">
        <f ca="1">F6+Depreciation!G18</f>
        <v>1089595889.3030438</v>
      </c>
      <c r="H6" s="1">
        <f ca="1">G6+Depreciation!H18</f>
        <v>1128751890.692389</v>
      </c>
      <c r="I6" s="1">
        <f ca="1">H6+Depreciation!I18</f>
        <v>1169675078.1364944</v>
      </c>
      <c r="J6" s="1">
        <f ca="1">I6+Depreciation!J18</f>
        <v>1212438455.797442</v>
      </c>
      <c r="K6" s="1">
        <f ca="1">J6+Depreciation!K18</f>
        <v>1257117890.5051668</v>
      </c>
      <c r="L6" s="1">
        <f ca="1">K6+Depreciation!L18</f>
        <v>1303792220.2119379</v>
      </c>
      <c r="M6" s="1">
        <f ca="1">L6+Depreciation!M18</f>
        <v>1352543366.4565535</v>
      </c>
      <c r="N6" s="1">
        <f ca="1">M6+Depreciation!N18</f>
        <v>1403456450.9838157</v>
      </c>
      <c r="O6" s="1">
        <f ca="1">N6+Depreciation!O18</f>
        <v>1456619916.6700597</v>
      </c>
      <c r="P6" s="1">
        <f ca="1">O6+Depreciation!P18</f>
        <v>1512125652.9109042</v>
      </c>
      <c r="Q6" s="1">
        <f ca="1">P6+Depreciation!Q18</f>
        <v>1570069125.6329811</v>
      </c>
      <c r="R6" s="1">
        <f ca="1">Q6+Depreciation!R18</f>
        <v>1630549512.0971785</v>
      </c>
      <c r="S6" s="1">
        <f ca="1">R6+Depreciation!S18</f>
        <v>1693669840.666925</v>
      </c>
      <c r="T6" s="1">
        <f ca="1">S6+Depreciation!T18</f>
        <v>1759537135.721236</v>
      </c>
      <c r="U6" s="1">
        <f ca="1">T6+Depreciation!U18</f>
        <v>1828262567.8986685</v>
      </c>
      <c r="V6" s="1">
        <f ca="1">U6+Depreciation!V18</f>
        <v>1899961609.8649666</v>
      </c>
      <c r="W6" s="1">
        <f ca="1">V6+Depreciation!W18</f>
        <v>1974754197.8040679</v>
      </c>
      <c r="X6" s="1">
        <f ca="1">W6+Depreciation!X18</f>
        <v>2052764898.8392582</v>
      </c>
      <c r="Y6" s="1">
        <f ca="1">X6+Depreciation!Y18</f>
        <v>2134123084.5986378</v>
      </c>
      <c r="Z6" s="1">
        <f ca="1">Y6+Depreciation!Z18</f>
        <v>2218963111.1466947</v>
      </c>
      <c r="AA6" s="1">
        <f ca="1">Z6+Depreciation!AA18</f>
        <v>2307424505.5116868</v>
      </c>
      <c r="AB6" s="1">
        <f ca="1">AA6+Depreciation!AB18</f>
        <v>2399652159.0467124</v>
      </c>
      <c r="AC6" s="1">
        <f ca="1">AB6+Depreciation!AC18</f>
        <v>2495796527.8708243</v>
      </c>
      <c r="AD6" s="1">
        <f ca="1">AC6+Depreciation!AD18</f>
        <v>2596013840.6453042</v>
      </c>
      <c r="AE6" s="1">
        <f ca="1">AD6+Depreciation!AE18</f>
        <v>2700466313.9492993</v>
      </c>
      <c r="AF6" s="1"/>
      <c r="AG6" s="1"/>
      <c r="AH6" s="1"/>
      <c r="AI6" s="1"/>
      <c r="AJ6" s="1"/>
      <c r="AK6" s="1"/>
      <c r="AL6" s="1"/>
      <c r="AM6" s="1"/>
      <c r="AN6" s="1"/>
      <c r="AO6" s="1"/>
      <c r="AP6" s="1"/>
    </row>
    <row r="7" spans="1:42" x14ac:dyDescent="0.35">
      <c r="A7" t="s">
        <v>12</v>
      </c>
      <c r="B7" s="1">
        <f>Depreciation!C12</f>
        <v>483886444.54316872</v>
      </c>
      <c r="C7" s="1">
        <f>Depreciation!D12</f>
        <v>498347283.45998955</v>
      </c>
      <c r="D7" s="1">
        <f>Depreciation!E12</f>
        <v>513724192.71276402</v>
      </c>
      <c r="E7" s="1">
        <f>Depreciation!F12</f>
        <v>530060992.90394229</v>
      </c>
      <c r="F7" s="1">
        <f>Depreciation!G12</f>
        <v>547403371.0985074</v>
      </c>
      <c r="G7" s="1">
        <f>Depreciation!H12</f>
        <v>565798955.40528035</v>
      </c>
      <c r="H7" s="1">
        <f>Depreciation!I12</f>
        <v>585297392.42017114</v>
      </c>
      <c r="I7" s="1">
        <f>Depreciation!J12</f>
        <v>605950427.63816929</v>
      </c>
      <c r="J7" s="1">
        <f>Depreciation!K12</f>
        <v>627811988.94477022</v>
      </c>
      <c r="K7" s="1">
        <f>Depreciation!L12</f>
        <v>650938273.30158138</v>
      </c>
      <c r="L7" s="1">
        <f>Depreciation!M12</f>
        <v>675387836.74503851</v>
      </c>
      <c r="M7" s="1">
        <f>Depreciation!N12</f>
        <v>701221687.82150531</v>
      </c>
      <c r="N7" s="1">
        <f>Depreciation!O12</f>
        <v>728503384.5865283</v>
      </c>
      <c r="O7" s="1">
        <f>Depreciation!P12</f>
        <v>757299135.30067289</v>
      </c>
      <c r="P7" s="1">
        <f>Depreciation!Q12</f>
        <v>787677902.95919526</v>
      </c>
      <c r="Q7" s="1">
        <f>Depreciation!R12</f>
        <v>819711513.79780447</v>
      </c>
      <c r="R7" s="1">
        <f>Depreciation!S12</f>
        <v>853474769.9219439</v>
      </c>
      <c r="S7" s="1">
        <f>Depreciation!T12</f>
        <v>889045566.21238852</v>
      </c>
      <c r="T7" s="1">
        <f>Depreciation!U12</f>
        <v>926505011.66551089</v>
      </c>
      <c r="U7" s="1">
        <f>Depreciation!V12</f>
        <v>965937555.33232081</v>
      </c>
      <c r="V7" s="1">
        <f>Depreciation!W12</f>
        <v>1007431117.0263504</v>
      </c>
      <c r="W7" s="1">
        <f>Depreciation!X12</f>
        <v>1051077222.9766268</v>
      </c>
      <c r="X7" s="1">
        <f>Depreciation!Y12</f>
        <v>1096971146.6083753</v>
      </c>
      <c r="Y7" s="1">
        <f>Depreciation!Z12</f>
        <v>1145212054.6407168</v>
      </c>
      <c r="Z7" s="1">
        <f>Depreciation!AA12</f>
        <v>1195903158.6974905</v>
      </c>
      <c r="AA7" s="1">
        <f>Depreciation!AB12</f>
        <v>1249151872.6344347</v>
      </c>
      <c r="AB7" s="1">
        <f>Depreciation!AC12</f>
        <v>1305069975.7933266</v>
      </c>
      <c r="AC7" s="1">
        <f>Depreciation!AD12</f>
        <v>1363773782.4012992</v>
      </c>
      <c r="AD7" s="1">
        <f>Depreciation!AE12</f>
        <v>1425384317.3414593</v>
      </c>
      <c r="AE7" s="1">
        <f>Depreciation!AF12</f>
        <v>1490027498.5290997</v>
      </c>
      <c r="AF7" s="1"/>
      <c r="AG7" s="1"/>
      <c r="AH7" s="1"/>
      <c r="AI7" s="1"/>
      <c r="AJ7" s="1"/>
      <c r="AK7" s="1"/>
      <c r="AL7" s="1"/>
      <c r="AM7" s="1"/>
      <c r="AN7" s="1"/>
      <c r="AO7" s="1"/>
      <c r="AP7" s="1"/>
    </row>
    <row r="8" spans="1:42" x14ac:dyDescent="0.35">
      <c r="A8" t="s">
        <v>188</v>
      </c>
      <c r="B8" s="1">
        <f t="shared" ref="B8:AE8" si="1">B6-B7</f>
        <v>456712855.45683128</v>
      </c>
      <c r="C8" s="1">
        <f t="shared" ca="1" si="1"/>
        <v>450930817.68479049</v>
      </c>
      <c r="D8" s="1">
        <f ca="1">D6-D7</f>
        <v>468317536.86011553</v>
      </c>
      <c r="E8" s="1">
        <f t="shared" ca="1" si="1"/>
        <v>486246124.69735128</v>
      </c>
      <c r="F8" s="1">
        <f t="shared" ca="1" si="1"/>
        <v>504733456.79042447</v>
      </c>
      <c r="G8" s="1">
        <f t="shared" ca="1" si="1"/>
        <v>523796933.89776349</v>
      </c>
      <c r="H8" s="1">
        <f t="shared" ca="1" si="1"/>
        <v>543454498.27221787</v>
      </c>
      <c r="I8" s="1">
        <f t="shared" ca="1" si="1"/>
        <v>563724650.49832511</v>
      </c>
      <c r="J8" s="1">
        <f t="shared" ca="1" si="1"/>
        <v>584626466.85267174</v>
      </c>
      <c r="K8" s="1">
        <f t="shared" ca="1" si="1"/>
        <v>606179617.20358539</v>
      </c>
      <c r="L8" s="1">
        <f t="shared" ca="1" si="1"/>
        <v>628404383.46689939</v>
      </c>
      <c r="M8" s="1">
        <f t="shared" ca="1" si="1"/>
        <v>651321678.63504815</v>
      </c>
      <c r="N8" s="1">
        <f t="shared" ca="1" si="1"/>
        <v>674953066.39728737</v>
      </c>
      <c r="O8" s="1">
        <f t="shared" ca="1" si="1"/>
        <v>699320781.36938679</v>
      </c>
      <c r="P8" s="1">
        <f t="shared" ca="1" si="1"/>
        <v>724447749.95170891</v>
      </c>
      <c r="Q8" s="1">
        <f t="shared" ca="1" si="1"/>
        <v>750357611.83517659</v>
      </c>
      <c r="R8" s="1">
        <f t="shared" ca="1" si="1"/>
        <v>777074742.17523456</v>
      </c>
      <c r="S8" s="1">
        <f t="shared" ca="1" si="1"/>
        <v>804624274.45453644</v>
      </c>
      <c r="T8" s="1">
        <f t="shared" ca="1" si="1"/>
        <v>833032124.0557251</v>
      </c>
      <c r="U8" s="1">
        <f t="shared" ca="1" si="1"/>
        <v>862325012.56634772</v>
      </c>
      <c r="V8" s="1">
        <f t="shared" ca="1" si="1"/>
        <v>892530492.83861625</v>
      </c>
      <c r="W8" s="1">
        <f t="shared" ca="1" si="1"/>
        <v>923676974.8274411</v>
      </c>
      <c r="X8" s="1">
        <f t="shared" ca="1" si="1"/>
        <v>955793752.23088288</v>
      </c>
      <c r="Y8" s="1">
        <f t="shared" ca="1" si="1"/>
        <v>988911029.95792103</v>
      </c>
      <c r="Z8" s="1">
        <f t="shared" ca="1" si="1"/>
        <v>1023059952.4492042</v>
      </c>
      <c r="AA8" s="1">
        <f t="shared" ca="1" si="1"/>
        <v>1058272632.8772521</v>
      </c>
      <c r="AB8" s="1">
        <f t="shared" ca="1" si="1"/>
        <v>1094582183.2533858</v>
      </c>
      <c r="AC8" s="1">
        <f t="shared" ca="1" si="1"/>
        <v>1132022745.4695251</v>
      </c>
      <c r="AD8" s="1">
        <f t="shared" ca="1" si="1"/>
        <v>1170629523.3038449</v>
      </c>
      <c r="AE8" s="1">
        <f t="shared" ca="1" si="1"/>
        <v>1210438815.4201996</v>
      </c>
      <c r="AF8" s="1"/>
      <c r="AG8" s="1"/>
      <c r="AH8" s="1"/>
      <c r="AI8" s="1"/>
      <c r="AJ8" s="1"/>
      <c r="AK8" s="1"/>
      <c r="AL8" s="1"/>
      <c r="AM8" s="1"/>
      <c r="AN8" s="1"/>
      <c r="AO8" s="1"/>
      <c r="AP8" s="1"/>
    </row>
    <row r="10" spans="1:42" x14ac:dyDescent="0.35">
      <c r="A10" t="s">
        <v>17</v>
      </c>
      <c r="B10" s="1">
        <f>B8-B11</f>
        <v>406792855.45683128</v>
      </c>
      <c r="C10" s="1">
        <f ca="1">C8-C11</f>
        <v>378367563.13206196</v>
      </c>
      <c r="D10" s="1">
        <f ca="1">D8-D11</f>
        <v>375770279.11908579</v>
      </c>
      <c r="E10" s="1">
        <f t="shared" ref="E10:AE10" ca="1" si="2">E8-E11</f>
        <v>376930008.09625798</v>
      </c>
      <c r="F10" s="1">
        <f t="shared" ca="1" si="2"/>
        <v>380613227.68926793</v>
      </c>
      <c r="G10" s="1">
        <f ca="1">G8-G11</f>
        <v>386542168.59329677</v>
      </c>
      <c r="H10" s="1">
        <f t="shared" ca="1" si="2"/>
        <v>395234029.67042261</v>
      </c>
      <c r="I10" s="1">
        <f t="shared" ca="1" si="2"/>
        <v>406119521.94962764</v>
      </c>
      <c r="J10" s="1">
        <f t="shared" ca="1" si="2"/>
        <v>417707667.55556422</v>
      </c>
      <c r="K10" s="1">
        <f t="shared" ca="1" si="2"/>
        <v>430106302.74534655</v>
      </c>
      <c r="L10" s="1">
        <f t="shared" ca="1" si="2"/>
        <v>443434833.65036064</v>
      </c>
      <c r="M10" s="1">
        <f t="shared" ca="1" si="2"/>
        <v>457076575.89816415</v>
      </c>
      <c r="N10" s="1">
        <f t="shared" ca="1" si="2"/>
        <v>471070353.86485279</v>
      </c>
      <c r="O10" s="1">
        <f t="shared" ca="1" si="2"/>
        <v>485459471.61455864</v>
      </c>
      <c r="P10" s="1">
        <f t="shared" ca="1" si="2"/>
        <v>500292091.55615377</v>
      </c>
      <c r="Q10" s="1">
        <f t="shared" ca="1" si="2"/>
        <v>515621639.70296657</v>
      </c>
      <c r="R10" s="1">
        <f t="shared" ca="1" si="2"/>
        <v>531507239.20577013</v>
      </c>
      <c r="S10" s="1">
        <f t="shared" ca="1" si="2"/>
        <v>548014173.92679262</v>
      </c>
      <c r="T10" s="1">
        <f t="shared" ca="1" si="2"/>
        <v>565214383.92539537</v>
      </c>
      <c r="U10" s="1">
        <f t="shared" ca="1" si="2"/>
        <v>583186994.83467901</v>
      </c>
      <c r="V10" s="1">
        <f t="shared" ca="1" si="2"/>
        <v>602018883.22287619</v>
      </c>
      <c r="W10" s="1">
        <f t="shared" ca="1" si="2"/>
        <v>621805280.15434849</v>
      </c>
      <c r="X10" s="1">
        <f t="shared" ca="1" si="2"/>
        <v>642650415.29260468</v>
      </c>
      <c r="Y10" s="1">
        <f t="shared" ca="1" si="2"/>
        <v>664668204.02239871</v>
      </c>
      <c r="Z10" s="1">
        <f t="shared" ca="1" si="2"/>
        <v>687982980.20999408</v>
      </c>
      <c r="AA10" s="1">
        <f t="shared" ca="1" si="2"/>
        <v>711285157.67583573</v>
      </c>
      <c r="AB10" s="1">
        <f t="shared" ca="1" si="2"/>
        <v>733795401.0310868</v>
      </c>
      <c r="AC10" s="1">
        <f t="shared" ca="1" si="2"/>
        <v>754937515.51434612</v>
      </c>
      <c r="AD10" s="1">
        <f t="shared" ca="1" si="2"/>
        <v>774546670.36226714</v>
      </c>
      <c r="AE10" s="1">
        <f t="shared" ca="1" si="2"/>
        <v>792447207.98526096</v>
      </c>
      <c r="AF10" s="1"/>
      <c r="AG10" s="1"/>
      <c r="AH10" s="1"/>
      <c r="AI10" s="1"/>
      <c r="AJ10" s="1"/>
      <c r="AK10" s="1"/>
      <c r="AL10" s="1"/>
      <c r="AM10" s="1"/>
      <c r="AN10" s="1"/>
      <c r="AO10" s="1"/>
    </row>
    <row r="11" spans="1:42" x14ac:dyDescent="0.35">
      <c r="A11" t="s">
        <v>9</v>
      </c>
      <c r="B11" s="1">
        <f>Assumptions!$C$20</f>
        <v>49920000</v>
      </c>
      <c r="C11" s="1">
        <f ca="1">'Debt worksheet'!D5</f>
        <v>72563254.552728504</v>
      </c>
      <c r="D11" s="1">
        <f ca="1">'Debt worksheet'!E5</f>
        <v>92547257.741029724</v>
      </c>
      <c r="E11" s="1">
        <f ca="1">'Debt worksheet'!F5</f>
        <v>109316116.60109329</v>
      </c>
      <c r="F11" s="1">
        <f ca="1">'Debt worksheet'!G5</f>
        <v>124120229.10115653</v>
      </c>
      <c r="G11" s="1">
        <f ca="1">'Debt worksheet'!H5</f>
        <v>137254765.30446669</v>
      </c>
      <c r="H11" s="1">
        <f ca="1">'Debt worksheet'!I5</f>
        <v>148220468.60179526</v>
      </c>
      <c r="I11" s="1">
        <f ca="1">'Debt worksheet'!J5</f>
        <v>157605128.5486975</v>
      </c>
      <c r="J11" s="1">
        <f ca="1">'Debt worksheet'!K5</f>
        <v>166918799.29710752</v>
      </c>
      <c r="K11" s="1">
        <f ca="1">'Debt worksheet'!L5</f>
        <v>176073314.45823881</v>
      </c>
      <c r="L11" s="1">
        <f ca="1">'Debt worksheet'!M5</f>
        <v>184969549.81653875</v>
      </c>
      <c r="M11" s="1">
        <f ca="1">'Debt worksheet'!N5</f>
        <v>194245102.736884</v>
      </c>
      <c r="N11" s="1">
        <f ca="1">'Debt worksheet'!O5</f>
        <v>203882712.53243455</v>
      </c>
      <c r="O11" s="1">
        <f ca="1">'Debt worksheet'!P5</f>
        <v>213861309.75482816</v>
      </c>
      <c r="P11" s="1">
        <f ca="1">'Debt worksheet'!Q5</f>
        <v>224155658.39555517</v>
      </c>
      <c r="Q11" s="1">
        <f ca="1">'Debt worksheet'!R5</f>
        <v>234735972.13220999</v>
      </c>
      <c r="R11" s="1">
        <f ca="1">'Debt worksheet'!S5</f>
        <v>245567502.96946442</v>
      </c>
      <c r="S11" s="1">
        <f ca="1">'Debt worksheet'!T5</f>
        <v>256610100.52774385</v>
      </c>
      <c r="T11" s="1">
        <f ca="1">'Debt worksheet'!U5</f>
        <v>267817740.1303297</v>
      </c>
      <c r="U11" s="1">
        <f ca="1">'Debt worksheet'!V5</f>
        <v>279138017.73166871</v>
      </c>
      <c r="V11" s="1">
        <f ca="1">'Debt worksheet'!W5</f>
        <v>290511609.61574006</v>
      </c>
      <c r="W11" s="1">
        <f ca="1">'Debt worksheet'!X5</f>
        <v>301871694.6730926</v>
      </c>
      <c r="X11" s="1">
        <f ca="1">'Debt worksheet'!Y5</f>
        <v>313143336.9382782</v>
      </c>
      <c r="Y11" s="1">
        <f ca="1">'Debt worksheet'!Z5</f>
        <v>324242825.93552226</v>
      </c>
      <c r="Z11" s="1">
        <f ca="1">'Debt worksheet'!AA5</f>
        <v>335076972.23921013</v>
      </c>
      <c r="AA11" s="1">
        <f ca="1">'Debt worksheet'!AB5</f>
        <v>346987475.20141637</v>
      </c>
      <c r="AB11" s="1">
        <f ca="1">'Debt worksheet'!AC5</f>
        <v>360786782.22229898</v>
      </c>
      <c r="AC11" s="1">
        <f ca="1">'Debt worksheet'!AD5</f>
        <v>377085229.95517892</v>
      </c>
      <c r="AD11" s="1">
        <f ca="1">'Debt worksheet'!AE5</f>
        <v>396082852.94157779</v>
      </c>
      <c r="AE11" s="1">
        <f ca="1">'Debt worksheet'!AF5</f>
        <v>417991607.43493861</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163</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-4907993.3983887341</v>
      </c>
      <c r="D5" s="4">
        <f ca="1">'Profit and Loss'!D9</f>
        <v>-1681213.6770225824</v>
      </c>
      <c r="E5" s="4">
        <f ca="1">'Profit and Loss'!E9</f>
        <v>2119619.9155759802</v>
      </c>
      <c r="F5" s="4">
        <f ca="1">'Profit and Loss'!F9</f>
        <v>4688797.5963967834</v>
      </c>
      <c r="G5" s="4">
        <f ca="1">'Profit and Loss'!G9</f>
        <v>6982147.0162365753</v>
      </c>
      <c r="H5" s="4">
        <f ca="1">'Profit and Loss'!H9</f>
        <v>9794713.7852436639</v>
      </c>
      <c r="I5" s="4">
        <f ca="1">'Profit and Loss'!I9</f>
        <v>12040090.482312292</v>
      </c>
      <c r="J5" s="4">
        <f ca="1">'Profit and Loss'!J9</f>
        <v>12796671.694539376</v>
      </c>
      <c r="K5" s="4">
        <f ca="1">'Profit and Loss'!K9</f>
        <v>13663358.239992488</v>
      </c>
      <c r="L5" s="4">
        <f ca="1">'Profit and Loss'!L9</f>
        <v>14651809.991659814</v>
      </c>
      <c r="M5" s="4">
        <f ca="1">'Profit and Loss'!M9</f>
        <v>15026029.880813193</v>
      </c>
      <c r="N5" s="4">
        <f ca="1">'Profit and Loss'!N9</f>
        <v>15441623.655244974</v>
      </c>
      <c r="O5" s="4">
        <f ca="1">'Profit and Loss'!O9</f>
        <v>15903171.698827393</v>
      </c>
      <c r="P5" s="4">
        <f ca="1">'Profit and Loss'!P9</f>
        <v>16415636.885973044</v>
      </c>
      <c r="Q5" s="4">
        <f ca="1">'Profit and Loss'!Q9</f>
        <v>16984391.326899629</v>
      </c>
      <c r="R5" s="4">
        <f ca="1">'Profit and Loss'!R9</f>
        <v>17615244.788333785</v>
      </c>
      <c r="S5" s="4">
        <f ca="1">'Profit and Loss'!S9</f>
        <v>18314474.887327608</v>
      </c>
      <c r="T5" s="4">
        <f ca="1">'Profit and Loss'!T9</f>
        <v>19088859.161280595</v>
      </c>
      <c r="U5" s="4">
        <f ca="1">'Profit and Loss'!U9</f>
        <v>19945709.122971192</v>
      </c>
      <c r="V5" s="4">
        <f ca="1">'Profit and Loss'!V9</f>
        <v>20892906.415416744</v>
      </c>
      <c r="W5" s="4">
        <f ca="1">'Profit and Loss'!W9</f>
        <v>21938941.187719204</v>
      </c>
      <c r="X5" s="4">
        <f ca="1">'Profit and Loss'!X9</f>
        <v>23092952.819728419</v>
      </c>
      <c r="Y5" s="4">
        <f ca="1">'Profit and Loss'!Y9</f>
        <v>24364773.13038718</v>
      </c>
      <c r="Z5" s="4">
        <f ca="1">'Profit and Loss'!Z9</f>
        <v>25764972.212027602</v>
      </c>
      <c r="AA5" s="4">
        <f ca="1">'Profit and Loss'!AA9</f>
        <v>25859787.34601216</v>
      </c>
      <c r="AB5" s="4">
        <f ca="1">'Profit and Loss'!AB9</f>
        <v>25179632.577198729</v>
      </c>
      <c r="AC5" s="4">
        <f ca="1">'Profit and Loss'!AC9</f>
        <v>23927817.932339996</v>
      </c>
      <c r="AD5" s="4">
        <f ca="1">'Profit and Loss'!AD9</f>
        <v>22515883.180108115</v>
      </c>
      <c r="AE5" s="4">
        <f ca="1">'Profit and Loss'!AE9</f>
        <v>20933183.870474398</v>
      </c>
      <c r="AF5" s="4">
        <f ca="1">'Profit and Loss'!AF9</f>
        <v>19168501.725757189</v>
      </c>
      <c r="AG5" s="4"/>
      <c r="AH5" s="4"/>
      <c r="AI5" s="4"/>
      <c r="AJ5" s="4"/>
      <c r="AK5" s="4"/>
      <c r="AL5" s="4"/>
      <c r="AM5" s="4"/>
      <c r="AN5" s="4"/>
      <c r="AO5" s="4"/>
      <c r="AP5" s="4"/>
    </row>
    <row r="6" spans="1:42" x14ac:dyDescent="0.35">
      <c r="A6" t="s">
        <v>21</v>
      </c>
      <c r="C6" s="4">
        <f>Depreciation!C8+Depreciation!C9</f>
        <v>13586794.543168757</v>
      </c>
      <c r="D6" s="4">
        <f>Depreciation!D8+Depreciation!D9</f>
        <v>14460838.916820843</v>
      </c>
      <c r="E6" s="4">
        <f>Depreciation!E8+Depreciation!E9</f>
        <v>15376909.25277446</v>
      </c>
      <c r="F6" s="4">
        <f>Depreciation!F8+Depreciation!F9</f>
        <v>16336800.191178283</v>
      </c>
      <c r="G6" s="4">
        <f>Depreciation!G8+Depreciation!G9</f>
        <v>17342378.19456511</v>
      </c>
      <c r="H6" s="4">
        <f>Depreciation!H8+Depreciation!H9</f>
        <v>18395584.306772925</v>
      </c>
      <c r="I6" s="4">
        <f>Depreciation!I8+Depreciation!I9</f>
        <v>19498437.014890805</v>
      </c>
      <c r="J6" s="4">
        <f>Depreciation!J8+Depreciation!J9</f>
        <v>20653035.217998102</v>
      </c>
      <c r="K6" s="4">
        <f>Depreciation!K8+Depreciation!K9</f>
        <v>21861561.306601014</v>
      </c>
      <c r="L6" s="4">
        <f>Depreciation!L8+Depreciation!L9</f>
        <v>23126284.356811278</v>
      </c>
      <c r="M6" s="4">
        <f>Depreciation!M8+Depreciation!M9</f>
        <v>24449563.443457037</v>
      </c>
      <c r="N6" s="4">
        <f>Depreciation!N8+Depreciation!N9</f>
        <v>25833851.076466762</v>
      </c>
      <c r="O6" s="4">
        <f>Depreciation!O8+Depreciation!O9</f>
        <v>27281696.765023004</v>
      </c>
      <c r="P6" s="4">
        <f>Depreciation!P8+Depreciation!P9</f>
        <v>28795750.714144535</v>
      </c>
      <c r="Q6" s="4">
        <f>Depreciation!Q8+Depreciation!Q9</f>
        <v>30378767.658522461</v>
      </c>
      <c r="R6" s="4">
        <f>Depreciation!R8+Depreciation!R9</f>
        <v>32033610.838609304</v>
      </c>
      <c r="S6" s="4">
        <f>Depreciation!S8+Depreciation!S9</f>
        <v>33763256.124139369</v>
      </c>
      <c r="T6" s="4">
        <f>Depreciation!T8+Depreciation!T9</f>
        <v>35570796.290444627</v>
      </c>
      <c r="U6" s="4">
        <f>Depreciation!U8+Depreciation!U9</f>
        <v>37459445.453122288</v>
      </c>
      <c r="V6" s="4">
        <f>Depreciation!V8+Depreciation!V9</f>
        <v>39432543.666809924</v>
      </c>
      <c r="W6" s="4">
        <f>Depreciation!W8+Depreciation!W9</f>
        <v>41493561.69402957</v>
      </c>
      <c r="X6" s="4">
        <f>Depreciation!X8+Depreciation!X9</f>
        <v>43646105.950276449</v>
      </c>
      <c r="Y6" s="4">
        <f>Depreciation!Y8+Depreciation!Y9</f>
        <v>45893923.631748438</v>
      </c>
      <c r="Z6" s="4">
        <f>Depreciation!Z8+Depreciation!Z9</f>
        <v>48240908.032341555</v>
      </c>
      <c r="AA6" s="4">
        <f>Depreciation!AA8+Depreciation!AA9</f>
        <v>50691104.056773737</v>
      </c>
      <c r="AB6" s="4">
        <f>Depreciation!AB8+Depreciation!AB9</f>
        <v>53248713.936944455</v>
      </c>
      <c r="AC6" s="4">
        <f>Depreciation!AC8+Depreciation!AC9</f>
        <v>55918103.158891946</v>
      </c>
      <c r="AD6" s="4">
        <f>Depreciation!AD8+Depreciation!AD9</f>
        <v>58703806.607972667</v>
      </c>
      <c r="AE6" s="4">
        <f>Depreciation!AE8+Depreciation!AE9</f>
        <v>61610534.940159827</v>
      </c>
      <c r="AF6" s="4">
        <f>Depreciation!AF8+Depreciation!AF9</f>
        <v>64643181.187640399</v>
      </c>
      <c r="AG6" s="4"/>
      <c r="AH6" s="4"/>
      <c r="AI6" s="4"/>
      <c r="AJ6" s="4"/>
      <c r="AK6" s="4"/>
      <c r="AL6" s="4"/>
      <c r="AM6" s="4"/>
      <c r="AN6" s="4"/>
      <c r="AO6" s="4"/>
      <c r="AP6" s="4"/>
    </row>
    <row r="7" spans="1:42" x14ac:dyDescent="0.35">
      <c r="A7" t="s">
        <v>23</v>
      </c>
      <c r="C7" s="4">
        <f ca="1">C6+C5</f>
        <v>8678801.144780023</v>
      </c>
      <c r="D7" s="4">
        <f ca="1">D6+D5</f>
        <v>12779625.239798261</v>
      </c>
      <c r="E7" s="4">
        <f t="shared" ref="E7:AF7" ca="1" si="1">E6+E5</f>
        <v>17496529.16835044</v>
      </c>
      <c r="F7" s="4">
        <f t="shared" ca="1" si="1"/>
        <v>21025597.787575066</v>
      </c>
      <c r="G7" s="4">
        <f ca="1">G6+G5</f>
        <v>24324525.210801683</v>
      </c>
      <c r="H7" s="4">
        <f t="shared" ca="1" si="1"/>
        <v>28190298.092016589</v>
      </c>
      <c r="I7" s="4">
        <f t="shared" ca="1" si="1"/>
        <v>31538527.497203097</v>
      </c>
      <c r="J7" s="4">
        <f t="shared" ca="1" si="1"/>
        <v>33449706.912537478</v>
      </c>
      <c r="K7" s="4">
        <f t="shared" ca="1" si="1"/>
        <v>35524919.546593502</v>
      </c>
      <c r="L7" s="4">
        <f t="shared" ca="1" si="1"/>
        <v>37778094.34847109</v>
      </c>
      <c r="M7" s="4">
        <f t="shared" ca="1" si="1"/>
        <v>39475593.324270234</v>
      </c>
      <c r="N7" s="4">
        <f t="shared" ca="1" si="1"/>
        <v>41275474.731711738</v>
      </c>
      <c r="O7" s="4">
        <f t="shared" ca="1" si="1"/>
        <v>43184868.463850394</v>
      </c>
      <c r="P7" s="4">
        <f t="shared" ca="1" si="1"/>
        <v>45211387.600117579</v>
      </c>
      <c r="Q7" s="4">
        <f t="shared" ca="1" si="1"/>
        <v>47363158.98542209</v>
      </c>
      <c r="R7" s="4">
        <f t="shared" ca="1" si="1"/>
        <v>49648855.626943089</v>
      </c>
      <c r="S7" s="4">
        <f t="shared" ca="1" si="1"/>
        <v>52077731.01146698</v>
      </c>
      <c r="T7" s="4">
        <f t="shared" ca="1" si="1"/>
        <v>54659655.451725222</v>
      </c>
      <c r="U7" s="4">
        <f t="shared" ca="1" si="1"/>
        <v>57405154.57609348</v>
      </c>
      <c r="V7" s="4">
        <f t="shared" ca="1" si="1"/>
        <v>60325450.082226664</v>
      </c>
      <c r="W7" s="4">
        <f t="shared" ca="1" si="1"/>
        <v>63432502.881748773</v>
      </c>
      <c r="X7" s="4">
        <f t="shared" ca="1" si="1"/>
        <v>66739058.770004869</v>
      </c>
      <c r="Y7" s="4">
        <f t="shared" ca="1" si="1"/>
        <v>70258696.762135625</v>
      </c>
      <c r="Z7" s="4">
        <f t="shared" ca="1" si="1"/>
        <v>74005880.244369149</v>
      </c>
      <c r="AA7" s="4">
        <f t="shared" ca="1" si="1"/>
        <v>76550891.402785897</v>
      </c>
      <c r="AB7" s="4">
        <f t="shared" ca="1" si="1"/>
        <v>78428346.514143184</v>
      </c>
      <c r="AC7" s="4">
        <f t="shared" ca="1" si="1"/>
        <v>79845921.091231942</v>
      </c>
      <c r="AD7" s="4">
        <f t="shared" ca="1" si="1"/>
        <v>81219689.788080782</v>
      </c>
      <c r="AE7" s="4">
        <f t="shared" ca="1" si="1"/>
        <v>82543718.810634226</v>
      </c>
      <c r="AF7" s="4">
        <f t="shared" ca="1" si="1"/>
        <v>83811682.91339758</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31322055.697508525</v>
      </c>
      <c r="D10" s="9">
        <f>Investment!D25</f>
        <v>32763628.42809948</v>
      </c>
      <c r="E10" s="9">
        <f>Investment!E25</f>
        <v>34265388.028414011</v>
      </c>
      <c r="F10" s="9">
        <f>Investment!F25</f>
        <v>35829710.287638299</v>
      </c>
      <c r="G10" s="9">
        <f>Investment!G25</f>
        <v>37459061.414111853</v>
      </c>
      <c r="H10" s="9">
        <f>Investment!H25</f>
        <v>39156001.389345162</v>
      </c>
      <c r="I10" s="9">
        <f>Investment!I25</f>
        <v>40923187.444105349</v>
      </c>
      <c r="J10" s="9">
        <f>Investment!J25</f>
        <v>42763377.660947509</v>
      </c>
      <c r="K10" s="9">
        <f>Investment!K25</f>
        <v>44679434.707724802</v>
      </c>
      <c r="L10" s="9">
        <f>Investment!L25</f>
        <v>46674329.706771024</v>
      </c>
      <c r="M10" s="9">
        <f>Investment!M25</f>
        <v>48751146.244615495</v>
      </c>
      <c r="N10" s="9">
        <f>Investment!N25</f>
        <v>50913084.527262293</v>
      </c>
      <c r="O10" s="9">
        <f>Investment!O25</f>
        <v>53163465.686243996</v>
      </c>
      <c r="P10" s="9">
        <f>Investment!P25</f>
        <v>55505736.240844592</v>
      </c>
      <c r="Q10" s="9">
        <f>Investment!Q25</f>
        <v>57943472.722076915</v>
      </c>
      <c r="R10" s="9">
        <f>Investment!R25</f>
        <v>60480386.464197516</v>
      </c>
      <c r="S10" s="9">
        <f>Investment!S25</f>
        <v>63120328.569746405</v>
      </c>
      <c r="T10" s="9">
        <f>Investment!T25</f>
        <v>65867295.054311082</v>
      </c>
      <c r="U10" s="9">
        <f>Investment!U25</f>
        <v>68725432.177432477</v>
      </c>
      <c r="V10" s="9">
        <f>Investment!V25</f>
        <v>71699041.966298029</v>
      </c>
      <c r="W10" s="9">
        <f>Investment!W25</f>
        <v>74792587.939101309</v>
      </c>
      <c r="X10" s="9">
        <f>Investment!X25</f>
        <v>78010701.035190463</v>
      </c>
      <c r="Y10" s="9">
        <f>Investment!Y25</f>
        <v>81358185.7593797</v>
      </c>
      <c r="Z10" s="9">
        <f>Investment!Z25</f>
        <v>84840026.54805702</v>
      </c>
      <c r="AA10" s="9">
        <f>Investment!AA25</f>
        <v>88461394.364992112</v>
      </c>
      <c r="AB10" s="9">
        <f>Investment!AB25</f>
        <v>92227653.535025805</v>
      </c>
      <c r="AC10" s="9">
        <f>Investment!AC25</f>
        <v>96144368.824111894</v>
      </c>
      <c r="AD10" s="9">
        <f>Investment!AD25</f>
        <v>100217312.77447966</v>
      </c>
      <c r="AE10" s="9">
        <f>Investment!AE25</f>
        <v>104452473.30399504</v>
      </c>
      <c r="AF10" s="9">
        <f>Investment!AF25</f>
        <v>108856061.57911834</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-22643254.552728504</v>
      </c>
      <c r="D12" s="1">
        <f t="shared" ref="D12:AF12" ca="1" si="2">D7-D9-D10</f>
        <v>-19984003.188301221</v>
      </c>
      <c r="E12" s="1">
        <f ca="1">E7-E9-E10</f>
        <v>-16768858.860063571</v>
      </c>
      <c r="F12" s="1">
        <f t="shared" ca="1" si="2"/>
        <v>-14804112.500063233</v>
      </c>
      <c r="G12" s="1">
        <f ca="1">G7-G9-G10</f>
        <v>-13134536.203310169</v>
      </c>
      <c r="H12" s="1">
        <f t="shared" ca="1" si="2"/>
        <v>-10965703.297328573</v>
      </c>
      <c r="I12" s="1">
        <f t="shared" ca="1" si="2"/>
        <v>-9384659.9469022527</v>
      </c>
      <c r="J12" s="1">
        <f t="shared" ca="1" si="2"/>
        <v>-9313670.7484100312</v>
      </c>
      <c r="K12" s="1">
        <f t="shared" ca="1" si="2"/>
        <v>-9154515.1611313</v>
      </c>
      <c r="L12" s="1">
        <f t="shared" ca="1" si="2"/>
        <v>-8896235.3582999334</v>
      </c>
      <c r="M12" s="1">
        <f t="shared" ca="1" si="2"/>
        <v>-9275552.9203452617</v>
      </c>
      <c r="N12" s="1">
        <f t="shared" ca="1" si="2"/>
        <v>-9637609.795550555</v>
      </c>
      <c r="O12" s="1">
        <f t="shared" ca="1" si="2"/>
        <v>-9978597.2223936021</v>
      </c>
      <c r="P12" s="1">
        <f t="shared" ca="1" si="2"/>
        <v>-10294348.640727013</v>
      </c>
      <c r="Q12" s="1">
        <f t="shared" ca="1" si="2"/>
        <v>-10580313.736654826</v>
      </c>
      <c r="R12" s="1">
        <f t="shared" ca="1" si="2"/>
        <v>-10831530.837254427</v>
      </c>
      <c r="S12" s="1">
        <f t="shared" ca="1" si="2"/>
        <v>-11042597.558279425</v>
      </c>
      <c r="T12" s="1">
        <f t="shared" ca="1" si="2"/>
        <v>-11207639.60258586</v>
      </c>
      <c r="U12" s="1">
        <f t="shared" ca="1" si="2"/>
        <v>-11320277.601338997</v>
      </c>
      <c r="V12" s="1">
        <f t="shared" ca="1" si="2"/>
        <v>-11373591.884071365</v>
      </c>
      <c r="W12" s="1">
        <f t="shared" ca="1" si="2"/>
        <v>-11360085.057352535</v>
      </c>
      <c r="X12" s="1">
        <f t="shared" ca="1" si="2"/>
        <v>-11271642.265185595</v>
      </c>
      <c r="Y12" s="1">
        <f t="shared" ca="1" si="2"/>
        <v>-11099488.997244075</v>
      </c>
      <c r="Z12" s="1">
        <f t="shared" ca="1" si="2"/>
        <v>-10834146.303687871</v>
      </c>
      <c r="AA12" s="1">
        <f t="shared" ca="1" si="2"/>
        <v>-11910502.962206215</v>
      </c>
      <c r="AB12" s="1">
        <f t="shared" ca="1" si="2"/>
        <v>-13799307.020882621</v>
      </c>
      <c r="AC12" s="1">
        <f t="shared" ca="1" si="2"/>
        <v>-16298447.732879952</v>
      </c>
      <c r="AD12" s="1">
        <f t="shared" ca="1" si="2"/>
        <v>-18997622.986398876</v>
      </c>
      <c r="AE12" s="1">
        <f t="shared" ca="1" si="2"/>
        <v>-21908754.493360817</v>
      </c>
      <c r="AF12" s="1">
        <f t="shared" ca="1" si="2"/>
        <v>-25044378.665720761</v>
      </c>
      <c r="AG12" s="1"/>
      <c r="AH12" s="1"/>
      <c r="AI12" s="1"/>
      <c r="AJ12" s="1"/>
      <c r="AK12" s="1"/>
      <c r="AL12" s="1"/>
      <c r="AM12" s="1"/>
      <c r="AN12" s="1"/>
      <c r="AO12" s="1"/>
      <c r="AP12" s="1"/>
    </row>
    <row r="13" spans="1:42" x14ac:dyDescent="0.35">
      <c r="A13" t="s">
        <v>19</v>
      </c>
      <c r="C13" s="1">
        <f ca="1">C12</f>
        <v>-22643254.552728504</v>
      </c>
      <c r="D13" s="1">
        <f ca="1">D12</f>
        <v>-19984003.188301221</v>
      </c>
      <c r="E13" s="1">
        <f ca="1">E12</f>
        <v>-16768858.860063571</v>
      </c>
      <c r="F13" s="1">
        <f t="shared" ref="F13:AF13" ca="1" si="3">F12</f>
        <v>-14804112.500063233</v>
      </c>
      <c r="G13" s="1">
        <f ca="1">G12</f>
        <v>-13134536.203310169</v>
      </c>
      <c r="H13" s="1">
        <f t="shared" ca="1" si="3"/>
        <v>-10965703.297328573</v>
      </c>
      <c r="I13" s="1">
        <f t="shared" ca="1" si="3"/>
        <v>-9384659.9469022527</v>
      </c>
      <c r="J13" s="1">
        <f t="shared" ca="1" si="3"/>
        <v>-9313670.7484100312</v>
      </c>
      <c r="K13" s="1">
        <f t="shared" ca="1" si="3"/>
        <v>-9154515.1611313</v>
      </c>
      <c r="L13" s="1">
        <f t="shared" ca="1" si="3"/>
        <v>-8896235.3582999334</v>
      </c>
      <c r="M13" s="1">
        <f t="shared" ca="1" si="3"/>
        <v>-9275552.9203452617</v>
      </c>
      <c r="N13" s="1">
        <f t="shared" ca="1" si="3"/>
        <v>-9637609.795550555</v>
      </c>
      <c r="O13" s="1">
        <f t="shared" ca="1" si="3"/>
        <v>-9978597.2223936021</v>
      </c>
      <c r="P13" s="1">
        <f t="shared" ca="1" si="3"/>
        <v>-10294348.640727013</v>
      </c>
      <c r="Q13" s="1">
        <f t="shared" ca="1" si="3"/>
        <v>-10580313.736654826</v>
      </c>
      <c r="R13" s="1">
        <f t="shared" ca="1" si="3"/>
        <v>-10831530.837254427</v>
      </c>
      <c r="S13" s="1">
        <f t="shared" ca="1" si="3"/>
        <v>-11042597.558279425</v>
      </c>
      <c r="T13" s="1">
        <f t="shared" ca="1" si="3"/>
        <v>-11207639.60258586</v>
      </c>
      <c r="U13" s="1">
        <f t="shared" ca="1" si="3"/>
        <v>-11320277.601338997</v>
      </c>
      <c r="V13" s="1">
        <f t="shared" ca="1" si="3"/>
        <v>-11373591.884071365</v>
      </c>
      <c r="W13" s="1">
        <f t="shared" ca="1" si="3"/>
        <v>-11360085.057352535</v>
      </c>
      <c r="X13" s="1">
        <f t="shared" ca="1" si="3"/>
        <v>-11271642.265185595</v>
      </c>
      <c r="Y13" s="1">
        <f t="shared" ca="1" si="3"/>
        <v>-11099488.997244075</v>
      </c>
      <c r="Z13" s="1">
        <f t="shared" ca="1" si="3"/>
        <v>-10834146.303687871</v>
      </c>
      <c r="AA13" s="1">
        <f t="shared" ca="1" si="3"/>
        <v>-11910502.962206215</v>
      </c>
      <c r="AB13" s="1">
        <f t="shared" ca="1" si="3"/>
        <v>-13799307.020882621</v>
      </c>
      <c r="AC13" s="1">
        <f t="shared" ca="1" si="3"/>
        <v>-16298447.732879952</v>
      </c>
      <c r="AD13" s="1">
        <f t="shared" ca="1" si="3"/>
        <v>-18997622.986398876</v>
      </c>
      <c r="AE13" s="1">
        <f t="shared" ca="1" si="3"/>
        <v>-21908754.493360817</v>
      </c>
      <c r="AF13" s="1">
        <f t="shared" ca="1" si="3"/>
        <v>-25044378.665720761</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137</v>
      </c>
      <c r="C6" s="9">
        <f>Assumptions!C17</f>
        <v>940599300</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470299650</v>
      </c>
      <c r="D7" s="9">
        <f>C12</f>
        <v>483886444.54316872</v>
      </c>
      <c r="E7" s="9">
        <f>D12</f>
        <v>498347283.45998955</v>
      </c>
      <c r="F7" s="9">
        <f t="shared" ref="F7:H7" si="1">E12</f>
        <v>513724192.71276402</v>
      </c>
      <c r="G7" s="9">
        <f t="shared" si="1"/>
        <v>530060992.90394229</v>
      </c>
      <c r="H7" s="9">
        <f t="shared" si="1"/>
        <v>547403371.0985074</v>
      </c>
      <c r="I7" s="9">
        <f t="shared" ref="I7" si="2">H12</f>
        <v>565798955.40528035</v>
      </c>
      <c r="J7" s="9">
        <f t="shared" ref="J7" si="3">I12</f>
        <v>585297392.42017114</v>
      </c>
      <c r="K7" s="9">
        <f t="shared" ref="K7" si="4">J12</f>
        <v>605950427.63816929</v>
      </c>
      <c r="L7" s="9">
        <f t="shared" ref="L7" si="5">K12</f>
        <v>627811988.94477022</v>
      </c>
      <c r="M7" s="9">
        <f t="shared" ref="M7" si="6">L12</f>
        <v>650938273.30158138</v>
      </c>
      <c r="N7" s="9">
        <f t="shared" ref="N7" si="7">M12</f>
        <v>675387836.74503851</v>
      </c>
      <c r="O7" s="9">
        <f t="shared" ref="O7" si="8">N12</f>
        <v>701221687.82150531</v>
      </c>
      <c r="P7" s="9">
        <f t="shared" ref="P7" si="9">O12</f>
        <v>728503384.5865283</v>
      </c>
      <c r="Q7" s="9">
        <f t="shared" ref="Q7" si="10">P12</f>
        <v>757299135.30067289</v>
      </c>
      <c r="R7" s="9">
        <f t="shared" ref="R7" si="11">Q12</f>
        <v>787677902.95919526</v>
      </c>
      <c r="S7" s="9">
        <f t="shared" ref="S7" si="12">R12</f>
        <v>819711513.79780447</v>
      </c>
      <c r="T7" s="9">
        <f t="shared" ref="T7" si="13">S12</f>
        <v>853474769.9219439</v>
      </c>
      <c r="U7" s="9">
        <f t="shared" ref="U7" si="14">T12</f>
        <v>889045566.21238852</v>
      </c>
      <c r="V7" s="9">
        <f t="shared" ref="V7" si="15">U12</f>
        <v>926505011.66551089</v>
      </c>
      <c r="W7" s="9">
        <f t="shared" ref="W7" si="16">V12</f>
        <v>965937555.33232081</v>
      </c>
      <c r="X7" s="9">
        <f t="shared" ref="X7" si="17">W12</f>
        <v>1007431117.0263504</v>
      </c>
      <c r="Y7" s="9">
        <f t="shared" ref="Y7" si="18">X12</f>
        <v>1051077222.9766268</v>
      </c>
      <c r="Z7" s="9">
        <f t="shared" ref="Z7" si="19">Y12</f>
        <v>1096971146.6083753</v>
      </c>
      <c r="AA7" s="9">
        <f t="shared" ref="AA7" si="20">Z12</f>
        <v>1145212054.6407168</v>
      </c>
      <c r="AB7" s="9">
        <f t="shared" ref="AB7" si="21">AA12</f>
        <v>1195903158.6974905</v>
      </c>
      <c r="AC7" s="9">
        <f t="shared" ref="AC7" si="22">AB12</f>
        <v>1249151872.6344347</v>
      </c>
      <c r="AD7" s="9">
        <f t="shared" ref="AD7" si="23">AC12</f>
        <v>1305069975.7933266</v>
      </c>
      <c r="AE7" s="9">
        <f t="shared" ref="AE7" si="24">AD12</f>
        <v>1363773782.4012992</v>
      </c>
      <c r="AF7" s="9">
        <f t="shared" ref="AF7" si="25">AE12</f>
        <v>1425384317.3414593</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138</v>
      </c>
      <c r="C8" s="9">
        <f>Assumptions!D111*Assumptions!D11</f>
        <v>13161148.275464604</v>
      </c>
      <c r="D8" s="9">
        <f>Assumptions!E111*Assumptions!E11</f>
        <v>13582305.020279469</v>
      </c>
      <c r="E8" s="9">
        <f>Assumptions!F111*Assumptions!F11</f>
        <v>14016938.780928412</v>
      </c>
      <c r="F8" s="9">
        <f>Assumptions!G111*Assumptions!G11</f>
        <v>14465480.821918121</v>
      </c>
      <c r="G8" s="9">
        <f>Assumptions!H111*Assumptions!H11</f>
        <v>14928376.208219502</v>
      </c>
      <c r="H8" s="9">
        <f>Assumptions!I111*Assumptions!I11</f>
        <v>15406084.246882524</v>
      </c>
      <c r="I8" s="9">
        <f>Assumptions!J111*Assumptions!J11</f>
        <v>15899078.942782763</v>
      </c>
      <c r="J8" s="9">
        <f>Assumptions!K111*Assumptions!K11</f>
        <v>16407849.468951814</v>
      </c>
      <c r="K8" s="9">
        <f>Assumptions!L111*Assumptions!L11</f>
        <v>16932900.651958276</v>
      </c>
      <c r="L8" s="9">
        <f>Assumptions!M111*Assumptions!M11</f>
        <v>17474753.472820938</v>
      </c>
      <c r="M8" s="9">
        <f>Assumptions!N111*Assumptions!N11</f>
        <v>18033945.583951205</v>
      </c>
      <c r="N8" s="9">
        <f>Assumptions!O111*Assumptions!O11</f>
        <v>18611031.842637647</v>
      </c>
      <c r="O8" s="9">
        <f>Assumptions!P111*Assumptions!P11</f>
        <v>19206584.861602053</v>
      </c>
      <c r="P8" s="9">
        <f>Assumptions!Q111*Assumptions!Q11</f>
        <v>19821195.577173315</v>
      </c>
      <c r="Q8" s="9">
        <f>Assumptions!R111*Assumptions!R11</f>
        <v>20455473.835642856</v>
      </c>
      <c r="R8" s="9">
        <f>Assumptions!S111*Assumptions!S11</f>
        <v>21110048.998383433</v>
      </c>
      <c r="S8" s="9">
        <f>Assumptions!T111*Assumptions!T11</f>
        <v>21785570.566331703</v>
      </c>
      <c r="T8" s="9">
        <f>Assumptions!U111*Assumptions!U11</f>
        <v>22482708.824454315</v>
      </c>
      <c r="U8" s="9">
        <f>Assumptions!V111*Assumptions!V11</f>
        <v>23202155.50683685</v>
      </c>
      <c r="V8" s="9">
        <f>Assumptions!W111*Assumptions!W11</f>
        <v>23944624.483055633</v>
      </c>
      <c r="W8" s="9">
        <f>Assumptions!X111*Assumptions!X11</f>
        <v>24710852.466513418</v>
      </c>
      <c r="X8" s="9">
        <f>Assumptions!Y111*Assumptions!Y11</f>
        <v>25501599.745441843</v>
      </c>
      <c r="Y8" s="9">
        <f>Assumptions!Z111*Assumptions!Z11</f>
        <v>26317650.937295977</v>
      </c>
      <c r="Z8" s="9">
        <f>Assumptions!AA111*Assumptions!AA11</f>
        <v>27159815.767289449</v>
      </c>
      <c r="AA8" s="9">
        <f>Assumptions!AB111*Assumptions!AB11</f>
        <v>28028929.87184272</v>
      </c>
      <c r="AB8" s="9">
        <f>Assumptions!AC111*Assumptions!AC11</f>
        <v>28925855.627741683</v>
      </c>
      <c r="AC8" s="9">
        <f>Assumptions!AD111*Assumptions!AD11</f>
        <v>29851483.007829413</v>
      </c>
      <c r="AD8" s="9">
        <f>Assumptions!AE111*Assumptions!AE11</f>
        <v>30806730.464079957</v>
      </c>
      <c r="AE8" s="9">
        <f>Assumptions!AF111*Assumptions!AF11</f>
        <v>31792545.838930517</v>
      </c>
      <c r="AF8" s="9">
        <f>Assumptions!AG111*Assumptions!AG11</f>
        <v>32809907.305776287</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425646.26770415436</v>
      </c>
      <c r="D9" s="9">
        <f>Assumptions!E120*Assumptions!E11</f>
        <v>878533.89654137462</v>
      </c>
      <c r="E9" s="9">
        <f>Assumptions!F120*Assumptions!F11</f>
        <v>1359970.4718460476</v>
      </c>
      <c r="F9" s="9">
        <f>Assumptions!G120*Assumptions!G11</f>
        <v>1871319.3692601616</v>
      </c>
      <c r="G9" s="9">
        <f>Assumptions!H120*Assumptions!H11</f>
        <v>2414001.9863456092</v>
      </c>
      <c r="H9" s="9">
        <f>Assumptions!I120*Assumptions!I11</f>
        <v>2989500.0598904015</v>
      </c>
      <c r="I9" s="9">
        <f>Assumptions!J120*Assumptions!J11</f>
        <v>3599358.0721080434</v>
      </c>
      <c r="J9" s="9">
        <f>Assumptions!K120*Assumptions!K11</f>
        <v>4245185.7490462866</v>
      </c>
      <c r="K9" s="9">
        <f>Assumptions!L120*Assumptions!L11</f>
        <v>4928660.6546427393</v>
      </c>
      <c r="L9" s="9">
        <f>Assumptions!M120*Assumptions!M11</f>
        <v>5651530.8839903409</v>
      </c>
      <c r="M9" s="9">
        <f>Assumptions!N120*Assumptions!N11</f>
        <v>6415617.8595058341</v>
      </c>
      <c r="N9" s="9">
        <f>Assumptions!O120*Assumptions!O11</f>
        <v>7222819.2338291137</v>
      </c>
      <c r="O9" s="9">
        <f>Assumptions!P120*Assumptions!P11</f>
        <v>8075111.9034209512</v>
      </c>
      <c r="P9" s="9">
        <f>Assumptions!Q120*Assumptions!Q11</f>
        <v>8974555.1369712222</v>
      </c>
      <c r="Q9" s="9">
        <f>Assumptions!R120*Assumptions!R11</f>
        <v>9923293.822879605</v>
      </c>
      <c r="R9" s="9">
        <f>Assumptions!S120*Assumptions!S11</f>
        <v>10923561.840225872</v>
      </c>
      <c r="S9" s="9">
        <f>Assumptions!T120*Assumptions!T11</f>
        <v>11977685.557807669</v>
      </c>
      <c r="T9" s="9">
        <f>Assumptions!U120*Assumptions!U11</f>
        <v>13088087.465990309</v>
      </c>
      <c r="U9" s="9">
        <f>Assumptions!V120*Assumptions!V11</f>
        <v>14257289.946285442</v>
      </c>
      <c r="V9" s="9">
        <f>Assumptions!W120*Assumptions!W11</f>
        <v>15487919.183754293</v>
      </c>
      <c r="W9" s="9">
        <f>Assumptions!X120*Assumptions!X11</f>
        <v>16782709.227516156</v>
      </c>
      <c r="X9" s="9">
        <f>Assumptions!Y120*Assumptions!Y11</f>
        <v>18144506.204834603</v>
      </c>
      <c r="Y9" s="9">
        <f>Assumptions!Z120*Assumptions!Z11</f>
        <v>19576272.694452461</v>
      </c>
      <c r="Z9" s="9">
        <f>Assumptions!AA120*Assumptions!AA11</f>
        <v>21081092.265052106</v>
      </c>
      <c r="AA9" s="9">
        <f>Assumptions!AB120*Assumptions!AB11</f>
        <v>22662174.184931021</v>
      </c>
      <c r="AB9" s="9">
        <f>Assumptions!AC120*Assumptions!AC11</f>
        <v>24322858.309202768</v>
      </c>
      <c r="AC9" s="9">
        <f>Assumptions!AD120*Assumptions!AD11</f>
        <v>26066620.151062533</v>
      </c>
      <c r="AD9" s="9">
        <f>Assumptions!AE120*Assumptions!AE11</f>
        <v>27897076.143892705</v>
      </c>
      <c r="AE9" s="9">
        <f>Assumptions!AF120*Assumptions!AF11</f>
        <v>29817989.101229314</v>
      </c>
      <c r="AF9" s="9">
        <f>Assumptions!AG120*Assumptions!AG11</f>
        <v>31833273.881864116</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13586794.543168757</v>
      </c>
      <c r="D10" s="9">
        <f>SUM($C$8:D9)</f>
        <v>28047633.459989604</v>
      </c>
      <c r="E10" s="9">
        <f>SUM($C$8:E9)</f>
        <v>43424542.712764055</v>
      </c>
      <c r="F10" s="9">
        <f>SUM($C$8:F9)</f>
        <v>59761342.903942339</v>
      </c>
      <c r="G10" s="9">
        <f>SUM($C$8:G9)</f>
        <v>77103721.098507449</v>
      </c>
      <c r="H10" s="9">
        <f>SUM($C$8:H9)</f>
        <v>95499305.405280381</v>
      </c>
      <c r="I10" s="9">
        <f>SUM($C$8:I9)</f>
        <v>114997742.42017119</v>
      </c>
      <c r="J10" s="9">
        <f>SUM($C$8:J9)</f>
        <v>135650777.63816929</v>
      </c>
      <c r="K10" s="9">
        <f>SUM($C$8:K9)</f>
        <v>157512338.94477031</v>
      </c>
      <c r="L10" s="9">
        <f>SUM($C$8:L9)</f>
        <v>180638623.30158159</v>
      </c>
      <c r="M10" s="9">
        <f>SUM($C$8:M9)</f>
        <v>205088186.74503863</v>
      </c>
      <c r="N10" s="9">
        <f>SUM($C$8:N9)</f>
        <v>230922037.8215054</v>
      </c>
      <c r="O10" s="9">
        <f>SUM($C$8:O9)</f>
        <v>258203734.58652842</v>
      </c>
      <c r="P10" s="9">
        <f>SUM($C$8:P9)</f>
        <v>286999485.30067295</v>
      </c>
      <c r="Q10" s="9">
        <f>SUM($C$8:Q9)</f>
        <v>317378252.95919544</v>
      </c>
      <c r="R10" s="9">
        <f>SUM($C$8:R9)</f>
        <v>349411863.79780465</v>
      </c>
      <c r="S10" s="9">
        <f>SUM($C$8:S9)</f>
        <v>383175119.92194402</v>
      </c>
      <c r="T10" s="9">
        <f>SUM($C$8:T9)</f>
        <v>418745916.21238863</v>
      </c>
      <c r="U10" s="9">
        <f>SUM($C$8:U9)</f>
        <v>456205361.66551089</v>
      </c>
      <c r="V10" s="9">
        <f>SUM($C$8:V9)</f>
        <v>495637905.33232081</v>
      </c>
      <c r="W10" s="9">
        <f>SUM($C$8:W9)</f>
        <v>537131467.02635038</v>
      </c>
      <c r="X10" s="9">
        <f>SUM($C$8:X9)</f>
        <v>580777572.97662687</v>
      </c>
      <c r="Y10" s="9">
        <f>SUM($C$8:Y9)</f>
        <v>626671496.60837531</v>
      </c>
      <c r="Z10" s="9">
        <f>SUM($C$8:Z9)</f>
        <v>674912404.64071679</v>
      </c>
      <c r="AA10" s="9">
        <f>SUM($C$8:AA9)</f>
        <v>725603508.69749057</v>
      </c>
      <c r="AB10" s="9">
        <f>SUM($C$8:AB9)</f>
        <v>778852222.63443494</v>
      </c>
      <c r="AC10" s="9">
        <f>SUM($C$8:AC9)</f>
        <v>834770325.79332709</v>
      </c>
      <c r="AD10" s="9">
        <f>SUM($C$8:AD9)</f>
        <v>893474132.40129972</v>
      </c>
      <c r="AE10" s="9">
        <f>SUM($C$8:AE9)</f>
        <v>955084667.34145963</v>
      </c>
      <c r="AF10" s="9">
        <f>SUM($C$8:AF9)</f>
        <v>1019727848.5290998</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483886444.54316872</v>
      </c>
      <c r="D12" s="9">
        <f>D7+D8+D9</f>
        <v>498347283.45998955</v>
      </c>
      <c r="E12" s="9">
        <f>E7+E8+E9</f>
        <v>513724192.71276402</v>
      </c>
      <c r="F12" s="9">
        <f t="shared" ref="F12:H12" si="26">F7+F8+F9</f>
        <v>530060992.90394229</v>
      </c>
      <c r="G12" s="9">
        <f t="shared" si="26"/>
        <v>547403371.0985074</v>
      </c>
      <c r="H12" s="9">
        <f t="shared" si="26"/>
        <v>565798955.40528035</v>
      </c>
      <c r="I12" s="9">
        <f t="shared" ref="I12:AF12" si="27">I7+I8+I9</f>
        <v>585297392.42017114</v>
      </c>
      <c r="J12" s="9">
        <f t="shared" si="27"/>
        <v>605950427.63816929</v>
      </c>
      <c r="K12" s="9">
        <f t="shared" si="27"/>
        <v>627811988.94477022</v>
      </c>
      <c r="L12" s="9">
        <f t="shared" si="27"/>
        <v>650938273.30158138</v>
      </c>
      <c r="M12" s="9">
        <f t="shared" si="27"/>
        <v>675387836.74503851</v>
      </c>
      <c r="N12" s="9">
        <f t="shared" si="27"/>
        <v>701221687.82150531</v>
      </c>
      <c r="O12" s="9">
        <f t="shared" si="27"/>
        <v>728503384.5865283</v>
      </c>
      <c r="P12" s="9">
        <f t="shared" si="27"/>
        <v>757299135.30067289</v>
      </c>
      <c r="Q12" s="9">
        <f t="shared" si="27"/>
        <v>787677902.95919526</v>
      </c>
      <c r="R12" s="9">
        <f t="shared" si="27"/>
        <v>819711513.79780447</v>
      </c>
      <c r="S12" s="9">
        <f t="shared" si="27"/>
        <v>853474769.9219439</v>
      </c>
      <c r="T12" s="9">
        <f t="shared" si="27"/>
        <v>889045566.21238852</v>
      </c>
      <c r="U12" s="9">
        <f t="shared" si="27"/>
        <v>926505011.66551089</v>
      </c>
      <c r="V12" s="9">
        <f t="shared" si="27"/>
        <v>965937555.33232081</v>
      </c>
      <c r="W12" s="9">
        <f t="shared" si="27"/>
        <v>1007431117.0263504</v>
      </c>
      <c r="X12" s="9">
        <f t="shared" si="27"/>
        <v>1051077222.9766268</v>
      </c>
      <c r="Y12" s="9">
        <f t="shared" si="27"/>
        <v>1096971146.6083753</v>
      </c>
      <c r="Z12" s="9">
        <f t="shared" si="27"/>
        <v>1145212054.6407168</v>
      </c>
      <c r="AA12" s="9">
        <f t="shared" si="27"/>
        <v>1195903158.6974905</v>
      </c>
      <c r="AB12" s="9">
        <f t="shared" si="27"/>
        <v>1249151872.6344347</v>
      </c>
      <c r="AC12" s="9">
        <f t="shared" si="27"/>
        <v>1305069975.7933266</v>
      </c>
      <c r="AD12" s="9">
        <f t="shared" si="27"/>
        <v>1363773782.4012992</v>
      </c>
      <c r="AE12" s="9">
        <f t="shared" si="27"/>
        <v>1425384317.3414593</v>
      </c>
      <c r="AF12" s="9">
        <f t="shared" si="27"/>
        <v>1490027498.5290997</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31322055.697508525</v>
      </c>
      <c r="D18" s="9">
        <f>Investment!D25</f>
        <v>32763628.42809948</v>
      </c>
      <c r="E18" s="9">
        <f>Investment!E25</f>
        <v>34265388.028414011</v>
      </c>
      <c r="F18" s="9">
        <f>Investment!F25</f>
        <v>35829710.287638299</v>
      </c>
      <c r="G18" s="9">
        <f>Investment!G25</f>
        <v>37459061.414111853</v>
      </c>
      <c r="H18" s="9">
        <f>Investment!H25</f>
        <v>39156001.389345162</v>
      </c>
      <c r="I18" s="9">
        <f>Investment!I25</f>
        <v>40923187.444105349</v>
      </c>
      <c r="J18" s="9">
        <f>Investment!J25</f>
        <v>42763377.660947509</v>
      </c>
      <c r="K18" s="9">
        <f>Investment!K25</f>
        <v>44679434.707724802</v>
      </c>
      <c r="L18" s="9">
        <f>Investment!L25</f>
        <v>46674329.706771024</v>
      </c>
      <c r="M18" s="9">
        <f>Investment!M25</f>
        <v>48751146.244615495</v>
      </c>
      <c r="N18" s="9">
        <f>Investment!N25</f>
        <v>50913084.527262293</v>
      </c>
      <c r="O18" s="9">
        <f>Investment!O25</f>
        <v>53163465.686243996</v>
      </c>
      <c r="P18" s="9">
        <f>Investment!P25</f>
        <v>55505736.240844592</v>
      </c>
      <c r="Q18" s="9">
        <f>Investment!Q25</f>
        <v>57943472.722076915</v>
      </c>
      <c r="R18" s="9">
        <f>Investment!R25</f>
        <v>60480386.464197516</v>
      </c>
      <c r="S18" s="9">
        <f>Investment!S25</f>
        <v>63120328.569746405</v>
      </c>
      <c r="T18" s="9">
        <f>Investment!T25</f>
        <v>65867295.054311082</v>
      </c>
      <c r="U18" s="9">
        <f>Investment!U25</f>
        <v>68725432.177432477</v>
      </c>
      <c r="V18" s="9">
        <f>Investment!V25</f>
        <v>71699041.966298029</v>
      </c>
      <c r="W18" s="9">
        <f>Investment!W25</f>
        <v>74792587.939101309</v>
      </c>
      <c r="X18" s="9">
        <f>Investment!X25</f>
        <v>78010701.035190463</v>
      </c>
      <c r="Y18" s="9">
        <f>Investment!Y25</f>
        <v>81358185.7593797</v>
      </c>
      <c r="Z18" s="9">
        <f>Investment!Z25</f>
        <v>84840026.54805702</v>
      </c>
      <c r="AA18" s="9">
        <f>Investment!AA25</f>
        <v>88461394.364992112</v>
      </c>
      <c r="AB18" s="9">
        <f>Investment!AB25</f>
        <v>92227653.535025805</v>
      </c>
      <c r="AC18" s="9">
        <f>Investment!AC25</f>
        <v>96144368.824111894</v>
      </c>
      <c r="AD18" s="9">
        <f>Investment!AD25</f>
        <v>100217312.77447966</v>
      </c>
      <c r="AE18" s="9">
        <f>Investment!AE25</f>
        <v>104452473.30399504</v>
      </c>
      <c r="AF18" s="9">
        <f>Investment!AF25</f>
        <v>108856061.57911834</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501621705.69750851</v>
      </c>
      <c r="D19" s="9">
        <f>D18+C20</f>
        <v>520798539.58243924</v>
      </c>
      <c r="E19" s="9">
        <f>E18+D20</f>
        <v>540603088.69403243</v>
      </c>
      <c r="F19" s="9">
        <f t="shared" ref="F19:AF19" si="28">F18+E20</f>
        <v>561055889.72889626</v>
      </c>
      <c r="G19" s="9">
        <f t="shared" si="28"/>
        <v>582178150.95182979</v>
      </c>
      <c r="H19" s="9">
        <f t="shared" si="28"/>
        <v>603991774.14660978</v>
      </c>
      <c r="I19" s="9">
        <f t="shared" si="28"/>
        <v>626519377.28394222</v>
      </c>
      <c r="J19" s="9">
        <f t="shared" si="28"/>
        <v>649784317.92999899</v>
      </c>
      <c r="K19" s="9">
        <f t="shared" si="28"/>
        <v>673810717.41972566</v>
      </c>
      <c r="L19" s="9">
        <f t="shared" si="28"/>
        <v>698623485.81989574</v>
      </c>
      <c r="M19" s="9">
        <f t="shared" si="28"/>
        <v>724248347.70770001</v>
      </c>
      <c r="N19" s="9">
        <f t="shared" si="28"/>
        <v>750711868.79150522</v>
      </c>
      <c r="O19" s="9">
        <f t="shared" si="28"/>
        <v>778041483.40128243</v>
      </c>
      <c r="P19" s="9">
        <f t="shared" si="28"/>
        <v>806265522.87710404</v>
      </c>
      <c r="Q19" s="9">
        <f t="shared" si="28"/>
        <v>835413244.88503635</v>
      </c>
      <c r="R19" s="9">
        <f t="shared" si="28"/>
        <v>865514863.6907115</v>
      </c>
      <c r="S19" s="9">
        <f t="shared" si="28"/>
        <v>896601581.42184865</v>
      </c>
      <c r="T19" s="9">
        <f t="shared" si="28"/>
        <v>928705620.35202026</v>
      </c>
      <c r="U19" s="9">
        <f t="shared" si="28"/>
        <v>961860256.23900819</v>
      </c>
      <c r="V19" s="9">
        <f t="shared" si="28"/>
        <v>996099852.75218379</v>
      </c>
      <c r="W19" s="9">
        <f t="shared" si="28"/>
        <v>1031459897.0244752</v>
      </c>
      <c r="X19" s="9">
        <f t="shared" si="28"/>
        <v>1067977036.3656361</v>
      </c>
      <c r="Y19" s="9">
        <f t="shared" si="28"/>
        <v>1105689116.1747394</v>
      </c>
      <c r="Z19" s="9">
        <f t="shared" si="28"/>
        <v>1144635219.091048</v>
      </c>
      <c r="AA19" s="9">
        <f t="shared" si="28"/>
        <v>1184855705.4236987</v>
      </c>
      <c r="AB19" s="9">
        <f t="shared" si="28"/>
        <v>1226392254.9019508</v>
      </c>
      <c r="AC19" s="9">
        <f t="shared" si="28"/>
        <v>1269287909.7891185</v>
      </c>
      <c r="AD19" s="9">
        <f t="shared" si="28"/>
        <v>1313587119.4047062</v>
      </c>
      <c r="AE19" s="9">
        <f t="shared" si="28"/>
        <v>1359335786.1007288</v>
      </c>
      <c r="AF19" s="9">
        <f t="shared" si="28"/>
        <v>1406581312.739687</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488034911.15433979</v>
      </c>
      <c r="D20" s="9">
        <f>D19-D8-D9</f>
        <v>506337700.66561842</v>
      </c>
      <c r="E20" s="9">
        <f t="shared" ref="E20:AF20" si="29">E19-E8-E9</f>
        <v>525226179.44125795</v>
      </c>
      <c r="F20" s="9">
        <f t="shared" si="29"/>
        <v>544719089.53771794</v>
      </c>
      <c r="G20" s="9">
        <f t="shared" si="29"/>
        <v>564835772.75726461</v>
      </c>
      <c r="H20" s="9">
        <f t="shared" si="29"/>
        <v>585596189.83983684</v>
      </c>
      <c r="I20" s="9">
        <f t="shared" si="29"/>
        <v>607020940.26905143</v>
      </c>
      <c r="J20" s="9">
        <f t="shared" si="29"/>
        <v>629131282.71200085</v>
      </c>
      <c r="K20" s="9">
        <f t="shared" si="29"/>
        <v>651949156.11312473</v>
      </c>
      <c r="L20" s="9">
        <f t="shared" si="29"/>
        <v>675497201.46308446</v>
      </c>
      <c r="M20" s="9">
        <f t="shared" si="29"/>
        <v>699798784.26424289</v>
      </c>
      <c r="N20" s="9">
        <f t="shared" si="29"/>
        <v>724878017.71503842</v>
      </c>
      <c r="O20" s="9">
        <f t="shared" si="29"/>
        <v>750759786.63625944</v>
      </c>
      <c r="P20" s="9">
        <f t="shared" si="29"/>
        <v>777469772.16295946</v>
      </c>
      <c r="Q20" s="9">
        <f t="shared" si="29"/>
        <v>805034477.22651398</v>
      </c>
      <c r="R20" s="9">
        <f t="shared" si="29"/>
        <v>833481252.85210228</v>
      </c>
      <c r="S20" s="9">
        <f t="shared" si="29"/>
        <v>862838325.29770923</v>
      </c>
      <c r="T20" s="9">
        <f t="shared" si="29"/>
        <v>893134824.06157565</v>
      </c>
      <c r="U20" s="9">
        <f t="shared" si="29"/>
        <v>924400810.78588581</v>
      </c>
      <c r="V20" s="9">
        <f t="shared" si="29"/>
        <v>956667309.08537388</v>
      </c>
      <c r="W20" s="9">
        <f t="shared" si="29"/>
        <v>989966335.33044565</v>
      </c>
      <c r="X20" s="9">
        <f t="shared" si="29"/>
        <v>1024330930.4153597</v>
      </c>
      <c r="Y20" s="9">
        <f t="shared" si="29"/>
        <v>1059795192.542991</v>
      </c>
      <c r="Z20" s="9">
        <f t="shared" si="29"/>
        <v>1096394311.0587065</v>
      </c>
      <c r="AA20" s="9">
        <f t="shared" si="29"/>
        <v>1134164601.366925</v>
      </c>
      <c r="AB20" s="9">
        <f t="shared" si="29"/>
        <v>1173143540.9650066</v>
      </c>
      <c r="AC20" s="9">
        <f t="shared" si="29"/>
        <v>1213369806.6302266</v>
      </c>
      <c r="AD20" s="9">
        <f t="shared" si="29"/>
        <v>1254883312.7967336</v>
      </c>
      <c r="AE20" s="9">
        <f t="shared" si="29"/>
        <v>1297725251.1605687</v>
      </c>
      <c r="AF20" s="9">
        <f t="shared" si="29"/>
        <v>1341938131.5520465</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49920000</v>
      </c>
      <c r="D22" s="9">
        <f ca="1">'Balance Sheet'!C11</f>
        <v>72563254.552728504</v>
      </c>
      <c r="E22" s="9">
        <f ca="1">'Balance Sheet'!D11</f>
        <v>92547257.741029724</v>
      </c>
      <c r="F22" s="9">
        <f ca="1">'Balance Sheet'!E11</f>
        <v>109316116.60109329</v>
      </c>
      <c r="G22" s="9">
        <f ca="1">'Balance Sheet'!F11</f>
        <v>124120229.10115653</v>
      </c>
      <c r="H22" s="9">
        <f ca="1">'Balance Sheet'!G11</f>
        <v>137254765.30446669</v>
      </c>
      <c r="I22" s="9">
        <f ca="1">'Balance Sheet'!H11</f>
        <v>148220468.60179526</v>
      </c>
      <c r="J22" s="9">
        <f ca="1">'Balance Sheet'!I11</f>
        <v>157605128.5486975</v>
      </c>
      <c r="K22" s="9">
        <f ca="1">'Balance Sheet'!J11</f>
        <v>166918799.29710752</v>
      </c>
      <c r="L22" s="9">
        <f ca="1">'Balance Sheet'!K11</f>
        <v>176073314.45823881</v>
      </c>
      <c r="M22" s="9">
        <f ca="1">'Balance Sheet'!L11</f>
        <v>184969549.81653875</v>
      </c>
      <c r="N22" s="9">
        <f ca="1">'Balance Sheet'!M11</f>
        <v>194245102.736884</v>
      </c>
      <c r="O22" s="9">
        <f ca="1">'Balance Sheet'!N11</f>
        <v>203882712.53243455</v>
      </c>
      <c r="P22" s="9">
        <f ca="1">'Balance Sheet'!O11</f>
        <v>213861309.75482816</v>
      </c>
      <c r="Q22" s="9">
        <f ca="1">'Balance Sheet'!P11</f>
        <v>224155658.39555517</v>
      </c>
      <c r="R22" s="9">
        <f ca="1">'Balance Sheet'!Q11</f>
        <v>234735972.13220999</v>
      </c>
      <c r="S22" s="9">
        <f ca="1">'Balance Sheet'!R11</f>
        <v>245567502.96946442</v>
      </c>
      <c r="T22" s="9">
        <f ca="1">'Balance Sheet'!S11</f>
        <v>256610100.52774385</v>
      </c>
      <c r="U22" s="9">
        <f ca="1">'Balance Sheet'!T11</f>
        <v>267817740.1303297</v>
      </c>
      <c r="V22" s="9">
        <f ca="1">'Balance Sheet'!U11</f>
        <v>279138017.73166871</v>
      </c>
      <c r="W22" s="9">
        <f ca="1">'Balance Sheet'!V11</f>
        <v>290511609.61574006</v>
      </c>
      <c r="X22" s="9">
        <f ca="1">'Balance Sheet'!W11</f>
        <v>301871694.6730926</v>
      </c>
      <c r="Y22" s="9">
        <f ca="1">'Balance Sheet'!X11</f>
        <v>313143336.9382782</v>
      </c>
      <c r="Z22" s="9">
        <f ca="1">'Balance Sheet'!Y11</f>
        <v>324242825.93552226</v>
      </c>
      <c r="AA22" s="9">
        <f ca="1">'Balance Sheet'!Z11</f>
        <v>335076972.23921013</v>
      </c>
      <c r="AB22" s="9">
        <f ca="1">'Balance Sheet'!AA11</f>
        <v>346987475.20141637</v>
      </c>
      <c r="AC22" s="9">
        <f ca="1">'Balance Sheet'!AB11</f>
        <v>360786782.22229898</v>
      </c>
      <c r="AD22" s="9">
        <f ca="1">'Balance Sheet'!AC11</f>
        <v>377085229.95517892</v>
      </c>
      <c r="AE22" s="9">
        <f ca="1">'Balance Sheet'!AD11</f>
        <v>396082852.94157779</v>
      </c>
      <c r="AF22" s="9">
        <f ca="1">'Balance Sheet'!AE11</f>
        <v>417991607.43493861</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438114911.15433979</v>
      </c>
      <c r="D23" s="9">
        <f t="shared" ref="D23:AF23" ca="1" si="30">D20-D22</f>
        <v>433774446.11288989</v>
      </c>
      <c r="E23" s="9">
        <f t="shared" ca="1" si="30"/>
        <v>432678921.70022821</v>
      </c>
      <c r="F23" s="9">
        <f t="shared" ca="1" si="30"/>
        <v>435402972.93662465</v>
      </c>
      <c r="G23" s="9">
        <f t="shared" ca="1" si="30"/>
        <v>440715543.65610808</v>
      </c>
      <c r="H23" s="9">
        <f t="shared" ca="1" si="30"/>
        <v>448341424.53537011</v>
      </c>
      <c r="I23" s="9">
        <f t="shared" ca="1" si="30"/>
        <v>458800471.66725618</v>
      </c>
      <c r="J23" s="9">
        <f ca="1">J20-J22</f>
        <v>471526154.16330338</v>
      </c>
      <c r="K23" s="9">
        <f t="shared" ca="1" si="30"/>
        <v>485030356.81601721</v>
      </c>
      <c r="L23" s="9">
        <f t="shared" ca="1" si="30"/>
        <v>499423887.00484562</v>
      </c>
      <c r="M23" s="9">
        <f t="shared" ca="1" si="30"/>
        <v>514829234.44770414</v>
      </c>
      <c r="N23" s="9">
        <f t="shared" ca="1" si="30"/>
        <v>530632914.97815442</v>
      </c>
      <c r="O23" s="9">
        <f t="shared" ca="1" si="30"/>
        <v>546877074.10382485</v>
      </c>
      <c r="P23" s="9">
        <f t="shared" ca="1" si="30"/>
        <v>563608462.40813136</v>
      </c>
      <c r="Q23" s="9">
        <f t="shared" ca="1" si="30"/>
        <v>580878818.83095884</v>
      </c>
      <c r="R23" s="9">
        <f t="shared" ca="1" si="30"/>
        <v>598745280.71989226</v>
      </c>
      <c r="S23" s="9">
        <f t="shared" ca="1" si="30"/>
        <v>617270822.32824481</v>
      </c>
      <c r="T23" s="9">
        <f t="shared" ca="1" si="30"/>
        <v>636524723.53383183</v>
      </c>
      <c r="U23" s="9">
        <f t="shared" ca="1" si="30"/>
        <v>656583070.65555608</v>
      </c>
      <c r="V23" s="9">
        <f t="shared" ca="1" si="30"/>
        <v>677529291.35370517</v>
      </c>
      <c r="W23" s="9">
        <f t="shared" ca="1" si="30"/>
        <v>699454725.71470559</v>
      </c>
      <c r="X23" s="9">
        <f t="shared" ca="1" si="30"/>
        <v>722459235.74226713</v>
      </c>
      <c r="Y23" s="9">
        <f t="shared" ca="1" si="30"/>
        <v>746651855.60471284</v>
      </c>
      <c r="Z23" s="9">
        <f t="shared" ca="1" si="30"/>
        <v>772151485.1231842</v>
      </c>
      <c r="AA23" s="9">
        <f t="shared" ca="1" si="30"/>
        <v>799087629.12771487</v>
      </c>
      <c r="AB23" s="9">
        <f t="shared" ca="1" si="30"/>
        <v>826156065.76359022</v>
      </c>
      <c r="AC23" s="9">
        <f t="shared" ca="1" si="30"/>
        <v>852583024.40792763</v>
      </c>
      <c r="AD23" s="9">
        <f t="shared" ca="1" si="30"/>
        <v>877798082.84155464</v>
      </c>
      <c r="AE23" s="9">
        <f t="shared" ca="1" si="30"/>
        <v>901642398.21899092</v>
      </c>
      <c r="AF23" s="9">
        <f t="shared" ca="1" si="30"/>
        <v>923946524.11710787</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164</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49920000</v>
      </c>
      <c r="D5" s="1">
        <f ca="1">C5+C6</f>
        <v>72563254.552728504</v>
      </c>
      <c r="E5" s="1">
        <f t="shared" ref="E5:AF5" ca="1" si="1">D5+D6</f>
        <v>92547257.741029724</v>
      </c>
      <c r="F5" s="1">
        <f t="shared" ca="1" si="1"/>
        <v>109316116.60109329</v>
      </c>
      <c r="G5" s="1">
        <f t="shared" ca="1" si="1"/>
        <v>124120229.10115653</v>
      </c>
      <c r="H5" s="1">
        <f t="shared" ca="1" si="1"/>
        <v>137254765.30446669</v>
      </c>
      <c r="I5" s="1">
        <f t="shared" ca="1" si="1"/>
        <v>148220468.60179526</v>
      </c>
      <c r="J5" s="1">
        <f t="shared" ca="1" si="1"/>
        <v>157605128.5486975</v>
      </c>
      <c r="K5" s="1">
        <f t="shared" ca="1" si="1"/>
        <v>166918799.29710752</v>
      </c>
      <c r="L5" s="1">
        <f t="shared" ca="1" si="1"/>
        <v>176073314.45823881</v>
      </c>
      <c r="M5" s="1">
        <f t="shared" ca="1" si="1"/>
        <v>184969549.81653875</v>
      </c>
      <c r="N5" s="1">
        <f t="shared" ca="1" si="1"/>
        <v>194245102.736884</v>
      </c>
      <c r="O5" s="1">
        <f t="shared" ca="1" si="1"/>
        <v>203882712.53243455</v>
      </c>
      <c r="P5" s="1">
        <f t="shared" ca="1" si="1"/>
        <v>213861309.75482816</v>
      </c>
      <c r="Q5" s="1">
        <f t="shared" ca="1" si="1"/>
        <v>224155658.39555517</v>
      </c>
      <c r="R5" s="1">
        <f t="shared" ca="1" si="1"/>
        <v>234735972.13220999</v>
      </c>
      <c r="S5" s="1">
        <f t="shared" ca="1" si="1"/>
        <v>245567502.96946442</v>
      </c>
      <c r="T5" s="1">
        <f t="shared" ca="1" si="1"/>
        <v>256610100.52774385</v>
      </c>
      <c r="U5" s="1">
        <f t="shared" ca="1" si="1"/>
        <v>267817740.1303297</v>
      </c>
      <c r="V5" s="1">
        <f t="shared" ca="1" si="1"/>
        <v>279138017.73166871</v>
      </c>
      <c r="W5" s="1">
        <f t="shared" ca="1" si="1"/>
        <v>290511609.61574006</v>
      </c>
      <c r="X5" s="1">
        <f t="shared" ca="1" si="1"/>
        <v>301871694.6730926</v>
      </c>
      <c r="Y5" s="1">
        <f t="shared" ca="1" si="1"/>
        <v>313143336.9382782</v>
      </c>
      <c r="Z5" s="1">
        <f t="shared" ca="1" si="1"/>
        <v>324242825.93552226</v>
      </c>
      <c r="AA5" s="1">
        <f t="shared" ca="1" si="1"/>
        <v>335076972.23921013</v>
      </c>
      <c r="AB5" s="1">
        <f t="shared" ca="1" si="1"/>
        <v>346987475.20141637</v>
      </c>
      <c r="AC5" s="1">
        <f t="shared" ca="1" si="1"/>
        <v>360786782.22229898</v>
      </c>
      <c r="AD5" s="1">
        <f t="shared" ca="1" si="1"/>
        <v>377085229.95517892</v>
      </c>
      <c r="AE5" s="1">
        <f t="shared" ca="1" si="1"/>
        <v>396082852.94157779</v>
      </c>
      <c r="AF5" s="1">
        <f t="shared" ca="1" si="1"/>
        <v>417991607.43493861</v>
      </c>
      <c r="AG5" s="1"/>
      <c r="AH5" s="1"/>
      <c r="AI5" s="1"/>
      <c r="AJ5" s="1"/>
      <c r="AK5" s="1"/>
      <c r="AL5" s="1"/>
      <c r="AM5" s="1"/>
      <c r="AN5" s="1"/>
      <c r="AO5" s="1"/>
      <c r="AP5" s="1"/>
    </row>
    <row r="6" spans="1:42" x14ac:dyDescent="0.35">
      <c r="A6" s="63" t="s">
        <v>3</v>
      </c>
      <c r="C6" s="1">
        <f ca="1">-'Cash Flow'!C13</f>
        <v>22643254.552728504</v>
      </c>
      <c r="D6" s="1">
        <f ca="1">-'Cash Flow'!D13</f>
        <v>19984003.188301221</v>
      </c>
      <c r="E6" s="1">
        <f ca="1">-'Cash Flow'!E13</f>
        <v>16768858.860063571</v>
      </c>
      <c r="F6" s="1">
        <f ca="1">-'Cash Flow'!F13</f>
        <v>14804112.500063233</v>
      </c>
      <c r="G6" s="1">
        <f ca="1">-'Cash Flow'!G13</f>
        <v>13134536.203310169</v>
      </c>
      <c r="H6" s="1">
        <f ca="1">-'Cash Flow'!H13</f>
        <v>10965703.297328573</v>
      </c>
      <c r="I6" s="1">
        <f ca="1">-'Cash Flow'!I13</f>
        <v>9384659.9469022527</v>
      </c>
      <c r="J6" s="1">
        <f ca="1">-'Cash Flow'!J13</f>
        <v>9313670.7484100312</v>
      </c>
      <c r="K6" s="1">
        <f ca="1">-'Cash Flow'!K13</f>
        <v>9154515.1611313</v>
      </c>
      <c r="L6" s="1">
        <f ca="1">-'Cash Flow'!L13</f>
        <v>8896235.3582999334</v>
      </c>
      <c r="M6" s="1">
        <f ca="1">-'Cash Flow'!M13</f>
        <v>9275552.9203452617</v>
      </c>
      <c r="N6" s="1">
        <f ca="1">-'Cash Flow'!N13</f>
        <v>9637609.795550555</v>
      </c>
      <c r="O6" s="1">
        <f ca="1">-'Cash Flow'!O13</f>
        <v>9978597.2223936021</v>
      </c>
      <c r="P6" s="1">
        <f ca="1">-'Cash Flow'!P13</f>
        <v>10294348.640727013</v>
      </c>
      <c r="Q6" s="1">
        <f ca="1">-'Cash Flow'!Q13</f>
        <v>10580313.736654826</v>
      </c>
      <c r="R6" s="1">
        <f ca="1">-'Cash Flow'!R13</f>
        <v>10831530.837254427</v>
      </c>
      <c r="S6" s="1">
        <f ca="1">-'Cash Flow'!S13</f>
        <v>11042597.558279425</v>
      </c>
      <c r="T6" s="1">
        <f ca="1">-'Cash Flow'!T13</f>
        <v>11207639.60258586</v>
      </c>
      <c r="U6" s="1">
        <f ca="1">-'Cash Flow'!U13</f>
        <v>11320277.601338997</v>
      </c>
      <c r="V6" s="1">
        <f ca="1">-'Cash Flow'!V13</f>
        <v>11373591.884071365</v>
      </c>
      <c r="W6" s="1">
        <f ca="1">-'Cash Flow'!W13</f>
        <v>11360085.057352535</v>
      </c>
      <c r="X6" s="1">
        <f ca="1">-'Cash Flow'!X13</f>
        <v>11271642.265185595</v>
      </c>
      <c r="Y6" s="1">
        <f ca="1">-'Cash Flow'!Y13</f>
        <v>11099488.997244075</v>
      </c>
      <c r="Z6" s="1">
        <f ca="1">-'Cash Flow'!Z13</f>
        <v>10834146.303687871</v>
      </c>
      <c r="AA6" s="1">
        <f ca="1">-'Cash Flow'!AA13</f>
        <v>11910502.962206215</v>
      </c>
      <c r="AB6" s="1">
        <f ca="1">-'Cash Flow'!AB13</f>
        <v>13799307.020882621</v>
      </c>
      <c r="AC6" s="1">
        <f ca="1">-'Cash Flow'!AC13</f>
        <v>16298447.732879952</v>
      </c>
      <c r="AD6" s="1">
        <f ca="1">-'Cash Flow'!AD13</f>
        <v>18997622.986398876</v>
      </c>
      <c r="AE6" s="1">
        <f ca="1">-'Cash Flow'!AE13</f>
        <v>21908754.493360817</v>
      </c>
      <c r="AF6" s="1">
        <f ca="1">-'Cash Flow'!AF13</f>
        <v>25044378.665720761</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2539713.9093454978</v>
      </c>
      <c r="D8" s="1">
        <f ca="1">IF(SUM(D5:D6)&gt;0,Assumptions!$C$26*SUM(D5:D6),Assumptions!$C$27*(SUM(D5:D6)))</f>
        <v>3239154.0209360407</v>
      </c>
      <c r="E8" s="1">
        <f ca="1">IF(SUM(E5:E6)&gt;0,Assumptions!$C$26*SUM(E5:E6),Assumptions!$C$27*(SUM(E5:E6)))</f>
        <v>3826064.0810382655</v>
      </c>
      <c r="F8" s="1">
        <f ca="1">IF(SUM(F5:F6)&gt;0,Assumptions!$C$26*SUM(F5:F6),Assumptions!$C$27*(SUM(F5:F6)))</f>
        <v>4344208.0185404792</v>
      </c>
      <c r="G8" s="1">
        <f ca="1">IF(SUM(G5:G6)&gt;0,Assumptions!$C$26*SUM(G5:G6),Assumptions!$C$27*(SUM(G5:G6)))</f>
        <v>4803916.7856563348</v>
      </c>
      <c r="H8" s="1">
        <f ca="1">IF(SUM(H5:H6)&gt;0,Assumptions!$C$26*SUM(H5:H6),Assumptions!$C$27*(SUM(H5:H6)))</f>
        <v>5187716.4010628341</v>
      </c>
      <c r="I8" s="1">
        <f ca="1">IF(SUM(I5:I6)&gt;0,Assumptions!$C$26*SUM(I5:I6),Assumptions!$C$27*(SUM(I5:I6)))</f>
        <v>5516179.499204413</v>
      </c>
      <c r="J8" s="1">
        <f ca="1">IF(SUM(J5:J6)&gt;0,Assumptions!$C$26*SUM(J5:J6),Assumptions!$C$27*(SUM(J5:J6)))</f>
        <v>5842157.975398764</v>
      </c>
      <c r="K8" s="1">
        <f ca="1">IF(SUM(K5:K6)&gt;0,Assumptions!$C$26*SUM(K5:K6),Assumptions!$C$27*(SUM(K5:K6)))</f>
        <v>6162566.0060383594</v>
      </c>
      <c r="L8" s="1">
        <f ca="1">IF(SUM(L5:L6)&gt;0,Assumptions!$C$26*SUM(L5:L6),Assumptions!$C$27*(SUM(L5:L6)))</f>
        <v>6473934.2435788568</v>
      </c>
      <c r="M8" s="1">
        <f ca="1">IF(SUM(M5:M6)&gt;0,Assumptions!$C$26*SUM(M5:M6),Assumptions!$C$27*(SUM(M5:M6)))</f>
        <v>6798578.5957909403</v>
      </c>
      <c r="N8" s="1">
        <f ca="1">IF(SUM(N5:N6)&gt;0,Assumptions!$C$26*SUM(N5:N6),Assumptions!$C$27*(SUM(N5:N6)))</f>
        <v>7135894.9386352096</v>
      </c>
      <c r="O8" s="1">
        <f ca="1">IF(SUM(O5:O6)&gt;0,Assumptions!$C$26*SUM(O5:O6),Assumptions!$C$27*(SUM(O5:O6)))</f>
        <v>7485145.8414189862</v>
      </c>
      <c r="P8" s="1">
        <f ca="1">IF(SUM(P5:P6)&gt;0,Assumptions!$C$26*SUM(P5:P6),Assumptions!$C$27*(SUM(P5:P6)))</f>
        <v>7845448.0438444316</v>
      </c>
      <c r="Q8" s="1">
        <f ca="1">IF(SUM(Q5:Q6)&gt;0,Assumptions!$C$26*SUM(Q5:Q6),Assumptions!$C$27*(SUM(Q5:Q6)))</f>
        <v>8215759.0246273503</v>
      </c>
      <c r="R8" s="1">
        <f ca="1">IF(SUM(R5:R6)&gt;0,Assumptions!$C$26*SUM(R5:R6),Assumptions!$C$27*(SUM(R5:R6)))</f>
        <v>8594862.6039312556</v>
      </c>
      <c r="S8" s="1">
        <f ca="1">IF(SUM(S5:S6)&gt;0,Assumptions!$C$26*SUM(S5:S6),Assumptions!$C$27*(SUM(S5:S6)))</f>
        <v>8981353.5184710361</v>
      </c>
      <c r="T8" s="1">
        <f ca="1">IF(SUM(T5:T6)&gt;0,Assumptions!$C$26*SUM(T5:T6),Assumptions!$C$27*(SUM(T5:T6)))</f>
        <v>9373620.9045615401</v>
      </c>
      <c r="U8" s="1">
        <f ca="1">IF(SUM(U5:U6)&gt;0,Assumptions!$C$26*SUM(U5:U6),Assumptions!$C$27*(SUM(U5:U6)))</f>
        <v>9769830.6206084061</v>
      </c>
      <c r="V8" s="1">
        <f ca="1">IF(SUM(V5:V6)&gt;0,Assumptions!$C$26*SUM(V5:V6),Assumptions!$C$27*(SUM(V5:V6)))</f>
        <v>10167906.336550903</v>
      </c>
      <c r="W8" s="1">
        <f ca="1">IF(SUM(W5:W6)&gt;0,Assumptions!$C$26*SUM(W5:W6),Assumptions!$C$27*(SUM(W5:W6)))</f>
        <v>10565509.313558241</v>
      </c>
      <c r="X8" s="1">
        <f ca="1">IF(SUM(X5:X6)&gt;0,Assumptions!$C$26*SUM(X5:X6),Assumptions!$C$27*(SUM(X5:X6)))</f>
        <v>10960016.792839738</v>
      </c>
      <c r="Y8" s="1">
        <f ca="1">IF(SUM(Y5:Y6)&gt;0,Assumptions!$C$26*SUM(Y5:Y6),Assumptions!$C$27*(SUM(Y5:Y6)))</f>
        <v>11348498.907743281</v>
      </c>
      <c r="Z8" s="1">
        <f ca="1">IF(SUM(Z5:Z6)&gt;0,Assumptions!$C$26*SUM(Z5:Z6),Assumptions!$C$27*(SUM(Z5:Z6)))</f>
        <v>11727694.028372355</v>
      </c>
      <c r="AA8" s="1">
        <f ca="1">IF(SUM(AA5:AA6)&gt;0,Assumptions!$C$26*SUM(AA5:AA6),Assumptions!$C$27*(SUM(AA5:AA6)))</f>
        <v>12144561.632049574</v>
      </c>
      <c r="AB8" s="1">
        <f ca="1">IF(SUM(AB5:AB6)&gt;0,Assumptions!$C$26*SUM(AB5:AB6),Assumptions!$C$27*(SUM(AB5:AB6)))</f>
        <v>12627537.377780465</v>
      </c>
      <c r="AC8" s="1">
        <f ca="1">IF(SUM(AC5:AC6)&gt;0,Assumptions!$C$26*SUM(AC5:AC6),Assumptions!$C$27*(SUM(AC5:AC6)))</f>
        <v>13197983.048431264</v>
      </c>
      <c r="AD8" s="1">
        <f ca="1">IF(SUM(AD5:AD6)&gt;0,Assumptions!$C$26*SUM(AD5:AD6),Assumptions!$C$27*(SUM(AD5:AD6)))</f>
        <v>13862899.852955224</v>
      </c>
      <c r="AE8" s="1">
        <f ca="1">IF(SUM(AE5:AE6)&gt;0,Assumptions!$C$26*SUM(AE5:AE6),Assumptions!$C$27*(SUM(AE5:AE6)))</f>
        <v>14629706.260222852</v>
      </c>
      <c r="AF8" s="1">
        <f ca="1">IF(SUM(AF5:AF6)&gt;0,Assumptions!$C$26*SUM(AF5:AF6),Assumptions!$C$27*(SUM(AF5:AF6)))</f>
        <v>15506259.513523079</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Normal="100" workbookViewId="0">
      <selection sqref="A1:XFD1048576"/>
    </sheetView>
  </sheetViews>
  <sheetFormatPr defaultRowHeight="15.5" x14ac:dyDescent="0.35"/>
  <cols>
    <col min="1" max="1" width="107.9140625" style="63" customWidth="1"/>
    <col min="2" max="2" width="18.1640625" style="63" bestFit="1" customWidth="1"/>
    <col min="3" max="3" width="60.33203125" style="63" customWidth="1"/>
    <col min="4" max="16384" width="8.6640625" style="63"/>
  </cols>
  <sheetData>
    <row r="1" spans="1:3" ht="26" x14ac:dyDescent="0.6">
      <c r="A1" s="13" t="s">
        <v>182</v>
      </c>
    </row>
    <row r="2" spans="1:3" ht="26" x14ac:dyDescent="0.6">
      <c r="A2" s="13"/>
    </row>
    <row r="3" spans="1:3" ht="186" x14ac:dyDescent="0.35">
      <c r="A3" s="173" t="s">
        <v>185</v>
      </c>
    </row>
    <row r="4" spans="1:3" ht="26" x14ac:dyDescent="0.6">
      <c r="A4" s="13"/>
    </row>
    <row r="5" spans="1:3" ht="18.5" x14ac:dyDescent="0.45">
      <c r="A5" s="89" t="s">
        <v>174</v>
      </c>
      <c r="B5" s="90"/>
    </row>
    <row r="6" spans="1:3" ht="18.5" x14ac:dyDescent="0.45">
      <c r="A6" s="90"/>
      <c r="B6" s="90"/>
    </row>
    <row r="7" spans="1:3" ht="18.5" x14ac:dyDescent="0.45">
      <c r="A7" s="90" t="s">
        <v>96</v>
      </c>
      <c r="B7" s="91">
        <f>Assumptions!C24</f>
        <v>23040794.340000004</v>
      </c>
      <c r="C7" s="180" t="str">
        <f>[57]Assumptions!B24</f>
        <v>RFI Table F10; Lines F10.62 + F10.70</v>
      </c>
    </row>
    <row r="8" spans="1:3" ht="34" x14ac:dyDescent="0.45">
      <c r="A8" s="90" t="s">
        <v>172</v>
      </c>
      <c r="B8" s="92">
        <f>Assumptions!$C$133</f>
        <v>0.7</v>
      </c>
      <c r="C8" s="180" t="s">
        <v>197</v>
      </c>
    </row>
    <row r="9" spans="1:3" ht="18.5" x14ac:dyDescent="0.45">
      <c r="A9" s="90"/>
      <c r="B9" s="93"/>
      <c r="C9" s="180"/>
    </row>
    <row r="10" spans="1:3" ht="68" x14ac:dyDescent="0.45">
      <c r="A10" s="94" t="s">
        <v>102</v>
      </c>
      <c r="B10" s="95">
        <f>Assumptions!C135</f>
        <v>17957.222222222223</v>
      </c>
      <c r="C10" s="180" t="s">
        <v>198</v>
      </c>
    </row>
    <row r="11" spans="1:3" ht="18.5" x14ac:dyDescent="0.45">
      <c r="A11" s="94"/>
      <c r="B11" s="94"/>
      <c r="C11" s="180"/>
    </row>
    <row r="12" spans="1:3" ht="18.5" x14ac:dyDescent="0.45">
      <c r="A12" s="94" t="s">
        <v>181</v>
      </c>
      <c r="B12" s="91">
        <f>(B7*B8)/B10</f>
        <v>898.16541993008082</v>
      </c>
      <c r="C12" s="180"/>
    </row>
    <row r="13" spans="1:3" ht="18.5" x14ac:dyDescent="0.45">
      <c r="A13" s="96"/>
      <c r="B13" s="97"/>
      <c r="C13" s="180"/>
    </row>
    <row r="14" spans="1:3" ht="18.5" x14ac:dyDescent="0.45">
      <c r="A14" s="94" t="s">
        <v>103</v>
      </c>
      <c r="B14" s="98">
        <v>1</v>
      </c>
      <c r="C14" s="180"/>
    </row>
    <row r="15" spans="1:3" ht="18.5" x14ac:dyDescent="0.45">
      <c r="A15" s="96"/>
      <c r="B15" s="99"/>
      <c r="C15" s="180"/>
    </row>
    <row r="16" spans="1:3" ht="18.5" x14ac:dyDescent="0.45">
      <c r="A16" s="96" t="s">
        <v>176</v>
      </c>
      <c r="B16" s="100">
        <f>B12/B14</f>
        <v>898.16541993008082</v>
      </c>
      <c r="C16" s="180"/>
    </row>
    <row r="17" spans="1:3" ht="18.5" x14ac:dyDescent="0.45">
      <c r="A17" s="94"/>
      <c r="B17" s="101"/>
      <c r="C17" s="180"/>
    </row>
    <row r="18" spans="1:3" ht="18.5" x14ac:dyDescent="0.45">
      <c r="A18" s="102" t="s">
        <v>175</v>
      </c>
      <c r="B18" s="101"/>
      <c r="C18" s="180"/>
    </row>
    <row r="19" spans="1:3" ht="18.5" x14ac:dyDescent="0.45">
      <c r="A19" s="94"/>
      <c r="B19" s="101"/>
      <c r="C19" s="180"/>
    </row>
    <row r="20" spans="1:3" ht="34" x14ac:dyDescent="0.45">
      <c r="A20" s="94" t="s">
        <v>65</v>
      </c>
      <c r="B20" s="91">
        <f>'Profit and Loss'!L5</f>
        <v>71684943.738914043</v>
      </c>
      <c r="C20" s="180" t="s">
        <v>199</v>
      </c>
    </row>
    <row r="21" spans="1:3" ht="34" x14ac:dyDescent="0.45">
      <c r="A21" s="94" t="str">
        <f>A8</f>
        <v>Assumed revenue from households</v>
      </c>
      <c r="B21" s="92">
        <f>B8</f>
        <v>0.7</v>
      </c>
      <c r="C21" s="180" t="s">
        <v>197</v>
      </c>
    </row>
    <row r="22" spans="1:3" ht="18.5" x14ac:dyDescent="0.45">
      <c r="A22" s="94"/>
      <c r="B22" s="94"/>
      <c r="C22" s="180"/>
    </row>
    <row r="23" spans="1:3" ht="34" x14ac:dyDescent="0.45">
      <c r="A23" s="94" t="s">
        <v>101</v>
      </c>
      <c r="B23" s="95">
        <f>Assumptions!M135</f>
        <v>19405.735751481086</v>
      </c>
      <c r="C23" s="180" t="s">
        <v>200</v>
      </c>
    </row>
    <row r="24" spans="1:3" ht="18.5" x14ac:dyDescent="0.45">
      <c r="A24" s="94"/>
      <c r="B24" s="94"/>
      <c r="C24" s="180"/>
    </row>
    <row r="25" spans="1:3" ht="18.5" x14ac:dyDescent="0.45">
      <c r="A25" s="94" t="s">
        <v>180</v>
      </c>
      <c r="B25" s="91">
        <f>(B20*B21)/B23</f>
        <v>2585.8056226190765</v>
      </c>
      <c r="C25" s="180"/>
    </row>
    <row r="26" spans="1:3" ht="18.5" x14ac:dyDescent="0.45">
      <c r="A26" s="94"/>
      <c r="B26" s="91"/>
      <c r="C26" s="180"/>
    </row>
    <row r="27" spans="1:3" ht="34" x14ac:dyDescent="0.45">
      <c r="A27" s="94" t="s">
        <v>103</v>
      </c>
      <c r="B27" s="103">
        <f>1.022^11</f>
        <v>1.2704566586717592</v>
      </c>
      <c r="C27" s="180" t="s">
        <v>201</v>
      </c>
    </row>
    <row r="28" spans="1:3" ht="18.5" x14ac:dyDescent="0.45">
      <c r="A28" s="96"/>
      <c r="B28" s="97"/>
      <c r="C28" s="180"/>
    </row>
    <row r="29" spans="1:3" ht="18.5" x14ac:dyDescent="0.45">
      <c r="A29" s="96" t="s">
        <v>177</v>
      </c>
      <c r="B29" s="91">
        <f>B25/B27</f>
        <v>2035.3355661282396</v>
      </c>
      <c r="C29" s="180"/>
    </row>
    <row r="30" spans="1:3" ht="18.5" x14ac:dyDescent="0.45">
      <c r="A30" s="96"/>
      <c r="B30" s="97"/>
      <c r="C30" s="180"/>
    </row>
    <row r="31" spans="1:3" ht="18.5" x14ac:dyDescent="0.45">
      <c r="A31" s="102" t="s">
        <v>183</v>
      </c>
      <c r="B31" s="96"/>
      <c r="C31" s="180"/>
    </row>
    <row r="32" spans="1:3" ht="18.5" x14ac:dyDescent="0.45">
      <c r="A32" s="94"/>
      <c r="B32" s="91"/>
      <c r="C32" s="180"/>
    </row>
    <row r="33" spans="1:3" ht="34" x14ac:dyDescent="0.45">
      <c r="A33" s="94" t="s">
        <v>66</v>
      </c>
      <c r="B33" s="91">
        <f>'Profit and Loss'!AF5</f>
        <v>166971090.86549285</v>
      </c>
      <c r="C33" s="180" t="s">
        <v>199</v>
      </c>
    </row>
    <row r="34" spans="1:3" ht="34" x14ac:dyDescent="0.45">
      <c r="A34" s="94" t="str">
        <f>A21</f>
        <v>Assumed revenue from households</v>
      </c>
      <c r="B34" s="92">
        <f>B21</f>
        <v>0.7</v>
      </c>
      <c r="C34" s="180" t="s">
        <v>197</v>
      </c>
    </row>
    <row r="35" spans="1:3" ht="18.5" x14ac:dyDescent="0.45">
      <c r="A35" s="94"/>
      <c r="B35" s="94"/>
      <c r="C35" s="180"/>
    </row>
    <row r="36" spans="1:3" ht="34" x14ac:dyDescent="0.45">
      <c r="A36" s="94" t="s">
        <v>100</v>
      </c>
      <c r="B36" s="95">
        <f>Assumptions!AG135</f>
        <v>22662.719611132517</v>
      </c>
      <c r="C36" s="180" t="s">
        <v>200</v>
      </c>
    </row>
    <row r="37" spans="1:3" ht="18.5" x14ac:dyDescent="0.45">
      <c r="A37" s="94"/>
      <c r="B37" s="94"/>
      <c r="C37" s="180"/>
    </row>
    <row r="38" spans="1:3" ht="18.5" x14ac:dyDescent="0.45">
      <c r="A38" s="94" t="s">
        <v>179</v>
      </c>
      <c r="B38" s="91">
        <f>(B33*B34)/B36</f>
        <v>5157.3582346414687</v>
      </c>
      <c r="C38" s="180"/>
    </row>
    <row r="39" spans="1:3" ht="18.5" x14ac:dyDescent="0.45">
      <c r="A39" s="94"/>
      <c r="B39" s="94"/>
      <c r="C39" s="180"/>
    </row>
    <row r="40" spans="1:3" ht="34" x14ac:dyDescent="0.45">
      <c r="A40" s="94" t="s">
        <v>103</v>
      </c>
      <c r="B40" s="103">
        <f>1.022^31</f>
        <v>1.9632597808456462</v>
      </c>
      <c r="C40" s="180" t="s">
        <v>201</v>
      </c>
    </row>
    <row r="41" spans="1:3" ht="18.5" x14ac:dyDescent="0.45">
      <c r="A41" s="96"/>
      <c r="B41" s="97"/>
    </row>
    <row r="42" spans="1:3" ht="18.5" x14ac:dyDescent="0.45">
      <c r="A42" s="96" t="s">
        <v>178</v>
      </c>
      <c r="B42" s="91">
        <f>B38/B40</f>
        <v>2626.9362236005313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110" zoomScaleNormal="110" workbookViewId="0">
      <pane ySplit="4" topLeftCell="A5" activePane="bottomLeft" state="frozen"/>
      <selection sqref="A1:XFD1048576"/>
      <selection pane="bottomLeft" sqref="A1:XFD1048576"/>
    </sheetView>
  </sheetViews>
  <sheetFormatPr defaultColWidth="10.83203125" defaultRowHeight="15.5" x14ac:dyDescent="0.35"/>
  <cols>
    <col min="1" max="1" width="89.9140625" style="76" bestFit="1" customWidth="1"/>
    <col min="2" max="2" width="126.91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159</v>
      </c>
    </row>
    <row r="2" spans="1:33" ht="26.5" thickBot="1" x14ac:dyDescent="0.4">
      <c r="A2" s="111"/>
      <c r="B2" s="111"/>
      <c r="D2" s="112"/>
    </row>
    <row r="3" spans="1:33" s="114" customFormat="1" ht="21.5" thickBot="1" x14ac:dyDescent="0.4">
      <c r="A3" s="84"/>
      <c r="B3" s="84"/>
      <c r="C3" s="113"/>
      <c r="D3" s="181" t="s">
        <v>27</v>
      </c>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row>
    <row r="4" spans="1:33" s="120" customFormat="1" ht="16" thickBot="1" x14ac:dyDescent="0.4">
      <c r="A4" s="115" t="s">
        <v>25</v>
      </c>
      <c r="B4" s="115" t="s">
        <v>193</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x14ac:dyDescent="0.35">
      <c r="A13" s="77" t="s">
        <v>31</v>
      </c>
      <c r="B13" s="106" t="s">
        <v>136</v>
      </c>
      <c r="C13" s="127">
        <v>7.7877977116158625E-3</v>
      </c>
      <c r="D13" s="128">
        <f t="shared" ref="D13:AG13" si="3">(1+$C$13)^D8</f>
        <v>1.0077877977116159</v>
      </c>
      <c r="E13" s="128">
        <f t="shared" si="3"/>
        <v>1.0156362452164287</v>
      </c>
      <c r="F13" s="128">
        <f t="shared" si="3"/>
        <v>1.0235458148427594</v>
      </c>
      <c r="G13" s="128">
        <f t="shared" si="3"/>
        <v>1.0315169825973256</v>
      </c>
      <c r="H13" s="128">
        <f t="shared" si="3"/>
        <v>1.03955022819389</v>
      </c>
      <c r="I13" s="128">
        <f t="shared" si="3"/>
        <v>1.0476460350821279</v>
      </c>
      <c r="J13" s="128">
        <f t="shared" si="3"/>
        <v>1.0558048904767241</v>
      </c>
      <c r="K13" s="128">
        <f t="shared" si="3"/>
        <v>1.0640272853866912</v>
      </c>
      <c r="L13" s="128">
        <f t="shared" si="3"/>
        <v>1.0723137146449226</v>
      </c>
      <c r="M13" s="128">
        <f t="shared" si="3"/>
        <v>1.0806646769379684</v>
      </c>
      <c r="N13" s="128">
        <f t="shared" si="3"/>
        <v>1.0890806748360502</v>
      </c>
      <c r="O13" s="128">
        <f t="shared" si="3"/>
        <v>1.0975622148233031</v>
      </c>
      <c r="P13" s="128">
        <f t="shared" si="3"/>
        <v>1.1061098073282603</v>
      </c>
      <c r="Q13" s="128">
        <f t="shared" si="3"/>
        <v>1.114723966754567</v>
      </c>
      <c r="R13" s="128">
        <f t="shared" si="3"/>
        <v>1.1234052115119415</v>
      </c>
      <c r="S13" s="128">
        <f t="shared" si="3"/>
        <v>1.1321540640473713</v>
      </c>
      <c r="T13" s="128">
        <f t="shared" si="3"/>
        <v>1.140971050876556</v>
      </c>
      <c r="U13" s="128">
        <f t="shared" si="3"/>
        <v>1.1498567026155924</v>
      </c>
      <c r="V13" s="128">
        <f t="shared" si="3"/>
        <v>1.1588115540129083</v>
      </c>
      <c r="W13" s="128">
        <f t="shared" si="3"/>
        <v>1.1678361439814438</v>
      </c>
      <c r="X13" s="128">
        <f t="shared" si="3"/>
        <v>1.1769310156310848</v>
      </c>
      <c r="Y13" s="128">
        <f t="shared" si="3"/>
        <v>1.1860967163013461</v>
      </c>
      <c r="Z13" s="128">
        <f t="shared" si="3"/>
        <v>1.195333797594313</v>
      </c>
      <c r="AA13" s="128">
        <f t="shared" si="3"/>
        <v>1.2046428154078346</v>
      </c>
      <c r="AB13" s="128">
        <f t="shared" si="3"/>
        <v>1.2140243299689824</v>
      </c>
      <c r="AC13" s="128">
        <f t="shared" si="3"/>
        <v>1.2234789058677604</v>
      </c>
      <c r="AD13" s="128">
        <f t="shared" si="3"/>
        <v>1.2330071120910879</v>
      </c>
      <c r="AE13" s="128">
        <f t="shared" si="3"/>
        <v>1.2426095220570366</v>
      </c>
      <c r="AF13" s="128">
        <f t="shared" si="3"/>
        <v>1.2522867136493447</v>
      </c>
      <c r="AG13" s="128">
        <f t="shared" si="3"/>
        <v>1.2620392692521898</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189</v>
      </c>
      <c r="B15" s="178" t="s">
        <v>190</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168</v>
      </c>
      <c r="C17" s="136">
        <f>AVERAGE(C49:C50)</f>
        <v>940599300</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470299650</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135</v>
      </c>
      <c r="C20" s="137">
        <v>49920000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157</v>
      </c>
      <c r="B22" s="178" t="s">
        <v>190</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134</v>
      </c>
      <c r="C24" s="136">
        <v>23040794.340000004</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192</v>
      </c>
      <c r="C25" s="136">
        <v>15650000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158</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179" t="s">
        <v>195</v>
      </c>
      <c r="C49" s="71">
        <v>940599300</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179" t="s">
        <v>195</v>
      </c>
      <c r="C50" s="71">
        <v>940599300</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169</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169</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2778101.3342783363</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3929037.3822688945</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3353569.3582736151</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7572328.7906456133</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10075697.753856525</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8824013.2722510695</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x14ac:dyDescent="0.35">
      <c r="A75" s="69" t="s">
        <v>111</v>
      </c>
      <c r="B75" s="70" t="s">
        <v>121</v>
      </c>
      <c r="C75" s="71">
        <f>C67+C73</f>
        <v>12753050.654519964</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46.5" x14ac:dyDescent="0.35">
      <c r="A77" s="69" t="s">
        <v>139</v>
      </c>
      <c r="B77" s="70" t="s">
        <v>196</v>
      </c>
      <c r="C77" s="87">
        <v>42837612.442883201</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140</v>
      </c>
      <c r="B79" s="69" t="s">
        <v>153</v>
      </c>
      <c r="C79" s="87">
        <v>291321991.53093207</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141</v>
      </c>
      <c r="B80" s="69" t="s">
        <v>153</v>
      </c>
      <c r="C80" s="87">
        <v>654122618.13793898</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142</v>
      </c>
      <c r="B82" s="69" t="s">
        <v>86</v>
      </c>
      <c r="C82" s="87">
        <f>C79+$C$77</f>
        <v>334159603.97381526</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143</v>
      </c>
      <c r="B83" s="69" t="s">
        <v>86</v>
      </c>
      <c r="C83" s="87">
        <f>C80+$C$77</f>
        <v>696960230.58082223</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148</v>
      </c>
      <c r="B85" s="69" t="s">
        <v>194</v>
      </c>
      <c r="C85" s="150">
        <v>50424</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149</v>
      </c>
      <c r="B86" s="69" t="s">
        <v>133</v>
      </c>
      <c r="C86" s="150">
        <v>46545</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48484.5</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144</v>
      </c>
      <c r="B89" s="69" t="s">
        <v>86</v>
      </c>
      <c r="C89" s="150">
        <f>C82/$C$87</f>
        <v>6892.0913688666533</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144</v>
      </c>
      <c r="B90" s="69" t="s">
        <v>86</v>
      </c>
      <c r="C90" s="150">
        <f>C83/$C$87</f>
        <v>14374.90807538125</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145</v>
      </c>
      <c r="B92" s="69" t="s">
        <v>152</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146</v>
      </c>
      <c r="B94" s="69" t="s">
        <v>86</v>
      </c>
      <c r="C94" s="87">
        <f>IF(C89&lt;$C$92,C89*$C$87,$C$92*$C$87)</f>
        <v>334159603.97381526</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147</v>
      </c>
      <c r="B95" s="69" t="s">
        <v>86</v>
      </c>
      <c r="C95" s="87">
        <f>IF(C90&lt;$C$92,C90*$C$87,$C$92*$C$87)</f>
        <v>696960230.58082223</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151</v>
      </c>
      <c r="B96" s="69" t="s">
        <v>86</v>
      </c>
      <c r="C96" s="87">
        <f>AVERAGE(C94:C95)</f>
        <v>515559917.27731872</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515559917.27731872</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17185330.575910624</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167</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167</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12753050.654519964</v>
      </c>
      <c r="E111" s="149">
        <f t="shared" si="9"/>
        <v>12753050.654519964</v>
      </c>
      <c r="F111" s="149">
        <f t="shared" si="9"/>
        <v>12753050.654519964</v>
      </c>
      <c r="G111" s="149">
        <f t="shared" si="9"/>
        <v>12753050.654519964</v>
      </c>
      <c r="H111" s="149">
        <f t="shared" si="9"/>
        <v>12753050.654519964</v>
      </c>
      <c r="I111" s="149">
        <f t="shared" si="9"/>
        <v>12753050.654519964</v>
      </c>
      <c r="J111" s="149">
        <f t="shared" si="9"/>
        <v>12753050.654519964</v>
      </c>
      <c r="K111" s="149">
        <f t="shared" si="9"/>
        <v>12753050.654519964</v>
      </c>
      <c r="L111" s="149">
        <f t="shared" si="9"/>
        <v>12753050.654519964</v>
      </c>
      <c r="M111" s="149">
        <f t="shared" si="9"/>
        <v>12753050.654519964</v>
      </c>
      <c r="N111" s="149">
        <f t="shared" si="9"/>
        <v>12753050.654519964</v>
      </c>
      <c r="O111" s="149">
        <f t="shared" si="9"/>
        <v>12753050.654519964</v>
      </c>
      <c r="P111" s="149">
        <f t="shared" si="9"/>
        <v>12753050.654519964</v>
      </c>
      <c r="Q111" s="149">
        <f t="shared" si="9"/>
        <v>12753050.654519964</v>
      </c>
      <c r="R111" s="149">
        <f t="shared" si="9"/>
        <v>12753050.654519964</v>
      </c>
      <c r="S111" s="149">
        <f t="shared" si="9"/>
        <v>12753050.654519964</v>
      </c>
      <c r="T111" s="149">
        <f t="shared" si="9"/>
        <v>12753050.654519964</v>
      </c>
      <c r="U111" s="149">
        <f t="shared" si="9"/>
        <v>12753050.654519964</v>
      </c>
      <c r="V111" s="149">
        <f t="shared" si="9"/>
        <v>12753050.654519964</v>
      </c>
      <c r="W111" s="149">
        <f t="shared" si="9"/>
        <v>12753050.654519964</v>
      </c>
      <c r="X111" s="149">
        <f t="shared" si="9"/>
        <v>12753050.654519964</v>
      </c>
      <c r="Y111" s="149">
        <f t="shared" si="9"/>
        <v>12753050.654519964</v>
      </c>
      <c r="Z111" s="149">
        <f t="shared" si="9"/>
        <v>12753050.654519964</v>
      </c>
      <c r="AA111" s="149">
        <f t="shared" si="9"/>
        <v>12753050.654519964</v>
      </c>
      <c r="AB111" s="149">
        <f t="shared" si="9"/>
        <v>12753050.654519964</v>
      </c>
      <c r="AC111" s="149">
        <f t="shared" si="9"/>
        <v>12753050.654519964</v>
      </c>
      <c r="AD111" s="149">
        <f t="shared" si="9"/>
        <v>12753050.654519964</v>
      </c>
      <c r="AE111" s="149">
        <f t="shared" si="9"/>
        <v>12753050.654519964</v>
      </c>
      <c r="AF111" s="149">
        <f t="shared" si="9"/>
        <v>12753050.654519964</v>
      </c>
      <c r="AG111" s="149">
        <f t="shared" si="9"/>
        <v>12753050.654519964</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515559917.27731878</v>
      </c>
      <c r="D113" s="149">
        <f t="shared" ref="D113:AG113" si="10">$C$102</f>
        <v>17185330.575910624</v>
      </c>
      <c r="E113" s="149">
        <f t="shared" si="10"/>
        <v>17185330.575910624</v>
      </c>
      <c r="F113" s="149">
        <f t="shared" si="10"/>
        <v>17185330.575910624</v>
      </c>
      <c r="G113" s="149">
        <f t="shared" si="10"/>
        <v>17185330.575910624</v>
      </c>
      <c r="H113" s="149">
        <f t="shared" si="10"/>
        <v>17185330.575910624</v>
      </c>
      <c r="I113" s="149">
        <f t="shared" si="10"/>
        <v>17185330.575910624</v>
      </c>
      <c r="J113" s="149">
        <f t="shared" si="10"/>
        <v>17185330.575910624</v>
      </c>
      <c r="K113" s="149">
        <f t="shared" si="10"/>
        <v>17185330.575910624</v>
      </c>
      <c r="L113" s="149">
        <f t="shared" si="10"/>
        <v>17185330.575910624</v>
      </c>
      <c r="M113" s="149">
        <f t="shared" si="10"/>
        <v>17185330.575910624</v>
      </c>
      <c r="N113" s="149">
        <f t="shared" si="10"/>
        <v>17185330.575910624</v>
      </c>
      <c r="O113" s="149">
        <f t="shared" si="10"/>
        <v>17185330.575910624</v>
      </c>
      <c r="P113" s="149">
        <f t="shared" si="10"/>
        <v>17185330.575910624</v>
      </c>
      <c r="Q113" s="149">
        <f t="shared" si="10"/>
        <v>17185330.575910624</v>
      </c>
      <c r="R113" s="149">
        <f t="shared" si="10"/>
        <v>17185330.575910624</v>
      </c>
      <c r="S113" s="149">
        <f t="shared" si="10"/>
        <v>17185330.575910624</v>
      </c>
      <c r="T113" s="149">
        <f t="shared" si="10"/>
        <v>17185330.575910624</v>
      </c>
      <c r="U113" s="149">
        <f t="shared" si="10"/>
        <v>17185330.575910624</v>
      </c>
      <c r="V113" s="149">
        <f t="shared" si="10"/>
        <v>17185330.575910624</v>
      </c>
      <c r="W113" s="149">
        <f t="shared" si="10"/>
        <v>17185330.575910624</v>
      </c>
      <c r="X113" s="149">
        <f t="shared" si="10"/>
        <v>17185330.575910624</v>
      </c>
      <c r="Y113" s="149">
        <f t="shared" si="10"/>
        <v>17185330.575910624</v>
      </c>
      <c r="Z113" s="149">
        <f t="shared" si="10"/>
        <v>17185330.575910624</v>
      </c>
      <c r="AA113" s="149">
        <f t="shared" si="10"/>
        <v>17185330.575910624</v>
      </c>
      <c r="AB113" s="149">
        <f t="shared" si="10"/>
        <v>17185330.575910624</v>
      </c>
      <c r="AC113" s="149">
        <f t="shared" si="10"/>
        <v>17185330.575910624</v>
      </c>
      <c r="AD113" s="149">
        <f t="shared" si="10"/>
        <v>17185330.575910624</v>
      </c>
      <c r="AE113" s="149">
        <f t="shared" si="10"/>
        <v>17185330.575910624</v>
      </c>
      <c r="AF113" s="149">
        <f t="shared" si="10"/>
        <v>17185330.575910624</v>
      </c>
      <c r="AG113" s="149">
        <f t="shared" si="10"/>
        <v>17185330.575910624</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17185330.575910624</v>
      </c>
      <c r="E118" s="149">
        <f t="shared" ref="E118:AG118" si="13">E113+E115+E116</f>
        <v>17185330.575910624</v>
      </c>
      <c r="F118" s="149">
        <f>F113+F115+F116</f>
        <v>17185330.575910624</v>
      </c>
      <c r="G118" s="149">
        <f t="shared" si="13"/>
        <v>17185330.575910624</v>
      </c>
      <c r="H118" s="149">
        <f t="shared" si="13"/>
        <v>17185330.575910624</v>
      </c>
      <c r="I118" s="149">
        <f t="shared" si="13"/>
        <v>17185330.575910624</v>
      </c>
      <c r="J118" s="149">
        <f t="shared" si="13"/>
        <v>17185330.575910624</v>
      </c>
      <c r="K118" s="149">
        <f t="shared" si="13"/>
        <v>17185330.575910624</v>
      </c>
      <c r="L118" s="149">
        <f t="shared" si="13"/>
        <v>17185330.575910624</v>
      </c>
      <c r="M118" s="149">
        <f t="shared" si="13"/>
        <v>17185330.575910624</v>
      </c>
      <c r="N118" s="149">
        <f t="shared" si="13"/>
        <v>17185330.575910624</v>
      </c>
      <c r="O118" s="149">
        <f t="shared" si="13"/>
        <v>17185330.575910624</v>
      </c>
      <c r="P118" s="149">
        <f t="shared" si="13"/>
        <v>17185330.575910624</v>
      </c>
      <c r="Q118" s="149">
        <f t="shared" si="13"/>
        <v>17185330.575910624</v>
      </c>
      <c r="R118" s="149">
        <f t="shared" si="13"/>
        <v>17185330.575910624</v>
      </c>
      <c r="S118" s="149">
        <f t="shared" si="13"/>
        <v>17185330.575910624</v>
      </c>
      <c r="T118" s="149">
        <f t="shared" si="13"/>
        <v>17185330.575910624</v>
      </c>
      <c r="U118" s="149">
        <f t="shared" si="13"/>
        <v>17185330.575910624</v>
      </c>
      <c r="V118" s="149">
        <f t="shared" si="13"/>
        <v>17185330.575910624</v>
      </c>
      <c r="W118" s="149">
        <f t="shared" si="13"/>
        <v>17185330.575910624</v>
      </c>
      <c r="X118" s="149">
        <f t="shared" si="13"/>
        <v>17185330.575910624</v>
      </c>
      <c r="Y118" s="149">
        <f t="shared" si="13"/>
        <v>17185330.575910624</v>
      </c>
      <c r="Z118" s="149">
        <f t="shared" si="13"/>
        <v>17185330.575910624</v>
      </c>
      <c r="AA118" s="149">
        <f t="shared" si="13"/>
        <v>17185330.575910624</v>
      </c>
      <c r="AB118" s="149">
        <f t="shared" si="13"/>
        <v>17185330.575910624</v>
      </c>
      <c r="AC118" s="149">
        <f t="shared" si="13"/>
        <v>17185330.575910624</v>
      </c>
      <c r="AD118" s="149">
        <f t="shared" si="13"/>
        <v>17185330.575910624</v>
      </c>
      <c r="AE118" s="149">
        <f t="shared" si="13"/>
        <v>17185330.575910624</v>
      </c>
      <c r="AF118" s="149">
        <f t="shared" si="13"/>
        <v>17185330.575910624</v>
      </c>
      <c r="AG118" s="149">
        <f t="shared" si="13"/>
        <v>17185330.575910624</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412447.933821855</v>
      </c>
      <c r="E120" s="149">
        <f>(SUM($D$118:E118)*$C$104/$C$106)+(SUM($D$118:E118)*$C$105/$C$107)</f>
        <v>824895.86764370999</v>
      </c>
      <c r="F120" s="149">
        <f>(SUM($D$118:F118)*$C$104/$C$106)+(SUM($D$118:F118)*$C$105/$C$107)</f>
        <v>1237343.8014655649</v>
      </c>
      <c r="G120" s="149">
        <f>(SUM($D$118:G118)*$C$104/$C$106)+(SUM($D$118:G118)*$C$105/$C$107)</f>
        <v>1649791.73528742</v>
      </c>
      <c r="H120" s="149">
        <f>(SUM($D$118:H118)*$C$104/$C$106)+(SUM($D$118:H118)*$C$105/$C$107)</f>
        <v>2062239.6691092751</v>
      </c>
      <c r="I120" s="149">
        <f>(SUM($D$118:I118)*$C$104/$C$106)+(SUM($D$118:I118)*$C$105/$C$107)</f>
        <v>2474687.6029311297</v>
      </c>
      <c r="J120" s="149">
        <f>(SUM($D$118:J118)*$C$104/$C$106)+(SUM($D$118:J118)*$C$105/$C$107)</f>
        <v>2887135.5367529853</v>
      </c>
      <c r="K120" s="149">
        <f>(SUM($D$118:K118)*$C$104/$C$106)+(SUM($D$118:K118)*$C$105/$C$107)</f>
        <v>3299583.47057484</v>
      </c>
      <c r="L120" s="149">
        <f>(SUM($D$118:L118)*$C$104/$C$106)+(SUM($D$118:L118)*$C$105/$C$107)</f>
        <v>3712031.4043966951</v>
      </c>
      <c r="M120" s="149">
        <f>(SUM($D$118:M118)*$C$104/$C$106)+(SUM($D$118:M118)*$C$105/$C$107)</f>
        <v>4124479.3382185502</v>
      </c>
      <c r="N120" s="149">
        <f>(SUM($D$118:N118)*$C$104/$C$106)+(SUM($D$118:N118)*$C$105/$C$107)</f>
        <v>4536927.2720404044</v>
      </c>
      <c r="O120" s="149">
        <f>(SUM($D$118:O118)*$C$104/$C$106)+(SUM($D$118:O118)*$C$105/$C$107)</f>
        <v>4949375.2058622595</v>
      </c>
      <c r="P120" s="149">
        <f>(SUM($D$118:P118)*$C$104/$C$106)+(SUM($D$118:P118)*$C$105/$C$107)</f>
        <v>5361823.1396841155</v>
      </c>
      <c r="Q120" s="149">
        <f>(SUM($D$118:Q118)*$C$104/$C$106)+(SUM($D$118:Q118)*$C$105/$C$107)</f>
        <v>5774271.0735059706</v>
      </c>
      <c r="R120" s="149">
        <f>(SUM($D$118:R118)*$C$104/$C$106)+(SUM($D$118:R118)*$C$105/$C$107)</f>
        <v>6186719.0073278248</v>
      </c>
      <c r="S120" s="149">
        <f>(SUM($D$118:S118)*$C$104/$C$106)+(SUM($D$118:S118)*$C$105/$C$107)</f>
        <v>6599166.9411496799</v>
      </c>
      <c r="T120" s="149">
        <f>(SUM($D$118:T118)*$C$104/$C$106)+(SUM($D$118:T118)*$C$105/$C$107)</f>
        <v>7011614.8749715341</v>
      </c>
      <c r="U120" s="149">
        <f>(SUM($D$118:U118)*$C$104/$C$106)+(SUM($D$118:U118)*$C$105/$C$107)</f>
        <v>7424062.8087933902</v>
      </c>
      <c r="V120" s="149">
        <f>(SUM($D$118:V118)*$C$104/$C$106)+(SUM($D$118:V118)*$C$105/$C$107)</f>
        <v>7836510.7426152453</v>
      </c>
      <c r="W120" s="149">
        <f>(SUM($D$118:W118)*$C$104/$C$106)+(SUM($D$118:W118)*$C$105/$C$107)</f>
        <v>8248958.6764371004</v>
      </c>
      <c r="X120" s="149">
        <f>(SUM($D$118:X118)*$C$104/$C$106)+(SUM($D$118:X118)*$C$105/$C$107)</f>
        <v>8661406.6102589555</v>
      </c>
      <c r="Y120" s="149">
        <f>(SUM($D$118:Y118)*$C$104/$C$106)+(SUM($D$118:Y118)*$C$105/$C$107)</f>
        <v>9073854.5440808088</v>
      </c>
      <c r="Z120" s="149">
        <f>(SUM($D$118:Z118)*$C$104/$C$106)+(SUM($D$118:Z118)*$C$105/$C$107)</f>
        <v>9486302.4779026657</v>
      </c>
      <c r="AA120" s="149">
        <f>(SUM($D$118:AA118)*$C$104/$C$106)+(SUM($D$118:AA118)*$C$105/$C$107)</f>
        <v>9898750.411724519</v>
      </c>
      <c r="AB120" s="149">
        <f>(SUM($D$118:AB118)*$C$104/$C$106)+(SUM($D$118:AB118)*$C$105/$C$107)</f>
        <v>10311198.345546374</v>
      </c>
      <c r="AC120" s="149">
        <f>(SUM($D$118:AC118)*$C$104/$C$106)+(SUM($D$118:AC118)*$C$105/$C$107)</f>
        <v>10723646.279368231</v>
      </c>
      <c r="AD120" s="149">
        <f>(SUM($D$118:AD118)*$C$104/$C$106)+(SUM($D$118:AD118)*$C$105/$C$107)</f>
        <v>11136094.213190086</v>
      </c>
      <c r="AE120" s="149">
        <f>(SUM($D$118:AE118)*$C$104/$C$106)+(SUM($D$118:AE118)*$C$105/$C$107)</f>
        <v>11548542.147011941</v>
      </c>
      <c r="AF120" s="149">
        <f>(SUM($D$118:AF118)*$C$104/$C$106)+(SUM($D$118:AF118)*$C$105/$C$107)</f>
        <v>11960990.080833795</v>
      </c>
      <c r="AG120" s="149">
        <f>(SUM($D$118:AG118)*$C$104/$C$106)+(SUM($D$118:AG118)*$C$105/$C$107)</f>
        <v>12373438.01465565</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515559.91727731872</v>
      </c>
      <c r="E122" s="72">
        <f>(SUM($D$118:E118)*$C$109)</f>
        <v>1031119.8345546374</v>
      </c>
      <c r="F122" s="72">
        <f>(SUM($D$118:F118)*$C$109)</f>
        <v>1546679.751831956</v>
      </c>
      <c r="G122" s="72">
        <f>(SUM($D$118:G118)*$C$109)</f>
        <v>2062239.6691092749</v>
      </c>
      <c r="H122" s="72">
        <f>(SUM($D$118:H118)*$C$109)</f>
        <v>2577799.5863865935</v>
      </c>
      <c r="I122" s="72">
        <f>(SUM($D$118:I118)*$C$109)</f>
        <v>3093359.5036639124</v>
      </c>
      <c r="J122" s="72">
        <f>(SUM($D$118:J118)*$C$109)</f>
        <v>3608919.4209412313</v>
      </c>
      <c r="K122" s="72">
        <f>(SUM($D$118:K118)*$C$109)</f>
        <v>4124479.3382185497</v>
      </c>
      <c r="L122" s="72">
        <f>(SUM($D$118:L118)*$C$109)</f>
        <v>4640039.2554958686</v>
      </c>
      <c r="M122" s="72">
        <f>(SUM($D$118:M118)*$C$109)</f>
        <v>5155599.172773187</v>
      </c>
      <c r="N122" s="72">
        <f>(SUM($D$118:N118)*$C$109)</f>
        <v>5671159.0900505064</v>
      </c>
      <c r="O122" s="72">
        <f>(SUM($D$118:O118)*$C$109)</f>
        <v>6186719.0073278248</v>
      </c>
      <c r="P122" s="72">
        <f>(SUM($D$118:P118)*$C$109)</f>
        <v>6702278.9246051433</v>
      </c>
      <c r="Q122" s="72">
        <f>(SUM($D$118:Q118)*$C$109)</f>
        <v>7217838.8418824626</v>
      </c>
      <c r="R122" s="72">
        <f>(SUM($D$118:R118)*$C$109)</f>
        <v>7733398.759159781</v>
      </c>
      <c r="S122" s="72">
        <f>(SUM($D$118:S118)*$C$109)</f>
        <v>8248958.6764370995</v>
      </c>
      <c r="T122" s="72">
        <f>(SUM($D$118:T118)*$C$109)</f>
        <v>8764518.5937144179</v>
      </c>
      <c r="U122" s="72">
        <f>(SUM($D$118:U118)*$C$109)</f>
        <v>9280078.5109917372</v>
      </c>
      <c r="V122" s="72">
        <f>(SUM($D$118:V118)*$C$109)</f>
        <v>9795638.4282690566</v>
      </c>
      <c r="W122" s="72">
        <f>(SUM($D$118:W118)*$C$109)</f>
        <v>10311198.345546374</v>
      </c>
      <c r="X122" s="72">
        <f>(SUM($D$118:X118)*$C$109)</f>
        <v>10826758.262823693</v>
      </c>
      <c r="Y122" s="72">
        <f>(SUM($D$118:Y118)*$C$109)</f>
        <v>11342318.180101013</v>
      </c>
      <c r="Z122" s="72">
        <f>(SUM($D$118:Z118)*$C$109)</f>
        <v>11857878.09737833</v>
      </c>
      <c r="AA122" s="72">
        <f>(SUM($D$118:AA118)*$C$109)</f>
        <v>12373438.01465565</v>
      </c>
      <c r="AB122" s="72">
        <f>(SUM($D$118:AB118)*$C$109)</f>
        <v>12888997.931932969</v>
      </c>
      <c r="AC122" s="72">
        <f>(SUM($D$118:AC118)*$C$109)</f>
        <v>13404557.849210287</v>
      </c>
      <c r="AD122" s="72">
        <f>(SUM($D$118:AD118)*$C$109)</f>
        <v>13920117.766487606</v>
      </c>
      <c r="AE122" s="72">
        <f>(SUM($D$118:AE118)*$C$109)</f>
        <v>14435677.683764925</v>
      </c>
      <c r="AF122" s="72">
        <f>(SUM($D$118:AF118)*$C$109)</f>
        <v>14951237.601042245</v>
      </c>
      <c r="AG122" s="72">
        <f>(SUM($D$118:AG118)*$C$109)</f>
        <v>15466797.518319562</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150</v>
      </c>
      <c r="B126" s="77" t="s">
        <v>194</v>
      </c>
      <c r="C126" s="126">
        <v>50424</v>
      </c>
      <c r="D126" s="140"/>
    </row>
    <row r="127" spans="1:33" x14ac:dyDescent="0.35">
      <c r="A127" s="77" t="s">
        <v>149</v>
      </c>
      <c r="B127" s="77" t="s">
        <v>133</v>
      </c>
      <c r="C127" s="126">
        <v>46545</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48484.5</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154</v>
      </c>
      <c r="B133" s="77" t="s">
        <v>155</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17957.222222222223</v>
      </c>
      <c r="D135" s="157">
        <f t="shared" ref="D135:AG135" si="14">$C$135*D13</f>
        <v>18097.069436351423</v>
      </c>
      <c r="E135" s="157">
        <f t="shared" si="14"/>
        <v>18238.005752294794</v>
      </c>
      <c r="F135" s="157">
        <f t="shared" si="14"/>
        <v>18380.039651756953</v>
      </c>
      <c r="G135" s="157">
        <f t="shared" si="14"/>
        <v>18523.179682496309</v>
      </c>
      <c r="H135" s="157">
        <f t="shared" si="14"/>
        <v>18667.434458839503</v>
      </c>
      <c r="I135" s="157">
        <f t="shared" si="14"/>
        <v>18812.812662199791</v>
      </c>
      <c r="J135" s="157">
        <f t="shared" si="14"/>
        <v>18959.323041599531</v>
      </c>
      <c r="K135" s="157">
        <f t="shared" si="14"/>
        <v>19106.974414196677</v>
      </c>
      <c r="L135" s="157">
        <f t="shared" si="14"/>
        <v>19255.775665815465</v>
      </c>
      <c r="M135" s="157">
        <f t="shared" si="14"/>
        <v>19405.735751481086</v>
      </c>
      <c r="N135" s="157">
        <f t="shared" si="14"/>
        <v>19556.863695958695</v>
      </c>
      <c r="O135" s="157">
        <f t="shared" si="14"/>
        <v>19709.168594296458</v>
      </c>
      <c r="P135" s="157">
        <f t="shared" si="14"/>
        <v>19862.659612372976</v>
      </c>
      <c r="Q135" s="157">
        <f t="shared" si="14"/>
        <v>20017.345987448814</v>
      </c>
      <c r="R135" s="157">
        <f t="shared" si="14"/>
        <v>20173.237028722491</v>
      </c>
      <c r="S135" s="157">
        <f t="shared" si="14"/>
        <v>20330.342117890657</v>
      </c>
      <c r="T135" s="157">
        <f t="shared" si="14"/>
        <v>20488.670709712733</v>
      </c>
      <c r="U135" s="157">
        <f t="shared" si="14"/>
        <v>20648.232332579886</v>
      </c>
      <c r="V135" s="157">
        <f t="shared" si="14"/>
        <v>20809.036589088464</v>
      </c>
      <c r="W135" s="157">
        <f t="shared" si="14"/>
        <v>20971.093156617892</v>
      </c>
      <c r="X135" s="157">
        <f t="shared" si="14"/>
        <v>21134.411787913086</v>
      </c>
      <c r="Y135" s="157">
        <f t="shared" si="14"/>
        <v>21299.002311671338</v>
      </c>
      <c r="Z135" s="157">
        <f t="shared" si="14"/>
        <v>21464.874633133877</v>
      </c>
      <c r="AA135" s="157">
        <f t="shared" si="14"/>
        <v>21632.038734681912</v>
      </c>
      <c r="AB135" s="157">
        <f t="shared" si="14"/>
        <v>21800.504676437453</v>
      </c>
      <c r="AC135" s="157">
        <f t="shared" si="14"/>
        <v>21970.282596868678</v>
      </c>
      <c r="AD135" s="157">
        <f t="shared" si="14"/>
        <v>22141.382713400129</v>
      </c>
      <c r="AE135" s="157">
        <f t="shared" si="14"/>
        <v>22313.815323027553</v>
      </c>
      <c r="AF135" s="157">
        <f t="shared" si="14"/>
        <v>22487.590802937651</v>
      </c>
      <c r="AG135" s="157">
        <f t="shared" si="14"/>
        <v>22662.719611132517</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0.2</v>
      </c>
      <c r="F4" s="65">
        <v>0.2</v>
      </c>
      <c r="G4" s="65">
        <v>0.18</v>
      </c>
      <c r="H4" s="65">
        <v>0.12</v>
      </c>
      <c r="I4" s="65">
        <v>0.1</v>
      </c>
      <c r="J4" s="65">
        <v>0.1</v>
      </c>
      <c r="K4" s="65">
        <v>0.08</v>
      </c>
      <c r="L4" s="65">
        <v>0.05</v>
      </c>
      <c r="M4" s="65">
        <v>0.05</v>
      </c>
      <c r="N4" s="65">
        <v>0.05</v>
      </c>
      <c r="O4" s="65">
        <v>0.04</v>
      </c>
      <c r="P4" s="65">
        <v>0.04</v>
      </c>
      <c r="Q4" s="65">
        <v>0.04</v>
      </c>
      <c r="R4" s="65">
        <v>0.04</v>
      </c>
      <c r="S4" s="65">
        <v>0.04</v>
      </c>
      <c r="T4" s="65">
        <v>0.04</v>
      </c>
      <c r="U4" s="65">
        <v>0.04</v>
      </c>
      <c r="V4" s="65">
        <v>0.04</v>
      </c>
      <c r="W4" s="65">
        <v>0.04</v>
      </c>
      <c r="X4" s="65">
        <v>0.04</v>
      </c>
      <c r="Y4" s="65">
        <v>0.04</v>
      </c>
      <c r="Z4" s="65">
        <v>0.04</v>
      </c>
      <c r="AA4" s="65">
        <v>0.04</v>
      </c>
      <c r="AB4" s="65">
        <v>0.04</v>
      </c>
      <c r="AC4" s="65">
        <v>0.03</v>
      </c>
      <c r="AD4" s="65">
        <v>2.5000000000000001E-2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2.5033771131773985</v>
      </c>
      <c r="C6" s="25"/>
      <c r="D6" s="25"/>
      <c r="E6" s="27">
        <f>'Debt worksheet'!C5/'Profit and Loss'!C5</f>
        <v>1.7915411482976882</v>
      </c>
      <c r="F6" s="28">
        <f ca="1">'Debt worksheet'!D5/'Profit and Loss'!D5</f>
        <v>2.1533698215863137</v>
      </c>
      <c r="G6" s="28">
        <f ca="1">'Debt worksheet'!E5/'Profit and Loss'!E5</f>
        <v>2.3094806136124766</v>
      </c>
      <c r="H6" s="28">
        <f ca="1">'Debt worksheet'!F5/'Profit and Loss'!F5</f>
        <v>2.4168396831428756</v>
      </c>
      <c r="I6" s="28">
        <f ca="1">'Debt worksheet'!G5/'Profit and Loss'!G5</f>
        <v>2.4753945802817117</v>
      </c>
      <c r="J6" s="28">
        <f ca="1">'Debt worksheet'!H5/'Profit and Loss'!H5</f>
        <v>2.4692639612464213</v>
      </c>
      <c r="K6" s="28">
        <f ca="1">'Debt worksheet'!I5/'Profit and Loss'!I5</f>
        <v>2.4499398242555577</v>
      </c>
      <c r="L6" s="28">
        <f ca="1">'Debt worksheet'!J5/'Profit and Loss'!J5</f>
        <v>2.4618363854740952</v>
      </c>
      <c r="M6" s="28">
        <f ca="1">'Debt worksheet'!K5/'Profit and Loss'!K5</f>
        <v>2.4639716010745931</v>
      </c>
      <c r="N6" s="28">
        <f ca="1">'Debt worksheet'!L5/'Profit and Loss'!L5</f>
        <v>2.4562105412193791</v>
      </c>
      <c r="O6" s="28">
        <f ca="1">'Debt worksheet'!M5/'Profit and Loss'!M5</f>
        <v>2.4618968685492466</v>
      </c>
      <c r="P6" s="28">
        <f ca="1">'Debt worksheet'!N5/'Profit and Loss'!N5</f>
        <v>2.4667052589492751</v>
      </c>
      <c r="Q6" s="28">
        <f ca="1">'Debt worksheet'!O5/'Profit and Loss'!O5</f>
        <v>2.4702741257957785</v>
      </c>
      <c r="R6" s="28">
        <f ca="1">'Debt worksheet'!P5/'Profit and Loss'!P5</f>
        <v>2.4722622293834799</v>
      </c>
      <c r="S6" s="28">
        <f ca="1">'Debt worksheet'!Q5/'Profit and Loss'!Q5</f>
        <v>2.4723478994754977</v>
      </c>
      <c r="T6" s="28">
        <f ca="1">'Debt worksheet'!R5/'Profit and Loss'!R5</f>
        <v>2.4702282834887948</v>
      </c>
      <c r="U6" s="28">
        <f ca="1">'Debt worksheet'!S5/'Profit and Loss'!S5</f>
        <v>2.4656186195285139</v>
      </c>
      <c r="V6" s="28">
        <f ca="1">'Debt worksheet'!T5/'Profit and Loss'!T5</f>
        <v>2.4582515335077928</v>
      </c>
      <c r="W6" s="28">
        <f ca="1">'Debt worksheet'!U5/'Profit and Loss'!U5</f>
        <v>2.4478763596121857</v>
      </c>
      <c r="X6" s="28">
        <f ca="1">'Debt worksheet'!V5/'Profit and Loss'!V5</f>
        <v>2.4342584833896632</v>
      </c>
      <c r="Y6" s="28">
        <f ca="1">'Debt worksheet'!W5/'Profit and Loss'!W5</f>
        <v>2.4171787067684098</v>
      </c>
      <c r="Z6" s="28">
        <f ca="1">'Debt worksheet'!X5/'Profit and Loss'!X5</f>
        <v>2.396432634325278</v>
      </c>
      <c r="AA6" s="28">
        <f ca="1">'Debt worksheet'!Y5/'Profit and Loss'!Y5</f>
        <v>2.3718300801477556</v>
      </c>
      <c r="AB6" s="28">
        <f ca="1">'Debt worksheet'!Z5/'Profit and Loss'!Z5</f>
        <v>2.3431944946518035</v>
      </c>
      <c r="AC6" s="28">
        <f ca="1">'Debt worksheet'!AA5/'Profit and Loss'!AA5</f>
        <v>2.3327931137536422</v>
      </c>
      <c r="AD6" s="28">
        <f ca="1">'Debt worksheet'!AB5/'Profit and Loss'!AB5</f>
        <v>2.3385813397083912</v>
      </c>
      <c r="AE6" s="28">
        <f ca="1">'Debt worksheet'!AC5/'Profit and Loss'!AC5</f>
        <v>2.360854966594494</v>
      </c>
      <c r="AF6" s="28">
        <f ca="1">'Debt worksheet'!AD5/'Profit and Loss'!AD5</f>
        <v>2.3957319246518161</v>
      </c>
      <c r="AG6" s="28">
        <f ca="1">'Debt worksheet'!AE5/'Profit and Loss'!AE5</f>
        <v>2.4432322279050087</v>
      </c>
      <c r="AH6" s="28">
        <f ca="1">'Debt worksheet'!AF5/'Profit and Loss'!AF5</f>
        <v>2.5033771131773985</v>
      </c>
      <c r="AI6" s="31"/>
    </row>
    <row r="7" spans="1:35" ht="21" x14ac:dyDescent="0.5">
      <c r="A7" s="19" t="s">
        <v>38</v>
      </c>
      <c r="B7" s="26">
        <f ca="1">MIN('Price and Financial ratios'!E7:AH7)</f>
        <v>0.17385418959895879</v>
      </c>
      <c r="C7" s="26"/>
      <c r="D7" s="26"/>
      <c r="E7" s="56">
        <f ca="1">'Cash Flow'!C7/'Debt worksheet'!C5</f>
        <v>0.17385418959895879</v>
      </c>
      <c r="F7" s="32">
        <f ca="1">'Cash Flow'!D7/'Debt worksheet'!D5</f>
        <v>0.17611703497273365</v>
      </c>
      <c r="G7" s="32">
        <f ca="1">'Cash Flow'!E7/'Debt worksheet'!E5</f>
        <v>0.18905507948501388</v>
      </c>
      <c r="H7" s="32">
        <f ca="1">'Cash Flow'!F7/'Debt worksheet'!F5</f>
        <v>0.1923375842585025</v>
      </c>
      <c r="I7" s="32">
        <f ca="1">'Cash Flow'!G7/'Debt worksheet'!G5</f>
        <v>0.19597551009173114</v>
      </c>
      <c r="J7" s="32">
        <f ca="1">'Cash Flow'!H7/'Debt worksheet'!H5</f>
        <v>0.2053866620184967</v>
      </c>
      <c r="K7" s="32">
        <f ca="1">'Cash Flow'!I7/'Debt worksheet'!I5</f>
        <v>0.21278118868948914</v>
      </c>
      <c r="L7" s="32">
        <f ca="1">'Cash Flow'!J7/'Debt worksheet'!J5</f>
        <v>0.21223742666598597</v>
      </c>
      <c r="M7" s="17">
        <f ca="1">'Cash Flow'!K7/'Debt worksheet'!K5</f>
        <v>0.21282755265547312</v>
      </c>
      <c r="N7" s="17">
        <f ca="1">'Cash Flow'!L7/'Debt worksheet'!L5</f>
        <v>0.21455888681774843</v>
      </c>
      <c r="O7" s="17">
        <f ca="1">'Cash Flow'!M7/'Debt worksheet'!M5</f>
        <v>0.21341671298559103</v>
      </c>
      <c r="P7" s="17">
        <f ca="1">'Cash Flow'!N7/'Debt worksheet'!N5</f>
        <v>0.21249171356264104</v>
      </c>
      <c r="Q7" s="17">
        <f ca="1">'Cash Flow'!O7/'Debt worksheet'!O5</f>
        <v>0.21181231075185131</v>
      </c>
      <c r="R7" s="17">
        <f ca="1">'Cash Flow'!P7/'Debt worksheet'!P5</f>
        <v>0.21140517493298894</v>
      </c>
      <c r="S7" s="17">
        <f ca="1">'Cash Flow'!Q7/'Debt worksheet'!Q5</f>
        <v>0.21129584380976421</v>
      </c>
      <c r="T7" s="17">
        <f ca="1">'Cash Flow'!R7/'Debt worksheet'!R5</f>
        <v>0.21150936167116066</v>
      </c>
      <c r="U7" s="17">
        <f ca="1">'Cash Flow'!S7/'Debt worksheet'!S5</f>
        <v>0.21207093928036028</v>
      </c>
      <c r="V7" s="17">
        <f ca="1">'Cash Flow'!T7/'Debt worksheet'!T5</f>
        <v>0.21300664057771801</v>
      </c>
      <c r="W7" s="17">
        <f ca="1">'Cash Flow'!U7/'Debt worksheet'!U5</f>
        <v>0.21434410785543212</v>
      </c>
      <c r="X7" s="17">
        <f ca="1">'Cash Flow'!V7/'Debt worksheet'!V5</f>
        <v>0.21611334268417939</v>
      </c>
      <c r="Y7" s="17">
        <f ca="1">'Cash Flow'!W7/'Debt worksheet'!W5</f>
        <v>0.21834756609434988</v>
      </c>
      <c r="Z7" s="17">
        <f ca="1">'Cash Flow'!X7/'Debt worksheet'!X5</f>
        <v>0.22108418890442486</v>
      </c>
      <c r="AA7" s="17">
        <f ca="1">'Cash Flow'!Y7/'Debt worksheet'!Y5</f>
        <v>0.22436593238445274</v>
      </c>
      <c r="AB7" s="17">
        <f ca="1">'Cash Flow'!Z7/'Debt worksheet'!Z5</f>
        <v>0.22824215163695152</v>
      </c>
      <c r="AC7" s="17">
        <f ca="1">'Cash Flow'!AA7/'Debt worksheet'!AA5</f>
        <v>0.22845763136517933</v>
      </c>
      <c r="AD7" s="17">
        <f ca="1">'Cash Flow'!AB7/'Debt worksheet'!AB5</f>
        <v>0.22602644798235946</v>
      </c>
      <c r="AE7" s="17">
        <f ca="1">'Cash Flow'!AC7/'Debt worksheet'!AC5</f>
        <v>0.22131054968093269</v>
      </c>
      <c r="AF7" s="17">
        <f ca="1">'Cash Flow'!AD7/'Debt worksheet'!AD5</f>
        <v>0.21538814924608612</v>
      </c>
      <c r="AG7" s="17">
        <f ca="1">'Cash Flow'!AE7/'Debt worksheet'!AE5</f>
        <v>0.20840013193605586</v>
      </c>
      <c r="AH7" s="17">
        <f ca="1">'Cash Flow'!AF7/'Debt worksheet'!AF5</f>
        <v>0.20051044428312612</v>
      </c>
      <c r="AI7" s="29"/>
    </row>
    <row r="8" spans="1:35" ht="21" x14ac:dyDescent="0.5">
      <c r="A8" s="19" t="s">
        <v>33</v>
      </c>
      <c r="B8" s="26">
        <f ca="1">MAX('Price and Financial ratios'!E8:AH8)</f>
        <v>0.34532237574505925</v>
      </c>
      <c r="C8" s="26"/>
      <c r="D8" s="176"/>
      <c r="E8" s="17">
        <f>'Balance Sheet'!B11/'Balance Sheet'!B8</f>
        <v>0.10930281336194721</v>
      </c>
      <c r="F8" s="17">
        <f ca="1">'Balance Sheet'!C11/'Balance Sheet'!C8</f>
        <v>0.16091881882300546</v>
      </c>
      <c r="G8" s="17">
        <f ca="1">'Balance Sheet'!D11/'Balance Sheet'!D8</f>
        <v>0.19761646843618672</v>
      </c>
      <c r="H8" s="17">
        <f ca="1">'Balance Sheet'!E11/'Balance Sheet'!E8</f>
        <v>0.22481642741961944</v>
      </c>
      <c r="I8" s="17">
        <f ca="1">'Balance Sheet'!F11/'Balance Sheet'!F8</f>
        <v>0.24591242651206646</v>
      </c>
      <c r="J8" s="17">
        <f ca="1">'Balance Sheet'!G11/'Balance Sheet'!G8</f>
        <v>0.26203812283341194</v>
      </c>
      <c r="K8" s="17">
        <f ca="1">'Balance Sheet'!H11/'Balance Sheet'!H8</f>
        <v>0.27273758718168012</v>
      </c>
      <c r="L8" s="17">
        <f ca="1">'Balance Sheet'!I11/'Balance Sheet'!I8</f>
        <v>0.27957820969754765</v>
      </c>
      <c r="M8" s="17">
        <f ca="1">'Balance Sheet'!J11/'Balance Sheet'!J8</f>
        <v>0.28551358647122582</v>
      </c>
      <c r="N8" s="17">
        <f ca="1">'Balance Sheet'!K11/'Balance Sheet'!K8</f>
        <v>0.29046393092281192</v>
      </c>
      <c r="O8" s="17">
        <f ca="1">'Balance Sheet'!L11/'Balance Sheet'!L8</f>
        <v>0.29434796236790073</v>
      </c>
      <c r="P8" s="17">
        <f ca="1">'Balance Sheet'!M11/'Balance Sheet'!M8</f>
        <v>0.29823220861304139</v>
      </c>
      <c r="Q8" s="17">
        <f ca="1">'Balance Sheet'!N11/'Balance Sheet'!N8</f>
        <v>0.30206946628260251</v>
      </c>
      <c r="R8" s="17">
        <f ca="1">'Balance Sheet'!O11/'Balance Sheet'!O8</f>
        <v>0.3058128908110696</v>
      </c>
      <c r="S8" s="17">
        <f ca="1">'Balance Sheet'!P11/'Balance Sheet'!P8</f>
        <v>0.30941590806306901</v>
      </c>
      <c r="T8" s="17">
        <f ca="1">'Balance Sheet'!Q11/'Balance Sheet'!Q8</f>
        <v>0.31283213287875866</v>
      </c>
      <c r="U8" s="17">
        <f ca="1">'Balance Sheet'!R11/'Balance Sheet'!R8</f>
        <v>0.31601529382110277</v>
      </c>
      <c r="V8" s="17">
        <f ca="1">'Balance Sheet'!S11/'Balance Sheet'!S8</f>
        <v>0.31891916348372989</v>
      </c>
      <c r="W8" s="17">
        <f ca="1">'Balance Sheet'!T11/'Balance Sheet'!T8</f>
        <v>0.3214974937898244</v>
      </c>
      <c r="X8" s="17">
        <f ca="1">'Balance Sheet'!U11/'Balance Sheet'!U8</f>
        <v>0.32370395577524974</v>
      </c>
      <c r="Y8" s="17">
        <f ca="1">'Balance Sheet'!V11/'Balance Sheet'!V8</f>
        <v>0.32549208340411201</v>
      </c>
      <c r="Z8" s="17">
        <f ca="1">'Balance Sheet'!W11/'Balance Sheet'!W8</f>
        <v>0.32681522101326332</v>
      </c>
      <c r="AA8" s="17">
        <f ca="1">'Balance Sheet'!X11/'Balance Sheet'!X8</f>
        <v>0.32762647402473799</v>
      </c>
      <c r="AB8" s="17">
        <f ca="1">'Balance Sheet'!Y11/'Balance Sheet'!Y8</f>
        <v>0.32787866260255893</v>
      </c>
      <c r="AC8" s="17">
        <f ca="1">'Balance Sheet'!Z11/'Balance Sheet'!Z8</f>
        <v>0.32752427796341388</v>
      </c>
      <c r="AD8" s="17">
        <f ca="1">'Balance Sheet'!AA11/'Balance Sheet'!AA8</f>
        <v>0.32788098682852651</v>
      </c>
      <c r="AE8" s="17">
        <f ca="1">'Balance Sheet'!AB11/'Balance Sheet'!AB8</f>
        <v>0.32961141496926788</v>
      </c>
      <c r="AF8" s="17">
        <f ca="1">'Balance Sheet'!AC11/'Balance Sheet'!AC8</f>
        <v>0.33310746755249743</v>
      </c>
      <c r="AG8" s="17">
        <f ca="1">'Balance Sheet'!AD11/'Balance Sheet'!AD8</f>
        <v>0.33835030217222001</v>
      </c>
      <c r="AH8" s="17">
        <f ca="1">'Balance Sheet'!AE11/'Balance Sheet'!AE8</f>
        <v>0.34532237574505925</v>
      </c>
      <c r="AI8" s="29"/>
    </row>
    <row r="9" spans="1:35" ht="21.5" thickBot="1" x14ac:dyDescent="0.55000000000000004">
      <c r="A9" s="20" t="s">
        <v>32</v>
      </c>
      <c r="B9" s="21">
        <f ca="1">MIN('Price and Financial ratios'!E9:AH9)</f>
        <v>4.4172357417283319</v>
      </c>
      <c r="C9" s="21"/>
      <c r="D9" s="177"/>
      <c r="E9" s="21">
        <f ca="1">('Cash Flow'!C7+'Profit and Loss'!C8)/('Profit and Loss'!C8)</f>
        <v>4.4172357417283319</v>
      </c>
      <c r="F9" s="21">
        <f ca="1">('Cash Flow'!D7+'Profit and Loss'!D8)/('Profit and Loss'!D8)</f>
        <v>4.9453589292753808</v>
      </c>
      <c r="G9" s="21">
        <f ca="1">('Cash Flow'!E7+'Profit and Loss'!E8)/('Profit and Loss'!E8)</f>
        <v>5.5729838282275894</v>
      </c>
      <c r="H9" s="21">
        <f ca="1">('Cash Flow'!F7+'Profit and Loss'!F8)/('Profit and Loss'!F8)</f>
        <v>5.839915054214881</v>
      </c>
      <c r="I9" s="21">
        <f ca="1">('Cash Flow'!G7+'Profit and Loss'!G8)/('Profit and Loss'!G8)</f>
        <v>6.0634776362968044</v>
      </c>
      <c r="J9" s="21">
        <f ca="1">('Cash Flow'!H7+'Profit and Loss'!H8)/('Profit and Loss'!H8)</f>
        <v>6.4340476449794171</v>
      </c>
      <c r="K9" s="21">
        <f ca="1">('Cash Flow'!I7+'Profit and Loss'!I8)/('Profit and Loss'!I8)</f>
        <v>6.7174585239207376</v>
      </c>
      <c r="L9" s="21">
        <f ca="1">('Cash Flow'!J7+'Profit and Loss'!J8)/('Profit and Loss'!J8)</f>
        <v>6.7255738467521198</v>
      </c>
      <c r="M9" s="21">
        <f ca="1">('Cash Flow'!K7+'Profit and Loss'!K8)/('Profit and Loss'!K8)</f>
        <v>6.7646310825368179</v>
      </c>
      <c r="N9" s="21">
        <f ca="1">('Cash Flow'!L7+'Profit and Loss'!L8)/('Profit and Loss'!L8)</f>
        <v>6.8354152092201321</v>
      </c>
      <c r="O9" s="21">
        <f ca="1">('Cash Flow'!M7+'Profit and Loss'!M8)/('Profit and Loss'!M8)</f>
        <v>6.8064480344038261</v>
      </c>
      <c r="P9" s="21">
        <f ca="1">('Cash Flow'!N7+'Profit and Loss'!N8)/('Profit and Loss'!N8)</f>
        <v>6.7842043761375725</v>
      </c>
      <c r="Q9" s="21">
        <f ca="1">('Cash Flow'!O7+'Profit and Loss'!O8)/('Profit and Loss'!O8)</f>
        <v>6.7694090908539577</v>
      </c>
      <c r="R9" s="21">
        <f ca="1">('Cash Flow'!P7+'Profit and Loss'!P8)/('Profit and Loss'!P8)</f>
        <v>6.7627540641978507</v>
      </c>
      <c r="S9" s="21">
        <f ca="1">('Cash Flow'!Q7+'Profit and Loss'!Q8)/('Profit and Loss'!Q8)</f>
        <v>6.7649157970003122</v>
      </c>
      <c r="T9" s="21">
        <f ca="1">('Cash Flow'!R7+'Profit and Loss'!R8)/('Profit and Loss'!R8)</f>
        <v>6.7765735084856278</v>
      </c>
      <c r="U9" s="21">
        <f ca="1">('Cash Flow'!S7+'Profit and Loss'!S8)/('Profit and Loss'!S8)</f>
        <v>6.7984279211773595</v>
      </c>
      <c r="V9" s="21">
        <f ca="1">('Cash Flow'!T7+'Profit and Loss'!T8)/('Profit and Loss'!T8)</f>
        <v>6.8312210412868177</v>
      </c>
      <c r="W9" s="21">
        <f ca="1">('Cash Flow'!U7+'Profit and Loss'!U8)/('Profit and Loss'!U8)</f>
        <v>6.8757574010549867</v>
      </c>
      <c r="X9" s="21">
        <f ca="1">('Cash Flow'!V7+'Profit and Loss'!V8)/('Profit and Loss'!V8)</f>
        <v>6.9329273977842236</v>
      </c>
      <c r="Y9" s="21">
        <f ca="1">('Cash Flow'!W7+'Profit and Loss'!W8)/('Profit and Loss'!W8)</f>
        <v>7.0037335635442304</v>
      </c>
      <c r="Z9" s="21">
        <f ca="1">('Cash Flow'!X7+'Profit and Loss'!X8)/('Profit and Loss'!X8)</f>
        <v>7.089320849727712</v>
      </c>
      <c r="AA9" s="21">
        <f ca="1">('Cash Flow'!Y7+'Profit and Loss'!Y8)/('Profit and Loss'!Y8)</f>
        <v>7.1910123385742999</v>
      </c>
      <c r="AB9" s="21">
        <f ca="1">('Cash Flow'!Z7+'Profit and Loss'!Z8)/('Profit and Loss'!Z8)</f>
        <v>7.3103522367934897</v>
      </c>
      <c r="AC9" s="21">
        <f ca="1">('Cash Flow'!AA7+'Profit and Loss'!AA8)/('Profit and Loss'!AA8)</f>
        <v>7.3033062635021437</v>
      </c>
      <c r="AD9" s="21">
        <f ca="1">('Cash Flow'!AB7+'Profit and Loss'!AB8)/('Profit and Loss'!AB8)</f>
        <v>7.2108979896702934</v>
      </c>
      <c r="AE9" s="21">
        <f ca="1">('Cash Flow'!AC7+'Profit and Loss'!AC8)/('Profit and Loss'!AC8)</f>
        <v>7.0498578304146688</v>
      </c>
      <c r="AF9" s="21">
        <f ca="1">('Cash Flow'!AD7+'Profit and Loss'!AD8)/('Profit and Loss'!AD8)</f>
        <v>6.858780677173165</v>
      </c>
      <c r="AG9" s="21">
        <f ca="1">('Cash Flow'!AE7+'Profit and Loss'!AE8)/('Profit and Loss'!AE8)</f>
        <v>6.6421993266580355</v>
      </c>
      <c r="AH9" s="21">
        <f ca="1">('Cash Flow'!AF7+'Profit and Loss'!AF8)/('Profit and Loss'!AF8)</f>
        <v>6.4050225871884203</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160</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12753050.654519964</v>
      </c>
      <c r="D5" s="1">
        <f>Assumptions!E111</f>
        <v>12753050.654519964</v>
      </c>
      <c r="E5" s="1">
        <f>Assumptions!F111</f>
        <v>12753050.654519964</v>
      </c>
      <c r="F5" s="1">
        <f>Assumptions!G111</f>
        <v>12753050.654519964</v>
      </c>
      <c r="G5" s="1">
        <f>Assumptions!H111</f>
        <v>12753050.654519964</v>
      </c>
      <c r="H5" s="1">
        <f>Assumptions!I111</f>
        <v>12753050.654519964</v>
      </c>
      <c r="I5" s="1">
        <f>Assumptions!J111</f>
        <v>12753050.654519964</v>
      </c>
      <c r="J5" s="1">
        <f>Assumptions!K111</f>
        <v>12753050.654519964</v>
      </c>
      <c r="K5" s="1">
        <f>Assumptions!L111</f>
        <v>12753050.654519964</v>
      </c>
      <c r="L5" s="1">
        <f>Assumptions!M111</f>
        <v>12753050.654519964</v>
      </c>
      <c r="M5" s="1">
        <f>Assumptions!N111</f>
        <v>12753050.654519964</v>
      </c>
      <c r="N5" s="1">
        <f>Assumptions!O111</f>
        <v>12753050.654519964</v>
      </c>
      <c r="O5" s="1">
        <f>Assumptions!P111</f>
        <v>12753050.654519964</v>
      </c>
      <c r="P5" s="1">
        <f>Assumptions!Q111</f>
        <v>12753050.654519964</v>
      </c>
      <c r="Q5" s="1">
        <f>Assumptions!R111</f>
        <v>12753050.654519964</v>
      </c>
      <c r="R5" s="1">
        <f>Assumptions!S111</f>
        <v>12753050.654519964</v>
      </c>
      <c r="S5" s="1">
        <f>Assumptions!T111</f>
        <v>12753050.654519964</v>
      </c>
      <c r="T5" s="1">
        <f>Assumptions!U111</f>
        <v>12753050.654519964</v>
      </c>
      <c r="U5" s="1">
        <f>Assumptions!V111</f>
        <v>12753050.654519964</v>
      </c>
      <c r="V5" s="1">
        <f>Assumptions!W111</f>
        <v>12753050.654519964</v>
      </c>
      <c r="W5" s="1">
        <f>Assumptions!X111</f>
        <v>12753050.654519964</v>
      </c>
      <c r="X5" s="1">
        <f>Assumptions!Y111</f>
        <v>12753050.654519964</v>
      </c>
      <c r="Y5" s="1">
        <f>Assumptions!Z111</f>
        <v>12753050.654519964</v>
      </c>
      <c r="Z5" s="1">
        <f>Assumptions!AA111</f>
        <v>12753050.654519964</v>
      </c>
      <c r="AA5" s="1">
        <f>Assumptions!AB111</f>
        <v>12753050.654519964</v>
      </c>
      <c r="AB5" s="1">
        <f>Assumptions!AC111</f>
        <v>12753050.654519964</v>
      </c>
      <c r="AC5" s="1">
        <f>Assumptions!AD111</f>
        <v>12753050.654519964</v>
      </c>
      <c r="AD5" s="1">
        <f>Assumptions!AE111</f>
        <v>12753050.654519964</v>
      </c>
      <c r="AE5" s="1">
        <f>Assumptions!AF111</f>
        <v>12753050.654519964</v>
      </c>
      <c r="AF5" s="1">
        <f>Assumptions!AG111</f>
        <v>12753050.654519964</v>
      </c>
    </row>
    <row r="6" spans="1:32" x14ac:dyDescent="0.35">
      <c r="A6" t="s">
        <v>68</v>
      </c>
      <c r="C6" s="1">
        <f>Assumptions!D113</f>
        <v>17185330.575910624</v>
      </c>
      <c r="D6" s="1">
        <f>Assumptions!E113</f>
        <v>17185330.575910624</v>
      </c>
      <c r="E6" s="1">
        <f>Assumptions!F113</f>
        <v>17185330.575910624</v>
      </c>
      <c r="F6" s="1">
        <f>Assumptions!G113</f>
        <v>17185330.575910624</v>
      </c>
      <c r="G6" s="1">
        <f>Assumptions!H113</f>
        <v>17185330.575910624</v>
      </c>
      <c r="H6" s="1">
        <f>Assumptions!I113</f>
        <v>17185330.575910624</v>
      </c>
      <c r="I6" s="1">
        <f>Assumptions!J113</f>
        <v>17185330.575910624</v>
      </c>
      <c r="J6" s="1">
        <f>Assumptions!K113</f>
        <v>17185330.575910624</v>
      </c>
      <c r="K6" s="1">
        <f>Assumptions!L113</f>
        <v>17185330.575910624</v>
      </c>
      <c r="L6" s="1">
        <f>Assumptions!M113</f>
        <v>17185330.575910624</v>
      </c>
      <c r="M6" s="1">
        <f>Assumptions!N113</f>
        <v>17185330.575910624</v>
      </c>
      <c r="N6" s="1">
        <f>Assumptions!O113</f>
        <v>17185330.575910624</v>
      </c>
      <c r="O6" s="1">
        <f>Assumptions!P113</f>
        <v>17185330.575910624</v>
      </c>
      <c r="P6" s="1">
        <f>Assumptions!Q113</f>
        <v>17185330.575910624</v>
      </c>
      <c r="Q6" s="1">
        <f>Assumptions!R113</f>
        <v>17185330.575910624</v>
      </c>
      <c r="R6" s="1">
        <f>Assumptions!S113</f>
        <v>17185330.575910624</v>
      </c>
      <c r="S6" s="1">
        <f>Assumptions!T113</f>
        <v>17185330.575910624</v>
      </c>
      <c r="T6" s="1">
        <f>Assumptions!U113</f>
        <v>17185330.575910624</v>
      </c>
      <c r="U6" s="1">
        <f>Assumptions!V113</f>
        <v>17185330.575910624</v>
      </c>
      <c r="V6" s="1">
        <f>Assumptions!W113</f>
        <v>17185330.575910624</v>
      </c>
      <c r="W6" s="1">
        <f>Assumptions!X113</f>
        <v>17185330.575910624</v>
      </c>
      <c r="X6" s="1">
        <f>Assumptions!Y113</f>
        <v>17185330.575910624</v>
      </c>
      <c r="Y6" s="1">
        <f>Assumptions!Z113</f>
        <v>17185330.575910624</v>
      </c>
      <c r="Z6" s="1">
        <f>Assumptions!AA113</f>
        <v>17185330.575910624</v>
      </c>
      <c r="AA6" s="1">
        <f>Assumptions!AB113</f>
        <v>17185330.575910624</v>
      </c>
      <c r="AB6" s="1">
        <f>Assumptions!AC113</f>
        <v>17185330.575910624</v>
      </c>
      <c r="AC6" s="1">
        <f>Assumptions!AD113</f>
        <v>17185330.575910624</v>
      </c>
      <c r="AD6" s="1">
        <f>Assumptions!AE113</f>
        <v>17185330.575910624</v>
      </c>
      <c r="AE6" s="1">
        <f>Assumptions!AF113</f>
        <v>17185330.575910624</v>
      </c>
      <c r="AF6" s="1">
        <f>Assumptions!AG113</f>
        <v>17185330.575910624</v>
      </c>
    </row>
    <row r="7" spans="1:32" x14ac:dyDescent="0.35">
      <c r="A7" t="s">
        <v>73</v>
      </c>
      <c r="C7" s="1">
        <f>Assumptions!D120</f>
        <v>412447.933821855</v>
      </c>
      <c r="D7" s="1">
        <f>Assumptions!E120</f>
        <v>824895.86764370999</v>
      </c>
      <c r="E7" s="1">
        <f>Assumptions!F120</f>
        <v>1237343.8014655649</v>
      </c>
      <c r="F7" s="1">
        <f>Assumptions!G120</f>
        <v>1649791.73528742</v>
      </c>
      <c r="G7" s="1">
        <f>Assumptions!H120</f>
        <v>2062239.6691092751</v>
      </c>
      <c r="H7" s="1">
        <f>Assumptions!I120</f>
        <v>2474687.6029311297</v>
      </c>
      <c r="I7" s="1">
        <f>Assumptions!J120</f>
        <v>2887135.5367529853</v>
      </c>
      <c r="J7" s="1">
        <f>Assumptions!K120</f>
        <v>3299583.47057484</v>
      </c>
      <c r="K7" s="1">
        <f>Assumptions!L120</f>
        <v>3712031.4043966951</v>
      </c>
      <c r="L7" s="1">
        <f>Assumptions!M120</f>
        <v>4124479.3382185502</v>
      </c>
      <c r="M7" s="1">
        <f>Assumptions!N120</f>
        <v>4536927.2720404044</v>
      </c>
      <c r="N7" s="1">
        <f>Assumptions!O120</f>
        <v>4949375.2058622595</v>
      </c>
      <c r="O7" s="1">
        <f>Assumptions!P120</f>
        <v>5361823.1396841155</v>
      </c>
      <c r="P7" s="1">
        <f>Assumptions!Q120</f>
        <v>5774271.0735059706</v>
      </c>
      <c r="Q7" s="1">
        <f>Assumptions!R120</f>
        <v>6186719.0073278248</v>
      </c>
      <c r="R7" s="1">
        <f>Assumptions!S120</f>
        <v>6599166.9411496799</v>
      </c>
      <c r="S7" s="1">
        <f>Assumptions!T120</f>
        <v>7011614.8749715341</v>
      </c>
      <c r="T7" s="1">
        <f>Assumptions!U120</f>
        <v>7424062.8087933902</v>
      </c>
      <c r="U7" s="1">
        <f>Assumptions!V120</f>
        <v>7836510.7426152453</v>
      </c>
      <c r="V7" s="1">
        <f>Assumptions!W120</f>
        <v>8248958.6764371004</v>
      </c>
      <c r="W7" s="1">
        <f>Assumptions!X120</f>
        <v>8661406.6102589555</v>
      </c>
      <c r="X7" s="1">
        <f>Assumptions!Y120</f>
        <v>9073854.5440808088</v>
      </c>
      <c r="Y7" s="1">
        <f>Assumptions!Z120</f>
        <v>9486302.4779026657</v>
      </c>
      <c r="Z7" s="1">
        <f>Assumptions!AA120</f>
        <v>9898750.411724519</v>
      </c>
      <c r="AA7" s="1">
        <f>Assumptions!AB120</f>
        <v>10311198.345546374</v>
      </c>
      <c r="AB7" s="1">
        <f>Assumptions!AC120</f>
        <v>10723646.279368231</v>
      </c>
      <c r="AC7" s="1">
        <f>Assumptions!AD120</f>
        <v>11136094.213190086</v>
      </c>
      <c r="AD7" s="1">
        <f>Assumptions!AE120</f>
        <v>11548542.147011941</v>
      </c>
      <c r="AE7" s="1">
        <f>Assumptions!AF120</f>
        <v>11960990.080833795</v>
      </c>
      <c r="AF7" s="1">
        <f>Assumptions!AG120</f>
        <v>12373438.01465565</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13161148.275464604</v>
      </c>
      <c r="D11" s="1">
        <f>D5*D$9</f>
        <v>13582305.020279469</v>
      </c>
      <c r="E11" s="1">
        <f t="shared" ref="D11:AF13" si="1">E5*E$9</f>
        <v>14016938.780928412</v>
      </c>
      <c r="F11" s="1">
        <f t="shared" si="1"/>
        <v>14465480.821918121</v>
      </c>
      <c r="G11" s="1">
        <f t="shared" si="1"/>
        <v>14928376.208219502</v>
      </c>
      <c r="H11" s="1">
        <f t="shared" si="1"/>
        <v>15406084.246882524</v>
      </c>
      <c r="I11" s="1">
        <f t="shared" si="1"/>
        <v>15899078.942782763</v>
      </c>
      <c r="J11" s="1">
        <f t="shared" si="1"/>
        <v>16407849.468951814</v>
      </c>
      <c r="K11" s="1">
        <f t="shared" si="1"/>
        <v>16932900.651958276</v>
      </c>
      <c r="L11" s="1">
        <f t="shared" si="1"/>
        <v>17474753.472820938</v>
      </c>
      <c r="M11" s="1">
        <f t="shared" si="1"/>
        <v>18033945.583951205</v>
      </c>
      <c r="N11" s="1">
        <f t="shared" si="1"/>
        <v>18611031.842637647</v>
      </c>
      <c r="O11" s="1">
        <f t="shared" si="1"/>
        <v>19206584.861602053</v>
      </c>
      <c r="P11" s="1">
        <f t="shared" si="1"/>
        <v>19821195.577173315</v>
      </c>
      <c r="Q11" s="1">
        <f t="shared" si="1"/>
        <v>20455473.835642856</v>
      </c>
      <c r="R11" s="1">
        <f t="shared" si="1"/>
        <v>21110048.998383433</v>
      </c>
      <c r="S11" s="1">
        <f t="shared" si="1"/>
        <v>21785570.566331703</v>
      </c>
      <c r="T11" s="1">
        <f t="shared" si="1"/>
        <v>22482708.824454315</v>
      </c>
      <c r="U11" s="1">
        <f t="shared" si="1"/>
        <v>23202155.50683685</v>
      </c>
      <c r="V11" s="1">
        <f t="shared" si="1"/>
        <v>23944624.483055633</v>
      </c>
      <c r="W11" s="1">
        <f t="shared" si="1"/>
        <v>24710852.466513418</v>
      </c>
      <c r="X11" s="1">
        <f t="shared" si="1"/>
        <v>25501599.745441843</v>
      </c>
      <c r="Y11" s="1">
        <f t="shared" si="1"/>
        <v>26317650.937295977</v>
      </c>
      <c r="Z11" s="1">
        <f t="shared" si="1"/>
        <v>27159815.767289449</v>
      </c>
      <c r="AA11" s="1">
        <f t="shared" si="1"/>
        <v>28028929.87184272</v>
      </c>
      <c r="AB11" s="1">
        <f t="shared" si="1"/>
        <v>28925855.627741683</v>
      </c>
      <c r="AC11" s="1">
        <f t="shared" si="1"/>
        <v>29851483.007829413</v>
      </c>
      <c r="AD11" s="1">
        <f t="shared" si="1"/>
        <v>30806730.464079957</v>
      </c>
      <c r="AE11" s="1">
        <f t="shared" si="1"/>
        <v>31792545.838930517</v>
      </c>
      <c r="AF11" s="1">
        <f t="shared" si="1"/>
        <v>32809907.305776287</v>
      </c>
    </row>
    <row r="12" spans="1:32" x14ac:dyDescent="0.35">
      <c r="A12" t="s">
        <v>71</v>
      </c>
      <c r="C12" s="1">
        <f t="shared" ref="C12:R12" si="2">C6*C$9</f>
        <v>17735261.154339764</v>
      </c>
      <c r="D12" s="1">
        <f t="shared" si="2"/>
        <v>18302789.511278637</v>
      </c>
      <c r="E12" s="1">
        <f t="shared" si="2"/>
        <v>18888478.775639553</v>
      </c>
      <c r="F12" s="1">
        <f t="shared" si="2"/>
        <v>19492910.096460018</v>
      </c>
      <c r="G12" s="1">
        <f t="shared" si="2"/>
        <v>20116683.219546739</v>
      </c>
      <c r="H12" s="1">
        <f t="shared" si="2"/>
        <v>20760417.082572233</v>
      </c>
      <c r="I12" s="1">
        <f t="shared" si="2"/>
        <v>21424750.429214541</v>
      </c>
      <c r="J12" s="1">
        <f t="shared" si="2"/>
        <v>22110342.442949411</v>
      </c>
      <c r="K12" s="1">
        <f t="shared" si="2"/>
        <v>22817873.401123792</v>
      </c>
      <c r="L12" s="1">
        <f t="shared" si="2"/>
        <v>23548045.34995975</v>
      </c>
      <c r="M12" s="1">
        <f t="shared" si="2"/>
        <v>24301582.801158462</v>
      </c>
      <c r="N12" s="1">
        <f t="shared" si="2"/>
        <v>25079233.450795535</v>
      </c>
      <c r="O12" s="1">
        <f t="shared" si="2"/>
        <v>25881768.921220995</v>
      </c>
      <c r="P12" s="1">
        <f t="shared" si="2"/>
        <v>26709985.526700061</v>
      </c>
      <c r="Q12" s="1">
        <f t="shared" si="2"/>
        <v>27564705.063554458</v>
      </c>
      <c r="R12" s="1">
        <f t="shared" si="2"/>
        <v>28446775.625588208</v>
      </c>
      <c r="S12" s="1">
        <f t="shared" si="1"/>
        <v>29357072.445607033</v>
      </c>
      <c r="T12" s="1">
        <f t="shared" si="1"/>
        <v>30296498.763866454</v>
      </c>
      <c r="U12" s="1">
        <f t="shared" si="1"/>
        <v>31265986.724310178</v>
      </c>
      <c r="V12" s="1">
        <f t="shared" si="1"/>
        <v>32266498.299488109</v>
      </c>
      <c r="W12" s="1">
        <f t="shared" si="1"/>
        <v>33299026.245071732</v>
      </c>
      <c r="X12" s="1">
        <f t="shared" si="1"/>
        <v>34364595.084914021</v>
      </c>
      <c r="Y12" s="1">
        <f t="shared" si="1"/>
        <v>35464262.127631262</v>
      </c>
      <c r="Z12" s="1">
        <f t="shared" si="1"/>
        <v>36599118.515715465</v>
      </c>
      <c r="AA12" s="1">
        <f t="shared" si="1"/>
        <v>37770290.308218367</v>
      </c>
      <c r="AB12" s="1">
        <f t="shared" si="1"/>
        <v>38978939.59808135</v>
      </c>
      <c r="AC12" s="1">
        <f t="shared" si="1"/>
        <v>40226265.665219948</v>
      </c>
      <c r="AD12" s="1">
        <f t="shared" si="1"/>
        <v>41513506.166506998</v>
      </c>
      <c r="AE12" s="1">
        <f t="shared" si="1"/>
        <v>42841938.363835216</v>
      </c>
      <c r="AF12" s="1">
        <f t="shared" si="1"/>
        <v>44212880.391477935</v>
      </c>
    </row>
    <row r="13" spans="1:32" x14ac:dyDescent="0.35">
      <c r="A13" t="s">
        <v>74</v>
      </c>
      <c r="C13" s="1">
        <f>C7*C$9</f>
        <v>425646.26770415436</v>
      </c>
      <c r="D13" s="1">
        <f t="shared" si="1"/>
        <v>878533.89654137462</v>
      </c>
      <c r="E13" s="1">
        <f t="shared" si="1"/>
        <v>1359970.4718460476</v>
      </c>
      <c r="F13" s="1">
        <f t="shared" si="1"/>
        <v>1871319.3692601616</v>
      </c>
      <c r="G13" s="1">
        <f t="shared" si="1"/>
        <v>2414001.9863456092</v>
      </c>
      <c r="H13" s="1">
        <f t="shared" si="1"/>
        <v>2989500.0598904015</v>
      </c>
      <c r="I13" s="1">
        <f t="shared" si="1"/>
        <v>3599358.0721080434</v>
      </c>
      <c r="J13" s="1">
        <f t="shared" si="1"/>
        <v>4245185.7490462866</v>
      </c>
      <c r="K13" s="1">
        <f t="shared" si="1"/>
        <v>4928660.6546427393</v>
      </c>
      <c r="L13" s="1">
        <f t="shared" si="1"/>
        <v>5651530.8839903409</v>
      </c>
      <c r="M13" s="1">
        <f t="shared" si="1"/>
        <v>6415617.8595058341</v>
      </c>
      <c r="N13" s="1">
        <f t="shared" si="1"/>
        <v>7222819.2338291137</v>
      </c>
      <c r="O13" s="1">
        <f t="shared" si="1"/>
        <v>8075111.9034209512</v>
      </c>
      <c r="P13" s="1">
        <f t="shared" si="1"/>
        <v>8974555.1369712222</v>
      </c>
      <c r="Q13" s="1">
        <f t="shared" si="1"/>
        <v>9923293.822879605</v>
      </c>
      <c r="R13" s="1">
        <f t="shared" si="1"/>
        <v>10923561.840225872</v>
      </c>
      <c r="S13" s="1">
        <f t="shared" si="1"/>
        <v>11977685.557807669</v>
      </c>
      <c r="T13" s="1">
        <f t="shared" si="1"/>
        <v>13088087.465990309</v>
      </c>
      <c r="U13" s="1">
        <f t="shared" si="1"/>
        <v>14257289.946285442</v>
      </c>
      <c r="V13" s="1">
        <f t="shared" si="1"/>
        <v>15487919.183754293</v>
      </c>
      <c r="W13" s="1">
        <f t="shared" si="1"/>
        <v>16782709.227516156</v>
      </c>
      <c r="X13" s="1">
        <f t="shared" si="1"/>
        <v>18144506.204834603</v>
      </c>
      <c r="Y13" s="1">
        <f t="shared" si="1"/>
        <v>19576272.694452461</v>
      </c>
      <c r="Z13" s="1">
        <f t="shared" si="1"/>
        <v>21081092.265052106</v>
      </c>
      <c r="AA13" s="1">
        <f t="shared" si="1"/>
        <v>22662174.184931021</v>
      </c>
      <c r="AB13" s="1">
        <f t="shared" si="1"/>
        <v>24322858.309202768</v>
      </c>
      <c r="AC13" s="1">
        <f t="shared" si="1"/>
        <v>26066620.151062533</v>
      </c>
      <c r="AD13" s="1">
        <f t="shared" si="1"/>
        <v>27897076.143892705</v>
      </c>
      <c r="AE13" s="1">
        <f t="shared" si="1"/>
        <v>29817989.101229314</v>
      </c>
      <c r="AF13" s="1">
        <f t="shared" si="1"/>
        <v>31833273.881864116</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31322055.697508525</v>
      </c>
      <c r="D25" s="40">
        <f>SUM(D11:D13,D18:D23)</f>
        <v>32763628.42809948</v>
      </c>
      <c r="E25" s="40">
        <f t="shared" ref="E25:AF25" si="7">SUM(E11:E13,E18:E23)</f>
        <v>34265388.028414011</v>
      </c>
      <c r="F25" s="40">
        <f t="shared" si="7"/>
        <v>35829710.287638299</v>
      </c>
      <c r="G25" s="40">
        <f t="shared" si="7"/>
        <v>37459061.414111853</v>
      </c>
      <c r="H25" s="40">
        <f t="shared" si="7"/>
        <v>39156001.389345162</v>
      </c>
      <c r="I25" s="40">
        <f t="shared" si="7"/>
        <v>40923187.444105349</v>
      </c>
      <c r="J25" s="40">
        <f t="shared" si="7"/>
        <v>42763377.660947509</v>
      </c>
      <c r="K25" s="40">
        <f t="shared" si="7"/>
        <v>44679434.707724802</v>
      </c>
      <c r="L25" s="40">
        <f t="shared" si="7"/>
        <v>46674329.706771024</v>
      </c>
      <c r="M25" s="40">
        <f t="shared" si="7"/>
        <v>48751146.244615495</v>
      </c>
      <c r="N25" s="40">
        <f t="shared" si="7"/>
        <v>50913084.527262293</v>
      </c>
      <c r="O25" s="40">
        <f t="shared" si="7"/>
        <v>53163465.686243996</v>
      </c>
      <c r="P25" s="40">
        <f t="shared" si="7"/>
        <v>55505736.240844592</v>
      </c>
      <c r="Q25" s="40">
        <f t="shared" si="7"/>
        <v>57943472.722076915</v>
      </c>
      <c r="R25" s="40">
        <f t="shared" si="7"/>
        <v>60480386.464197516</v>
      </c>
      <c r="S25" s="40">
        <f t="shared" si="7"/>
        <v>63120328.569746405</v>
      </c>
      <c r="T25" s="40">
        <f t="shared" si="7"/>
        <v>65867295.054311082</v>
      </c>
      <c r="U25" s="40">
        <f t="shared" si="7"/>
        <v>68725432.177432477</v>
      </c>
      <c r="V25" s="40">
        <f t="shared" si="7"/>
        <v>71699041.966298029</v>
      </c>
      <c r="W25" s="40">
        <f t="shared" si="7"/>
        <v>74792587.939101309</v>
      </c>
      <c r="X25" s="40">
        <f t="shared" si="7"/>
        <v>78010701.035190463</v>
      </c>
      <c r="Y25" s="40">
        <f t="shared" si="7"/>
        <v>81358185.7593797</v>
      </c>
      <c r="Z25" s="40">
        <f t="shared" si="7"/>
        <v>84840026.54805702</v>
      </c>
      <c r="AA25" s="40">
        <f t="shared" si="7"/>
        <v>88461394.364992112</v>
      </c>
      <c r="AB25" s="40">
        <f t="shared" si="7"/>
        <v>92227653.535025805</v>
      </c>
      <c r="AC25" s="40">
        <f t="shared" si="7"/>
        <v>96144368.824111894</v>
      </c>
      <c r="AD25" s="40">
        <f t="shared" si="7"/>
        <v>100217312.77447966</v>
      </c>
      <c r="AE25" s="40">
        <f t="shared" si="7"/>
        <v>104452473.30399504</v>
      </c>
      <c r="AF25" s="40">
        <f t="shared" si="7"/>
        <v>108856061.57911834</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161</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27864277.662521839</v>
      </c>
      <c r="D5" s="59">
        <f>C5*('Price and Financial ratios'!F4+1)*(1+Assumptions!$C$13)</f>
        <v>33697534.824405424</v>
      </c>
      <c r="E5" s="59">
        <f>D5*('Price and Financial ratios'!G4+1)*(1+Assumptions!$C$13)</f>
        <v>40072758.002617665</v>
      </c>
      <c r="F5" s="59">
        <f>E5*('Price and Financial ratios'!H4+1)*(1+Assumptions!$C$13)</f>
        <v>45231016.91997122</v>
      </c>
      <c r="G5" s="59">
        <f>F5*('Price and Financial ratios'!I4+1)*(1+Assumptions!$C$13)</f>
        <v>50141593.623038098</v>
      </c>
      <c r="H5" s="59">
        <f>G5*('Price and Financial ratios'!J4+1)*(1+Assumptions!$C$13)</f>
        <v>55585294.832223609</v>
      </c>
      <c r="I5" s="59">
        <f>H5*('Price and Financial ratios'!K4+1)*(1+Assumptions!$C$13)</f>
        <v>60499636.4132469</v>
      </c>
      <c r="J5" s="59">
        <f>I5*('Price and Financial ratios'!L4+1)*(1+Assumptions!$C$13)</f>
        <v>64019335.110422559</v>
      </c>
      <c r="K5" s="59">
        <f>J5*('Price and Financial ratios'!M4+1)*(1+Assumptions!$C$13)</f>
        <v>67743799.978989407</v>
      </c>
      <c r="L5" s="59">
        <f>K5*('Price and Financial ratios'!N4+1)*(1+Assumptions!$C$13)</f>
        <v>71684943.738914043</v>
      </c>
      <c r="M5" s="59">
        <f>L5*('Price and Financial ratios'!O4+1)*(1+Assumptions!$C$13)</f>
        <v>75132940.042910129</v>
      </c>
      <c r="N5" s="59">
        <f>M5*('Price and Financial ratios'!P4+1)*(1+Assumptions!$C$13)</f>
        <v>78746782.58870101</v>
      </c>
      <c r="O5" s="59">
        <f>N5*('Price and Financial ratios'!Q4+1)*(1+Assumptions!$C$13)</f>
        <v>82534448.466020107</v>
      </c>
      <c r="P5" s="59">
        <f>O5*('Price and Financial ratios'!R4+1)*(1+Assumptions!$C$13)</f>
        <v>86504298.457109779</v>
      </c>
      <c r="Q5" s="59">
        <f>P5*('Price and Financial ratios'!S4+1)*(1+Assumptions!$C$13)</f>
        <v>90665095.49206616</v>
      </c>
      <c r="R5" s="59">
        <f>Q5*('Price and Financial ratios'!T4+1)*(1+Assumptions!$C$13)</f>
        <v>95026023.991873205</v>
      </c>
      <c r="S5" s="59">
        <f>R5*('Price and Financial ratios'!U4+1)*(1+Assumptions!$C$13)</f>
        <v>99596710.141823515</v>
      </c>
      <c r="T5" s="59">
        <f>S5*('Price and Financial ratios'!V4+1)*(1+Assumptions!$C$13)</f>
        <v>104387243.14007649</v>
      </c>
      <c r="U5" s="59">
        <f>T5*('Price and Financial ratios'!W4+1)*(1+Assumptions!$C$13)</f>
        <v>109408197.46825765</v>
      </c>
      <c r="V5" s="59">
        <f>U5*('Price and Financial ratios'!X4+1)*(1+Assumptions!$C$13)</f>
        <v>114670656.23325828</v>
      </c>
      <c r="W5" s="59">
        <f>V5*('Price and Financial ratios'!Y4+1)*(1+Assumptions!$C$13)</f>
        <v>120186235.6317596</v>
      </c>
      <c r="X5" s="59">
        <f>W5*('Price and Financial ratios'!Z4+1)*(1+Assumptions!$C$13)</f>
        <v>125967110.59148356</v>
      </c>
      <c r="Y5" s="59">
        <f>X5*('Price and Financial ratios'!AA4+1)*(1+Assumptions!$C$13)</f>
        <v>132026041.64577027</v>
      </c>
      <c r="Z5" s="59">
        <f>Y5*('Price and Financial ratios'!AB4+1)*(1+Assumptions!$C$13)</f>
        <v>138376403.10080382</v>
      </c>
      <c r="AA5" s="59">
        <f>Z5*('Price and Financial ratios'!AC4+1)*(1+Assumptions!$C$13)</f>
        <v>143637672.0523003</v>
      </c>
      <c r="AB5" s="59">
        <f>AA5*('Price and Financial ratios'!AD4+1)*(1+Assumptions!$C$13)</f>
        <v>148375200.5156613</v>
      </c>
      <c r="AC5" s="59">
        <f>AB5*('Price and Financial ratios'!AE4+1)*(1+Assumptions!$C$13)</f>
        <v>152820392.32707706</v>
      </c>
      <c r="AD5" s="59">
        <f>AC5*('Price and Financial ratios'!AF4+1)*(1+Assumptions!$C$13)</f>
        <v>157398758.21456218</v>
      </c>
      <c r="AE5" s="59">
        <f>AD5*('Price and Financial ratios'!AG4+1)*(1+Assumptions!$C$13)</f>
        <v>162114287.95747584</v>
      </c>
      <c r="AF5" s="59">
        <f>AE5*('Price and Financial ratios'!AH4+1)*(1+Assumptions!$C$13)</f>
        <v>166971090.86549285</v>
      </c>
    </row>
    <row r="6" spans="1:32" s="11" customFormat="1" x14ac:dyDescent="0.35">
      <c r="A6" s="11" t="s">
        <v>20</v>
      </c>
      <c r="C6" s="59">
        <f>C27</f>
        <v>16645762.608396318</v>
      </c>
      <c r="D6" s="59">
        <f t="shared" ref="D6:AF6" si="1">D27</f>
        <v>17678755.563671123</v>
      </c>
      <c r="E6" s="59">
        <f>E27</f>
        <v>18750164.753228959</v>
      </c>
      <c r="F6" s="59">
        <f t="shared" si="1"/>
        <v>19861211.113855675</v>
      </c>
      <c r="G6" s="59">
        <f t="shared" si="1"/>
        <v>21013151.626580078</v>
      </c>
      <c r="H6" s="59">
        <f t="shared" si="1"/>
        <v>22207280.339144185</v>
      </c>
      <c r="I6" s="59">
        <f t="shared" si="1"/>
        <v>23444929.416839395</v>
      </c>
      <c r="J6" s="59">
        <f t="shared" si="1"/>
        <v>24727470.222486317</v>
      </c>
      <c r="K6" s="59">
        <f t="shared" si="1"/>
        <v>26056314.426357545</v>
      </c>
      <c r="L6" s="59">
        <f t="shared" si="1"/>
        <v>27432915.146864094</v>
      </c>
      <c r="M6" s="59">
        <f t="shared" si="1"/>
        <v>28858768.122848962</v>
      </c>
      <c r="N6" s="59">
        <f t="shared" si="1"/>
        <v>30335412.918354061</v>
      </c>
      <c r="O6" s="59">
        <f t="shared" si="1"/>
        <v>31864434.160750724</v>
      </c>
      <c r="P6" s="59">
        <f t="shared" si="1"/>
        <v>33447462.813147768</v>
      </c>
      <c r="Q6" s="59">
        <f t="shared" si="1"/>
        <v>35086177.48201672</v>
      </c>
      <c r="R6" s="59">
        <f t="shared" si="1"/>
        <v>36782305.76099886</v>
      </c>
      <c r="S6" s="59">
        <f t="shared" si="1"/>
        <v>38537625.611885503</v>
      </c>
      <c r="T6" s="59">
        <f t="shared" si="1"/>
        <v>40353966.783789724</v>
      </c>
      <c r="U6" s="59">
        <f t="shared" si="1"/>
        <v>42233212.271555766</v>
      </c>
      <c r="V6" s="59">
        <f t="shared" si="1"/>
        <v>44177299.814480707</v>
      </c>
      <c r="W6" s="59">
        <f t="shared" si="1"/>
        <v>46188223.43645259</v>
      </c>
      <c r="X6" s="59">
        <f t="shared" si="1"/>
        <v>48268035.028638959</v>
      </c>
      <c r="Y6" s="59">
        <f t="shared" si="1"/>
        <v>50418845.975891367</v>
      </c>
      <c r="Z6" s="59">
        <f t="shared" si="1"/>
        <v>52642828.828062311</v>
      </c>
      <c r="AA6" s="59">
        <f t="shared" si="1"/>
        <v>54942219.017464831</v>
      </c>
      <c r="AB6" s="59">
        <f t="shared" si="1"/>
        <v>57319316.623737648</v>
      </c>
      <c r="AC6" s="59">
        <f t="shared" si="1"/>
        <v>59776488.187413856</v>
      </c>
      <c r="AD6" s="59">
        <f t="shared" si="1"/>
        <v>62316168.573526174</v>
      </c>
      <c r="AE6" s="59">
        <f t="shared" si="1"/>
        <v>64940862.886618771</v>
      </c>
      <c r="AF6" s="59">
        <f t="shared" si="1"/>
        <v>67653148.438572183</v>
      </c>
    </row>
    <row r="7" spans="1:32" x14ac:dyDescent="0.35">
      <c r="A7" t="s">
        <v>21</v>
      </c>
      <c r="C7" s="4">
        <f>Depreciation!C8+Depreciation!C9</f>
        <v>13586794.543168757</v>
      </c>
      <c r="D7" s="4">
        <f>Depreciation!D8+Depreciation!D9</f>
        <v>14460838.916820843</v>
      </c>
      <c r="E7" s="4">
        <f>Depreciation!E8+Depreciation!E9</f>
        <v>15376909.25277446</v>
      </c>
      <c r="F7" s="4">
        <f>Depreciation!F8+Depreciation!F9</f>
        <v>16336800.191178283</v>
      </c>
      <c r="G7" s="4">
        <f>Depreciation!G8+Depreciation!G9</f>
        <v>17342378.19456511</v>
      </c>
      <c r="H7" s="4">
        <f>Depreciation!H8+Depreciation!H9</f>
        <v>18395584.306772925</v>
      </c>
      <c r="I7" s="4">
        <f>Depreciation!I8+Depreciation!I9</f>
        <v>19498437.014890805</v>
      </c>
      <c r="J7" s="4">
        <f>Depreciation!J8+Depreciation!J9</f>
        <v>20653035.217998102</v>
      </c>
      <c r="K7" s="4">
        <f>Depreciation!K8+Depreciation!K9</f>
        <v>21861561.306601014</v>
      </c>
      <c r="L7" s="4">
        <f>Depreciation!L8+Depreciation!L9</f>
        <v>23126284.356811278</v>
      </c>
      <c r="M7" s="4">
        <f>Depreciation!M8+Depreciation!M9</f>
        <v>24449563.443457037</v>
      </c>
      <c r="N7" s="4">
        <f>Depreciation!N8+Depreciation!N9</f>
        <v>25833851.076466762</v>
      </c>
      <c r="O7" s="4">
        <f>Depreciation!O8+Depreciation!O9</f>
        <v>27281696.765023004</v>
      </c>
      <c r="P7" s="4">
        <f>Depreciation!P8+Depreciation!P9</f>
        <v>28795750.714144535</v>
      </c>
      <c r="Q7" s="4">
        <f>Depreciation!Q8+Depreciation!Q9</f>
        <v>30378767.658522461</v>
      </c>
      <c r="R7" s="4">
        <f>Depreciation!R8+Depreciation!R9</f>
        <v>32033610.838609304</v>
      </c>
      <c r="S7" s="4">
        <f>Depreciation!S8+Depreciation!S9</f>
        <v>33763256.124139369</v>
      </c>
      <c r="T7" s="4">
        <f>Depreciation!T8+Depreciation!T9</f>
        <v>35570796.290444627</v>
      </c>
      <c r="U7" s="4">
        <f>Depreciation!U8+Depreciation!U9</f>
        <v>37459445.453122288</v>
      </c>
      <c r="V7" s="4">
        <f>Depreciation!V8+Depreciation!V9</f>
        <v>39432543.666809924</v>
      </c>
      <c r="W7" s="4">
        <f>Depreciation!W8+Depreciation!W9</f>
        <v>41493561.69402957</v>
      </c>
      <c r="X7" s="4">
        <f>Depreciation!X8+Depreciation!X9</f>
        <v>43646105.950276449</v>
      </c>
      <c r="Y7" s="4">
        <f>Depreciation!Y8+Depreciation!Y9</f>
        <v>45893923.631748438</v>
      </c>
      <c r="Z7" s="4">
        <f>Depreciation!Z8+Depreciation!Z9</f>
        <v>48240908.032341555</v>
      </c>
      <c r="AA7" s="4">
        <f>Depreciation!AA8+Depreciation!AA9</f>
        <v>50691104.056773737</v>
      </c>
      <c r="AB7" s="4">
        <f>Depreciation!AB8+Depreciation!AB9</f>
        <v>53248713.936944455</v>
      </c>
      <c r="AC7" s="4">
        <f>Depreciation!AC8+Depreciation!AC9</f>
        <v>55918103.158891946</v>
      </c>
      <c r="AD7" s="4">
        <f>Depreciation!AD8+Depreciation!AD9</f>
        <v>58703806.607972667</v>
      </c>
      <c r="AE7" s="4">
        <f>Depreciation!AE8+Depreciation!AE9</f>
        <v>61610534.940159827</v>
      </c>
      <c r="AF7" s="4">
        <f>Depreciation!AF8+Depreciation!AF9</f>
        <v>64643181.187640399</v>
      </c>
    </row>
    <row r="8" spans="1:32" x14ac:dyDescent="0.35">
      <c r="A8" t="s">
        <v>6</v>
      </c>
      <c r="C8" s="4">
        <f ca="1">'Debt worksheet'!C8</f>
        <v>2539713.9093454978</v>
      </c>
      <c r="D8" s="4">
        <f ca="1">'Debt worksheet'!D8</f>
        <v>3239154.0209360407</v>
      </c>
      <c r="E8" s="4">
        <f ca="1">'Debt worksheet'!E8</f>
        <v>3826064.0810382655</v>
      </c>
      <c r="F8" s="4">
        <f ca="1">'Debt worksheet'!F8</f>
        <v>4344208.0185404792</v>
      </c>
      <c r="G8" s="4">
        <f ca="1">'Debt worksheet'!G8</f>
        <v>4803916.7856563348</v>
      </c>
      <c r="H8" s="4">
        <f ca="1">'Debt worksheet'!H8</f>
        <v>5187716.4010628341</v>
      </c>
      <c r="I8" s="4">
        <f ca="1">'Debt worksheet'!I8</f>
        <v>5516179.499204413</v>
      </c>
      <c r="J8" s="4">
        <f ca="1">'Debt worksheet'!J8</f>
        <v>5842157.975398764</v>
      </c>
      <c r="K8" s="4">
        <f ca="1">'Debt worksheet'!K8</f>
        <v>6162566.0060383594</v>
      </c>
      <c r="L8" s="4">
        <f ca="1">'Debt worksheet'!L8</f>
        <v>6473934.2435788568</v>
      </c>
      <c r="M8" s="4">
        <f ca="1">'Debt worksheet'!M8</f>
        <v>6798578.5957909403</v>
      </c>
      <c r="N8" s="4">
        <f ca="1">'Debt worksheet'!N8</f>
        <v>7135894.9386352096</v>
      </c>
      <c r="O8" s="4">
        <f ca="1">'Debt worksheet'!O8</f>
        <v>7485145.8414189862</v>
      </c>
      <c r="P8" s="4">
        <f ca="1">'Debt worksheet'!P8</f>
        <v>7845448.0438444316</v>
      </c>
      <c r="Q8" s="4">
        <f ca="1">'Debt worksheet'!Q8</f>
        <v>8215759.0246273503</v>
      </c>
      <c r="R8" s="4">
        <f ca="1">'Debt worksheet'!R8</f>
        <v>8594862.6039312556</v>
      </c>
      <c r="S8" s="4">
        <f ca="1">'Debt worksheet'!S8</f>
        <v>8981353.5184710361</v>
      </c>
      <c r="T8" s="4">
        <f ca="1">'Debt worksheet'!T8</f>
        <v>9373620.9045615401</v>
      </c>
      <c r="U8" s="4">
        <f ca="1">'Debt worksheet'!U8</f>
        <v>9769830.6206084061</v>
      </c>
      <c r="V8" s="4">
        <f ca="1">'Debt worksheet'!V8</f>
        <v>10167906.336550903</v>
      </c>
      <c r="W8" s="4">
        <f ca="1">'Debt worksheet'!W8</f>
        <v>10565509.313558241</v>
      </c>
      <c r="X8" s="4">
        <f ca="1">'Debt worksheet'!X8</f>
        <v>10960016.792839738</v>
      </c>
      <c r="Y8" s="4">
        <f ca="1">'Debt worksheet'!Y8</f>
        <v>11348498.907743281</v>
      </c>
      <c r="Z8" s="4">
        <f ca="1">'Debt worksheet'!Z8</f>
        <v>11727694.028372355</v>
      </c>
      <c r="AA8" s="4">
        <f ca="1">'Debt worksheet'!AA8</f>
        <v>12144561.632049574</v>
      </c>
      <c r="AB8" s="4">
        <f ca="1">'Debt worksheet'!AB8</f>
        <v>12627537.377780465</v>
      </c>
      <c r="AC8" s="4">
        <f ca="1">'Debt worksheet'!AC8</f>
        <v>13197983.048431264</v>
      </c>
      <c r="AD8" s="4">
        <f ca="1">'Debt worksheet'!AD8</f>
        <v>13862899.852955224</v>
      </c>
      <c r="AE8" s="4">
        <f ca="1">'Debt worksheet'!AE8</f>
        <v>14629706.260222852</v>
      </c>
      <c r="AF8" s="4">
        <f ca="1">'Debt worksheet'!AF8</f>
        <v>15506259.513523079</v>
      </c>
    </row>
    <row r="9" spans="1:32" x14ac:dyDescent="0.35">
      <c r="A9" t="s">
        <v>22</v>
      </c>
      <c r="C9" s="4">
        <f ca="1">C5-C6-C7-C8</f>
        <v>-4907993.3983887341</v>
      </c>
      <c r="D9" s="4">
        <f t="shared" ref="D9:AF9" ca="1" si="2">D5-D6-D7-D8</f>
        <v>-1681213.6770225824</v>
      </c>
      <c r="E9" s="4">
        <f t="shared" ca="1" si="2"/>
        <v>2119619.9155759802</v>
      </c>
      <c r="F9" s="4">
        <f t="shared" ca="1" si="2"/>
        <v>4688797.5963967834</v>
      </c>
      <c r="G9" s="4">
        <f t="shared" ca="1" si="2"/>
        <v>6982147.0162365753</v>
      </c>
      <c r="H9" s="4">
        <f t="shared" ca="1" si="2"/>
        <v>9794713.7852436639</v>
      </c>
      <c r="I9" s="4">
        <f t="shared" ca="1" si="2"/>
        <v>12040090.482312292</v>
      </c>
      <c r="J9" s="4">
        <f t="shared" ca="1" si="2"/>
        <v>12796671.694539376</v>
      </c>
      <c r="K9" s="4">
        <f t="shared" ca="1" si="2"/>
        <v>13663358.239992488</v>
      </c>
      <c r="L9" s="4">
        <f t="shared" ca="1" si="2"/>
        <v>14651809.991659814</v>
      </c>
      <c r="M9" s="4">
        <f t="shared" ca="1" si="2"/>
        <v>15026029.880813193</v>
      </c>
      <c r="N9" s="4">
        <f t="shared" ca="1" si="2"/>
        <v>15441623.655244974</v>
      </c>
      <c r="O9" s="4">
        <f t="shared" ca="1" si="2"/>
        <v>15903171.698827393</v>
      </c>
      <c r="P9" s="4">
        <f t="shared" ca="1" si="2"/>
        <v>16415636.885973044</v>
      </c>
      <c r="Q9" s="4">
        <f t="shared" ca="1" si="2"/>
        <v>16984391.326899629</v>
      </c>
      <c r="R9" s="4">
        <f t="shared" ca="1" si="2"/>
        <v>17615244.788333785</v>
      </c>
      <c r="S9" s="4">
        <f t="shared" ca="1" si="2"/>
        <v>18314474.887327608</v>
      </c>
      <c r="T9" s="4">
        <f t="shared" ca="1" si="2"/>
        <v>19088859.161280595</v>
      </c>
      <c r="U9" s="4">
        <f t="shared" ca="1" si="2"/>
        <v>19945709.122971192</v>
      </c>
      <c r="V9" s="4">
        <f t="shared" ca="1" si="2"/>
        <v>20892906.415416744</v>
      </c>
      <c r="W9" s="4">
        <f t="shared" ca="1" si="2"/>
        <v>21938941.187719204</v>
      </c>
      <c r="X9" s="4">
        <f t="shared" ca="1" si="2"/>
        <v>23092952.819728419</v>
      </c>
      <c r="Y9" s="4">
        <f t="shared" ca="1" si="2"/>
        <v>24364773.13038718</v>
      </c>
      <c r="Z9" s="4">
        <f t="shared" ca="1" si="2"/>
        <v>25764972.212027602</v>
      </c>
      <c r="AA9" s="4">
        <f t="shared" ca="1" si="2"/>
        <v>25859787.34601216</v>
      </c>
      <c r="AB9" s="4">
        <f t="shared" ca="1" si="2"/>
        <v>25179632.577198729</v>
      </c>
      <c r="AC9" s="4">
        <f t="shared" ca="1" si="2"/>
        <v>23927817.932339996</v>
      </c>
      <c r="AD9" s="4">
        <f t="shared" ca="1" si="2"/>
        <v>22515883.180108115</v>
      </c>
      <c r="AE9" s="4">
        <f t="shared" ca="1" si="2"/>
        <v>20933183.870474398</v>
      </c>
      <c r="AF9" s="4">
        <f t="shared" ca="1" si="2"/>
        <v>19168501.725757189</v>
      </c>
    </row>
    <row r="12" spans="1:32" x14ac:dyDescent="0.35">
      <c r="A12" t="s">
        <v>79</v>
      </c>
      <c r="C12" s="2">
        <f>Assumptions!$C$25*Assumptions!D9*Assumptions!D13</f>
        <v>16118860.372938897</v>
      </c>
      <c r="D12" s="2">
        <f>Assumptions!$C$25*Assumptions!E9*Assumptions!E13</f>
        <v>16601767.394396158</v>
      </c>
      <c r="E12" s="2">
        <f>Assumptions!$C$25*Assumptions!F9*Assumptions!F13</f>
        <v>17099141.889730435</v>
      </c>
      <c r="F12" s="2">
        <f>Assumptions!$C$25*Assumptions!G9*Assumptions!G13</f>
        <v>17611417.291861687</v>
      </c>
      <c r="G12" s="2">
        <f>Assumptions!$C$25*Assumptions!H9*Assumptions!H13</f>
        <v>18139040.018982761</v>
      </c>
      <c r="H12" s="2">
        <f>Assumptions!$C$25*Assumptions!I9*Assumptions!I13</f>
        <v>18682469.863586836</v>
      </c>
      <c r="I12" s="2">
        <f>Assumptions!$C$25*Assumptions!J9*Assumptions!J13</f>
        <v>19242180.393149845</v>
      </c>
      <c r="J12" s="2">
        <f>Assumptions!$C$25*Assumptions!K9*Assumptions!K13</f>
        <v>19818659.362816922</v>
      </c>
      <c r="K12" s="2">
        <f>Assumptions!$C$25*Assumptions!L9*Assumptions!L13</f>
        <v>20412409.140452661</v>
      </c>
      <c r="L12" s="2">
        <f>Assumptions!$C$25*Assumptions!M9*Assumptions!M13</f>
        <v>21023947.144425437</v>
      </c>
      <c r="M12" s="2">
        <f>Assumptions!$C$25*Assumptions!N9*Assumptions!N13</f>
        <v>21653806.294507422</v>
      </c>
      <c r="N12" s="2">
        <f>Assumptions!$C$25*Assumptions!O9*Assumptions!O13</f>
        <v>22302535.476283092</v>
      </c>
      <c r="O12" s="2">
        <f>Assumptions!$C$25*Assumptions!P9*Assumptions!P13</f>
        <v>22970700.019471154</v>
      </c>
      <c r="P12" s="2">
        <f>Assumptions!$C$25*Assumptions!Q9*Assumptions!Q13</f>
        <v>23658882.190576375</v>
      </c>
      <c r="Q12" s="2">
        <f>Assumptions!$C$25*Assumptions!R9*Assumptions!R13</f>
        <v>24367681.700301044</v>
      </c>
      <c r="R12" s="2">
        <f>Assumptions!$C$25*Assumptions!S9*Assumptions!S13</f>
        <v>25097716.226157874</v>
      </c>
      <c r="S12" s="2">
        <f>Assumptions!$C$25*Assumptions!T9*Assumptions!T13</f>
        <v>25849621.950740054</v>
      </c>
      <c r="T12" s="2">
        <f>Assumptions!$C$25*Assumptions!U9*Assumptions!U13</f>
        <v>26624054.116117269</v>
      </c>
      <c r="U12" s="2">
        <f>Assumptions!$C$25*Assumptions!V9*Assumptions!V13</f>
        <v>27421687.594841111</v>
      </c>
      <c r="V12" s="2">
        <f>Assumptions!$C$25*Assumptions!W9*Assumptions!W13</f>
        <v>28243217.478057154</v>
      </c>
      <c r="W12" s="2">
        <f>Assumptions!$C$25*Assumptions!X9*Assumptions!X13</f>
        <v>29089359.681236472</v>
      </c>
      <c r="X12" s="2">
        <f>Assumptions!$C$25*Assumptions!Y9*Assumptions!Y13</f>
        <v>29960851.56805424</v>
      </c>
      <c r="Y12" s="2">
        <f>Assumptions!$C$25*Assumptions!Z9*Assumptions!Z13</f>
        <v>30858452.592959352</v>
      </c>
      <c r="Z12" s="2">
        <f>Assumptions!$C$25*Assumptions!AA9*Assumptions!AA13</f>
        <v>31782944.962994628</v>
      </c>
      <c r="AA12" s="2">
        <f>Assumptions!$C$25*Assumptions!AB9*Assumptions!AB13</f>
        <v>32735134.319444861</v>
      </c>
      <c r="AB12" s="2">
        <f>Assumptions!$C$25*Assumptions!AC9*Assumptions!AC13</f>
        <v>33715850.43990618</v>
      </c>
      <c r="AC12" s="2">
        <f>Assumptions!$C$25*Assumptions!AD9*Assumptions!AD13</f>
        <v>34725947.961389035</v>
      </c>
      <c r="AD12" s="2">
        <f>Assumptions!$C$25*Assumptions!AE9*Assumptions!AE13</f>
        <v>35766307.12508446</v>
      </c>
      <c r="AE12" s="2">
        <f>Assumptions!$C$25*Assumptions!AF9*Assumptions!AF13</f>
        <v>36837834.54344321</v>
      </c>
      <c r="AF12" s="2">
        <f>Assumptions!$C$25*Assumptions!AG9*Assumptions!AG13</f>
        <v>37941463.990235545</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526902.23545741977</v>
      </c>
      <c r="D14" s="5">
        <f>Assumptions!E122*Assumptions!E9</f>
        <v>1076988.169274966</v>
      </c>
      <c r="E14" s="5">
        <f>Assumptions!F122*Assumptions!F9</f>
        <v>1651022.8634985227</v>
      </c>
      <c r="F14" s="5">
        <f>Assumptions!G122*Assumptions!G9</f>
        <v>2249793.8219939871</v>
      </c>
      <c r="G14" s="5">
        <f>Assumptions!H122*Assumptions!H9</f>
        <v>2874111.6075973185</v>
      </c>
      <c r="H14" s="5">
        <f>Assumptions!I122*Assumptions!I9</f>
        <v>3524810.475557351</v>
      </c>
      <c r="I14" s="5">
        <f>Assumptions!J122*Assumptions!J9</f>
        <v>4202749.0236895485</v>
      </c>
      <c r="J14" s="5">
        <f>Assumptions!K122*Assumptions!K9</f>
        <v>4908810.8596693929</v>
      </c>
      <c r="K14" s="5">
        <f>Assumptions!L122*Assumptions!L9</f>
        <v>5643905.2859048853</v>
      </c>
      <c r="L14" s="5">
        <f>Assumptions!M122*Assumptions!M9</f>
        <v>6408968.0024386579</v>
      </c>
      <c r="M14" s="5">
        <f>Assumptions!N122*Assumptions!N9</f>
        <v>7204961.8283415409</v>
      </c>
      <c r="N14" s="5">
        <f>Assumptions!O122*Assumptions!O9</f>
        <v>8032877.4420709684</v>
      </c>
      <c r="O14" s="5">
        <f>Assumptions!P122*Assumptions!P9</f>
        <v>8893734.1412795726</v>
      </c>
      <c r="P14" s="5">
        <f>Assumptions!Q122*Assumptions!Q9</f>
        <v>9788580.6225713938</v>
      </c>
      <c r="Q14" s="5">
        <f>Assumptions!R122*Assumptions!R9</f>
        <v>10718495.781715678</v>
      </c>
      <c r="R14" s="5">
        <f>Assumptions!S122*Assumptions!S9</f>
        <v>11684589.534840984</v>
      </c>
      <c r="S14" s="5">
        <f>Assumptions!T122*Assumptions!T9</f>
        <v>12688003.661145452</v>
      </c>
      <c r="T14" s="5">
        <f>Assumptions!U122*Assumptions!U9</f>
        <v>13729912.667672455</v>
      </c>
      <c r="U14" s="5">
        <f>Assumptions!V122*Assumptions!V9</f>
        <v>14811524.676714655</v>
      </c>
      <c r="V14" s="5">
        <f>Assumptions!W122*Assumptions!W9</f>
        <v>15934082.336423554</v>
      </c>
      <c r="W14" s="5">
        <f>Assumptions!X122*Assumptions!X9</f>
        <v>17098863.755216118</v>
      </c>
      <c r="X14" s="5">
        <f>Assumptions!Y122*Assumptions!Y9</f>
        <v>18307183.460584722</v>
      </c>
      <c r="Y14" s="5">
        <f>Assumptions!Z122*Assumptions!Z9</f>
        <v>19560393.382932018</v>
      </c>
      <c r="Z14" s="5">
        <f>Assumptions!AA122*Assumptions!AA9</f>
        <v>20859883.865067679</v>
      </c>
      <c r="AA14" s="5">
        <f>Assumptions!AB122*Assumptions!AB9</f>
        <v>22207084.698019966</v>
      </c>
      <c r="AB14" s="5">
        <f>Assumptions!AC122*Assumptions!AC9</f>
        <v>23603466.183831464</v>
      </c>
      <c r="AC14" s="5">
        <f>Assumptions!AD122*Assumptions!AD9</f>
        <v>25050540.226024825</v>
      </c>
      <c r="AD14" s="5">
        <f>Assumptions!AE122*Assumptions!AE9</f>
        <v>26549861.448441718</v>
      </c>
      <c r="AE14" s="5">
        <f>Assumptions!AF122*Assumptions!AF9</f>
        <v>28103028.34317556</v>
      </c>
      <c r="AF14" s="5">
        <f>Assumptions!AG122*Assumptions!AG9</f>
        <v>29711684.448336639</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191</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16645762.608396318</v>
      </c>
      <c r="D27" s="2">
        <f t="shared" ref="D27:AF27" si="8">D12+D13+D14+D19+D20+D22+D24+D25</f>
        <v>17678755.563671123</v>
      </c>
      <c r="E27" s="2">
        <f t="shared" si="8"/>
        <v>18750164.753228959</v>
      </c>
      <c r="F27" s="2">
        <f t="shared" si="8"/>
        <v>19861211.113855675</v>
      </c>
      <c r="G27" s="2">
        <f t="shared" si="8"/>
        <v>21013151.626580078</v>
      </c>
      <c r="H27" s="2">
        <f t="shared" si="8"/>
        <v>22207280.339144185</v>
      </c>
      <c r="I27" s="2">
        <f t="shared" si="8"/>
        <v>23444929.416839395</v>
      </c>
      <c r="J27" s="2">
        <f t="shared" si="8"/>
        <v>24727470.222486317</v>
      </c>
      <c r="K27" s="2">
        <f t="shared" si="8"/>
        <v>26056314.426357545</v>
      </c>
      <c r="L27" s="2">
        <f t="shared" si="8"/>
        <v>27432915.146864094</v>
      </c>
      <c r="M27" s="2">
        <f t="shared" si="8"/>
        <v>28858768.122848962</v>
      </c>
      <c r="N27" s="2">
        <f t="shared" si="8"/>
        <v>30335412.918354061</v>
      </c>
      <c r="O27" s="2">
        <f t="shared" si="8"/>
        <v>31864434.160750724</v>
      </c>
      <c r="P27" s="2">
        <f t="shared" si="8"/>
        <v>33447462.813147768</v>
      </c>
      <c r="Q27" s="2">
        <f t="shared" si="8"/>
        <v>35086177.48201672</v>
      </c>
      <c r="R27" s="2">
        <f t="shared" si="8"/>
        <v>36782305.76099886</v>
      </c>
      <c r="S27" s="2">
        <f t="shared" si="8"/>
        <v>38537625.611885503</v>
      </c>
      <c r="T27" s="2">
        <f t="shared" si="8"/>
        <v>40353966.783789724</v>
      </c>
      <c r="U27" s="2">
        <f t="shared" si="8"/>
        <v>42233212.271555766</v>
      </c>
      <c r="V27" s="2">
        <f t="shared" si="8"/>
        <v>44177299.814480707</v>
      </c>
      <c r="W27" s="2">
        <f t="shared" si="8"/>
        <v>46188223.43645259</v>
      </c>
      <c r="X27" s="2">
        <f t="shared" si="8"/>
        <v>48268035.028638959</v>
      </c>
      <c r="Y27" s="2">
        <f t="shared" si="8"/>
        <v>50418845.975891367</v>
      </c>
      <c r="Z27" s="2">
        <f t="shared" si="8"/>
        <v>52642828.828062311</v>
      </c>
      <c r="AA27" s="2">
        <f t="shared" si="8"/>
        <v>54942219.017464831</v>
      </c>
      <c r="AB27" s="2">
        <f t="shared" si="8"/>
        <v>57319316.623737648</v>
      </c>
      <c r="AC27" s="2">
        <f t="shared" si="8"/>
        <v>59776488.187413856</v>
      </c>
      <c r="AD27" s="2">
        <f t="shared" si="8"/>
        <v>62316168.573526174</v>
      </c>
      <c r="AE27" s="2">
        <f t="shared" si="8"/>
        <v>64940862.886618771</v>
      </c>
      <c r="AF27" s="2">
        <f t="shared" si="8"/>
        <v>67653148.438572183</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3W2DU3RAJ5R2-1900874439-798</_dlc_DocId>
    <_dlc_DocIdUrl xmlns="f54e2983-00ce-40fc-8108-18f351fc47bf">
      <Url>https://dia.cohesion.net.nz/Sites/LGV/TWRP/CAE/_layouts/15/DocIdRedir.aspx?ID=3W2DU3RAJ5R2-1900874439-798</Url>
      <Description>3W2DU3RAJ5R2-1900874439-798</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B90B86B-F22A-4B10-897E-F214C02BA92A}"/>
</file>

<file path=customXml/itemProps2.xml><?xml version="1.0" encoding="utf-8"?>
<ds:datastoreItem xmlns:ds="http://schemas.openxmlformats.org/officeDocument/2006/customXml" ds:itemID="{CBCC2D2A-763C-48F8-A3E5-6B0A81386C39}">
  <ds:schemaRefs>
    <ds:schemaRef ds:uri="http://schemas.microsoft.com/office/infopath/2007/PartnerControls"/>
    <ds:schemaRef ds:uri="http://schemas.microsoft.com/office/2006/documentManagement/types"/>
    <ds:schemaRef ds:uri="08a23fc5-e034-477c-ac83-93bc1440f322"/>
    <ds:schemaRef ds:uri="http://schemas.microsoft.com/office/2006/metadata/properties"/>
    <ds:schemaRef ds:uri="http://purl.org/dc/elements/1.1/"/>
    <ds:schemaRef ds:uri="http://schemas.microsoft.com/sharepoint/v3"/>
    <ds:schemaRef ds:uri="http://schemas.openxmlformats.org/package/2006/metadata/core-properties"/>
    <ds:schemaRef ds:uri="http://purl.org/dc/terms/"/>
    <ds:schemaRef ds:uri="65b6d800-2dda-48d6-88d8-9e2b35e6f7ea"/>
    <ds:schemaRef ds:uri="http://www.w3.org/XML/1998/namespace"/>
    <ds:schemaRef ds:uri="http://purl.org/dc/dcmitype/"/>
  </ds:schemaRefs>
</ds:datastoreItem>
</file>

<file path=customXml/itemProps3.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4.xml><?xml version="1.0" encoding="utf-8"?>
<ds:datastoreItem xmlns:ds="http://schemas.openxmlformats.org/officeDocument/2006/customXml" ds:itemID="{DB156089-37DB-4C7B-B11A-BFA9A2FE39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2021-07-06T14:37:10Z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1fa7bb45-2571-439e-88c1-5f801a6a1e88</vt:lpwstr>
  </property>
</Properties>
</file>