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305" documentId="8_{08984969-6891-4B4A-8340-B570E47762EC}" xr6:coauthVersionLast="45" xr6:coauthVersionMax="47" xr10:uidLastSave="{70E6FD55-F3FB-4121-9185-42B0EB4BC28D}"/>
  <bookViews>
    <workbookView xWindow="-28920" yWindow="8085" windowWidth="29040" windowHeight="1584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<sst xmlns="http://schemas.openxmlformats.org/spreadsheetml/2006/main" count="277" uniqueCount="204">
  <si>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</si>
  <si>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</si>
  <si>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</si>
  <si>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</si>
  <si>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</si>
  <si>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</si>
  <si>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</si>
  <si>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</si>
  <si>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</si>
  <si>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</si>
  <si>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</si>
  <si>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</si>
  <si>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</si>
  <si>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</si>
  <si>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</si>
  <si>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</si>
  <si>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</si>
  <si>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</si>
  <si>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</si>
  <si>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</si>
  <si>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</si>
  <si>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</si>
  <si>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</si>
  <si>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</si>
  <si>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</si>
  <si>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</si>
  <si>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</si>
  <si>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</si>
  <si>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</si>
  <si>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</si>
  <si>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</si>
  <si>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</si>
  <si>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</si>
  <si>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</si>
  <si>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</si>
  <si>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</si>
  <si>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</si>
  <si>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</si>
  <si>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</si>
  <si>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</si>
  <si>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</si>
  <si>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</si>
  <si>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</si>
  <si>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</si>
  <si>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</si>
  <si>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</si>
  <si>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</si>
  <si>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</si>
  <si>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</si>
  <si>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</si>
  <si>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</si>
  <si>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</si>
  <si>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</si>
  <si>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</si>
  <si>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</si>
  <si>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</si>
  <si>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</si>
  <si>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</si>
  <si>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</si>
  <si>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</si>
  <si>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</si>
  <si>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</si>
  <si>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</si>
  <si>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</si>
  <si>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</si>
  <si>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</si>
  <si>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</si>
  <si>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</si>
  <si>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</si>
  <si>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</si>
  <si>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</si>
  <si>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</si>
  <si>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</si>
  <si>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</si>
  <si>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</si>
  <si>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</si>
  <si>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</si>
  <si>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</si>
  <si>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</si>
  <si>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</si>
  <si>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</si>
  <si>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</si>
  <si>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</si>
  <si>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</si>
  <si>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</si>
  <si>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</si>
  <si>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</si>
  <si>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</si>
  <si>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</si>
  <si>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</si>
  <si>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</si>
  <si>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</si>
  <si>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</si>
  <si>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</si>
  <si>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</si>
  <si>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</si>
  <si>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</si>
  <si>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</si>
  <si>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</si>
  <si>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</si>
  <si>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</si>
  <si>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</si>
  <si>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</si>
  <si>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</si>
  <si>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</si>
  <si>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</si>
  <si>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</si>
  <si>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</si>
  <si>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</si>
  <si>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</si>
  <si>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</si>
  <si>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</si>
  <si>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</si>
  <si>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</si>
  <si>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</si>
  <si>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</si>
  <si>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</si>
  <si>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</si>
  <si>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</si>
  <si>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</si>
  <si>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</si>
  <si>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</si>
  <si>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</si>
  <si>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</si>
  <si>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</si>
  <si>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</si>
  <si>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</si>
  <si>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</si>
  <si>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</si>
  <si>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</si>
  <si>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</si>
  <si>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</si>
  <si>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</si>
  <si>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</si>
  <si>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</si>
  <si>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</si>
  <si>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</si>
  <si>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</si>
  <si>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</si>
  <si>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</si>
  <si>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</si>
  <si>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</si>
  <si>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</si>
  <si>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</si>
  <si>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</si>
  <si>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</si>
  <si>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</si>
  <si>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</si>
  <si>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</si>
  <si>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</si>
  <si>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</si>
  <si>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</si>
  <si>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</si>
  <si>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</si>
  <si>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</si>
  <si>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</si>
  <si>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</si>
  <si>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</si>
  <si>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</si>
  <si>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</si>
  <si>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</si>
  <si>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</si>
  <si>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</si>
  <si>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</si>
  <si>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</si>
  <si>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</si>
  <si>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</si>
  <si>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</si>
  <si>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</si>
  <si>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</si>
  <si>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</si>
  <si>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</si>
  <si>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</si>
  <si>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</si>
  <si>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</si>
  <si>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</si>
  <si>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</si>
  <si>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</si>
  <si>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</si>
  <si>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</si>
  <si>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</si>
  <si>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</si>
  <si>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</si>
  <si>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</si>
  <si>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</si>
  <si>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</si>
  <si>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</si>
  <si>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</si>
  <si>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</si>
  <si>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</si>
  <si>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</si>
  <si>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</si>
  <si>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</si>
  <si>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</si>
  <si>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</si>
  <si>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</si>
  <si>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</si>
  <si>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</si>
  <si>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Kawerau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</si>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</sst>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1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82850000</v>
      </c>
      <c r="C6" s="12">
        <f ca="1">B6+Depreciation!C18+'Cash Flow'!C13</f>
        <v>84090054.287933171</v>
      </c>
      <c r="D6" s="1">
        <f ca="1">C6+Depreciation!D18</f>
        <v>88156819.007245317</v>
      </c>
      <c r="E6" s="1">
        <f ca="1">D6+Depreciation!E18</f>
        <v>92419416.275281012</v>
      </c>
      <c r="F6" s="1">
        <f ca="1">E6+Depreciation!F18</f>
        <v>96886215.008086011</v>
      </c>
      <c r="G6" s="1">
        <f ca="1">F6+Depreciation!G18</f>
        <v>101565919.19980305</v>
      </c>
      <c r="H6" s="1">
        <f ca="1">G6+Depreciation!H18</f>
        <v>106467580.79790014</v>
      </c>
      <c r="I6" s="1">
        <f ca="1">H6+Depreciation!I18</f>
        <v>111600613.05929327</v>
      </c>
      <c r="J6" s="1">
        <f ca="1">I6+Depreciation!J18</f>
        <v>116974804.40495694</v>
      </c>
      <c r="K6" s="1">
        <f ca="1">J6+Depreciation!K18</f>
        <v>122600332.79124878</v>
      </c>
      <c r="L6" s="1">
        <f ca="1">K6+Depreciation!L18</f>
        <v>128487780.61683106</v>
      </c>
      <c r="M6" s="1">
        <f ca="1">L6+Depreciation!M18</f>
        <v>134648150.1847508</v>
      </c>
      <c r="N6" s="1">
        <f ca="1">M6+Depreciation!N18</f>
        <v>141092879.73994416</v>
      </c>
      <c r="O6" s="1">
        <f ca="1">N6+Depreciation!O18</f>
        <v>147833860.10315916</v>
      </c>
      <c r="P6" s="1">
        <f ca="1">O6+Depreciation!P18</f>
        <v>154883451.92304462</v>
      </c>
      <c r="Q6" s="1">
        <f ca="1">P6+Depreciation!Q18</f>
        <v>162254503.56893557</v>
      </c>
      <c r="R6" s="1">
        <f ca="1">Q6+Depreciation!R18</f>
        <v>169960369.68767276</v>
      </c>
      <c r="S6" s="1">
        <f ca="1">R6+Depreciation!S18</f>
        <v>178014930.44863296</v>
      </c>
      <c r="T6" s="1">
        <f ca="1">S6+Depreciation!T18</f>
        <v>186432611.50201285</v>
      </c>
      <c r="U6" s="1">
        <f ca="1">T6+Depreciation!U18</f>
        <v>195228404.6763081</v>
      </c>
      <c r="V6" s="1">
        <f ca="1">U6+Depreciation!V18</f>
        <v>204417889.44185859</v>
      </c>
      <c r="W6" s="1">
        <f ca="1">V6+Depreciation!W18</f>
        <v>214017255.16829422</v>
      </c>
      <c r="X6" s="1">
        <f ca="1">W6+Depreciation!X18</f>
        <v>224043324.20471168</v>
      </c>
      <c r="Y6" s="1">
        <f ca="1">X6+Depreciation!Y18</f>
        <v>234513575.81244594</v>
      </c>
      <c r="Z6" s="1">
        <f ca="1">Y6+Depreciation!Z18</f>
        <v>245446170.98136801</v>
      </c>
      <c r="AA6" s="1">
        <f ca="1">Z6+Depreciation!AA18</f>
        <v>256859978.16174757</v>
      </c>
      <c r="AB6" s="1">
        <f ca="1">AA6+Depreciation!AB18</f>
        <v>268774599.94486493</v>
      </c>
      <c r="AC6" s="1">
        <f ca="1">AB6+Depreciation!AC18</f>
        <v>281210400.72674257</v>
      </c>
      <c r="AD6" s="1">
        <f ca="1">AC6+Depreciation!AD18</f>
        <v>294188535.39059526</v>
      </c>
      <c r="AE6" s="1">
        <f ca="1">AD6+Depreciation!AE18</f>
        <v>307730979.04486877</v>
      </c>
      <c r="AF6" s="1"/>
      <c r="AG6" s="1"/>
      <c r="AH6" s="1"/>
      <c r="AI6" s="1"/>
      <c r="AJ6" s="1"/>
      <c r="AK6" s="1"/>
      <c r="AL6" s="1"/>
      <c r="AM6" s="1"/>
      <c r="AN6" s="1"/>
      <c r="AO6" s="1"/>
      <c r="AP6" s="1"/>
    </row>
    <row r="7" spans="1:42" x14ac:dyDescent="0.35">
      <c r="A7" t="s">
        <v>12</v>
      </c>
      <c r="B7" s="1">
        <f>Depreciation!C12</f>
        <v>42733767.259290986</v>
      </c>
      <c r="C7" s="1">
        <f>Depreciation!D12</f>
        <v>44148074.060904071</v>
      </c>
      <c r="D7" s="1">
        <f>Depreciation!E12</f>
        <v>45673334.757874332</v>
      </c>
      <c r="E7" s="1">
        <f>Depreciation!F12</f>
        <v>47315202.149339795</v>
      </c>
      <c r="F7" s="1">
        <f>Depreciation!G12</f>
        <v>49079577.19679445</v>
      </c>
      <c r="G7" s="1">
        <f>Depreciation!H12</f>
        <v>50972619.118012749</v>
      </c>
      <c r="H7" s="1">
        <f>Depreciation!I12</f>
        <v>53000755.872866966</v>
      </c>
      <c r="I7" s="1">
        <f>Depreciation!J12</f>
        <v>55170695.055782475</v>
      </c>
      <c r="J7" s="1">
        <f>Depreciation!K12</f>
        <v>57489435.210118219</v>
      </c>
      <c r="K7" s="1">
        <f>Depreciation!L12</f>
        <v>59964277.580321804</v>
      </c>
      <c r="L7" s="1">
        <f>Depreciation!M12</f>
        <v>62602838.318290725</v>
      </c>
      <c r="M7" s="1">
        <f>Depreciation!N12</f>
        <v>65413061.160974868</v>
      </c>
      <c r="N7" s="1">
        <f>Depreciation!O12</f>
        <v>68403230.596880332</v>
      </c>
      <c r="O7" s="1">
        <f>Depreciation!P12</f>
        <v>71581985.539782375</v>
      </c>
      <c r="P7" s="1">
        <f>Depreciation!Q12</f>
        <v>74958333.528626412</v>
      </c>
      <c r="Q7" s="1">
        <f>Depreciation!R12</f>
        <v>78541665.473291188</v>
      </c>
      <c r="R7" s="1">
        <f>Depreciation!S12</f>
        <v>82341770.966608658</v>
      </c>
      <c r="S7" s="1">
        <f>Depreciation!T12</f>
        <v>86368854.183781266</v>
      </c>
      <c r="T7" s="1">
        <f>Depreciation!U12</f>
        <v>90633550.391110584</v>
      </c>
      <c r="U7" s="1">
        <f>Depreciation!V12</f>
        <v>95146943.086752251</v>
      </c>
      <c r="V7" s="1">
        <f>Depreciation!W12</f>
        <v>99920581.797041953</v>
      </c>
      <c r="W7" s="1">
        <f>Depreciation!X12</f>
        <v>104966500.55279683</v>
      </c>
      <c r="X7" s="1">
        <f>Depreciation!Y12</f>
        <v>110297237.07088731</v>
      </c>
      <c r="Y7" s="1">
        <f>Depreciation!Z12</f>
        <v>115925852.66729699</v>
      </c>
      <c r="Z7" s="1">
        <f>Depreciation!AA12</f>
        <v>121865952.92884377</v>
      </c>
      <c r="AA7" s="1">
        <f>Depreciation!AB12</f>
        <v>128131709.17172568</v>
      </c>
      <c r="AB7" s="1">
        <f>Depreciation!AC12</f>
        <v>134737880.71608037</v>
      </c>
      <c r="AC7" s="1">
        <f>Depreciation!AD12</f>
        <v>141699838.00680938</v>
      </c>
      <c r="AD7" s="1">
        <f>Depreciation!AE12</f>
        <v>149033586.61201924</v>
      </c>
      <c r="AE7" s="1">
        <f>Depreciation!AF12</f>
        <v>156755792.13157102</v>
      </c>
      <c r="AF7" s="1"/>
      <c r="AG7" s="1"/>
      <c r="AH7" s="1"/>
      <c r="AI7" s="1"/>
      <c r="AJ7" s="1"/>
      <c r="AK7" s="1"/>
      <c r="AL7" s="1"/>
      <c r="AM7" s="1"/>
      <c r="AN7" s="1"/>
      <c r="AO7" s="1"/>
      <c r="AP7" s="1"/>
    </row>
    <row r="8" spans="1:42" x14ac:dyDescent="0.35">
      <c r="A8" t="s">
        <v>192</v>
      </c>
      <c r="B8" s="1">
        <f t="shared" ref="B8:AE8" si="1">B6-B7</f>
        <v>40116232.740709014</v>
      </c>
      <c r="C8" s="1">
        <f t="shared" ca="1" si="1"/>
        <v>39941980.2270291</v>
      </c>
      <c r="D8" s="1">
        <f ca="1">D6-D7</f>
        <v>42483484.249370985</v>
      </c>
      <c r="E8" s="1">
        <f t="shared" ca="1" si="1"/>
        <v>45104214.125941217</v>
      </c>
      <c r="F8" s="1">
        <f t="shared" ca="1" si="1"/>
        <v>47806637.811291561</v>
      </c>
      <c r="G8" s="1">
        <f t="shared" ca="1" si="1"/>
        <v>50593300.081790306</v>
      </c>
      <c r="H8" s="1">
        <f t="shared" ca="1" si="1"/>
        <v>53466824.925033174</v>
      </c>
      <c r="I8" s="1">
        <f t="shared" ca="1" si="1"/>
        <v>56429918.003510796</v>
      </c>
      <c r="J8" s="1">
        <f t="shared" ca="1" si="1"/>
        <v>59485369.194838718</v>
      </c>
      <c r="K8" s="1">
        <f t="shared" ca="1" si="1"/>
        <v>62636055.21092698</v>
      </c>
      <c r="L8" s="1">
        <f t="shared" ca="1" si="1"/>
        <v>65884942.298540339</v>
      </c>
      <c r="M8" s="1">
        <f t="shared" ca="1" si="1"/>
        <v>69235089.023775935</v>
      </c>
      <c r="N8" s="1">
        <f t="shared" ca="1" si="1"/>
        <v>72689649.143063828</v>
      </c>
      <c r="O8" s="1">
        <f t="shared" ca="1" si="1"/>
        <v>76251874.563376784</v>
      </c>
      <c r="P8" s="1">
        <f t="shared" ca="1" si="1"/>
        <v>79925118.39441821</v>
      </c>
      <c r="Q8" s="1">
        <f t="shared" ca="1" si="1"/>
        <v>83712838.095644385</v>
      </c>
      <c r="R8" s="1">
        <f t="shared" ca="1" si="1"/>
        <v>87618598.721064106</v>
      </c>
      <c r="S8" s="1">
        <f t="shared" ca="1" si="1"/>
        <v>91646076.264851689</v>
      </c>
      <c r="T8" s="1">
        <f t="shared" ca="1" si="1"/>
        <v>95799061.110902265</v>
      </c>
      <c r="U8" s="1">
        <f t="shared" ca="1" si="1"/>
        <v>100081461.58955584</v>
      </c>
      <c r="V8" s="1">
        <f t="shared" ca="1" si="1"/>
        <v>104497307.64481664</v>
      </c>
      <c r="W8" s="1">
        <f t="shared" ca="1" si="1"/>
        <v>109050754.6154974</v>
      </c>
      <c r="X8" s="1">
        <f t="shared" ca="1" si="1"/>
        <v>113746087.13382436</v>
      </c>
      <c r="Y8" s="1">
        <f t="shared" ca="1" si="1"/>
        <v>118587723.14514895</v>
      </c>
      <c r="Z8" s="1">
        <f t="shared" ca="1" si="1"/>
        <v>123580218.05252424</v>
      </c>
      <c r="AA8" s="1">
        <f t="shared" ca="1" si="1"/>
        <v>128728268.9900219</v>
      </c>
      <c r="AB8" s="1">
        <f t="shared" ca="1" si="1"/>
        <v>134036719.22878456</v>
      </c>
      <c r="AC8" s="1">
        <f t="shared" ca="1" si="1"/>
        <v>139510562.71993318</v>
      </c>
      <c r="AD8" s="1">
        <f t="shared" ca="1" si="1"/>
        <v>145154948.77857602</v>
      </c>
      <c r="AE8" s="1">
        <f t="shared" ca="1" si="1"/>
        <v>150975186.91329774</v>
      </c>
      <c r="AF8" s="1"/>
      <c r="AG8" s="1"/>
      <c r="AH8" s="1"/>
      <c r="AI8" s="1"/>
      <c r="AJ8" s="1"/>
      <c r="AK8" s="1"/>
      <c r="AL8" s="1"/>
      <c r="AM8" s="1"/>
      <c r="AN8" s="1"/>
      <c r="AO8" s="1"/>
      <c r="AP8" s="1"/>
    </row>
    <row r="10" spans="1:42" x14ac:dyDescent="0.35">
      <c r="A10" t="s">
        <v>17</v>
      </c>
      <c r="B10" s="1">
        <f>B8-B11</f>
        <v>40116232.740709014</v>
      </c>
      <c r="C10" s="1">
        <f ca="1">C8-C11</f>
        <v>37303056.095110178</v>
      </c>
      <c r="D10" s="1">
        <f ca="1">D8-D11</f>
        <v>37308663.566937797</v>
      </c>
      <c r="E10" s="1">
        <f t="shared" ref="E10:AE10" ca="1" si="2">E8-E11</f>
        <v>37449380.971077077</v>
      </c>
      <c r="F10" s="1">
        <f t="shared" ca="1" si="2"/>
        <v>37687590.483831093</v>
      </c>
      <c r="G10" s="1">
        <f ca="1">G8-G11</f>
        <v>38059941.077765852</v>
      </c>
      <c r="H10" s="1">
        <f t="shared" ca="1" si="2"/>
        <v>38608832.20213078</v>
      </c>
      <c r="I10" s="1">
        <f t="shared" ca="1" si="2"/>
        <v>39383117.861853175</v>
      </c>
      <c r="J10" s="1">
        <f t="shared" ca="1" si="2"/>
        <v>40438888.967101924</v>
      </c>
      <c r="K10" s="1">
        <f t="shared" ca="1" si="2"/>
        <v>41840342.311457887</v>
      </c>
      <c r="L10" s="1">
        <f t="shared" ca="1" si="2"/>
        <v>43499967.660504326</v>
      </c>
      <c r="M10" s="1">
        <f t="shared" ca="1" si="2"/>
        <v>45465190.580344632</v>
      </c>
      <c r="N10" s="1">
        <f t="shared" ca="1" si="2"/>
        <v>47600373.50297226</v>
      </c>
      <c r="O10" s="1">
        <f t="shared" ca="1" si="2"/>
        <v>49930374.299336419</v>
      </c>
      <c r="P10" s="1">
        <f t="shared" ca="1" si="2"/>
        <v>52482677.554180697</v>
      </c>
      <c r="Q10" s="1">
        <f t="shared" ca="1" si="2"/>
        <v>55287619.755008966</v>
      </c>
      <c r="R10" s="1">
        <f t="shared" ca="1" si="2"/>
        <v>58257776.784420758</v>
      </c>
      <c r="S10" s="1">
        <f t="shared" ca="1" si="2"/>
        <v>61411374.974474698</v>
      </c>
      <c r="T10" s="1">
        <f t="shared" ca="1" si="2"/>
        <v>64634186.946786948</v>
      </c>
      <c r="U10" s="1">
        <f t="shared" ca="1" si="2"/>
        <v>67930085.733747393</v>
      </c>
      <c r="V10" s="1">
        <f t="shared" ca="1" si="2"/>
        <v>71303328.329933375</v>
      </c>
      <c r="W10" s="1">
        <f t="shared" ca="1" si="2"/>
        <v>74758587.656843796</v>
      </c>
      <c r="X10" s="1">
        <f t="shared" ca="1" si="2"/>
        <v>78300986.744820893</v>
      </c>
      <c r="Y10" s="1">
        <f t="shared" ca="1" si="2"/>
        <v>81936135.268255949</v>
      </c>
      <c r="Z10" s="1">
        <f t="shared" ca="1" si="2"/>
        <v>85670168.577869028</v>
      </c>
      <c r="AA10" s="1">
        <f t="shared" ca="1" si="2"/>
        <v>89184219.44332847</v>
      </c>
      <c r="AB10" s="1">
        <f t="shared" ca="1" si="2"/>
        <v>92451286.900551856</v>
      </c>
      <c r="AC10" s="1">
        <f t="shared" ca="1" si="2"/>
        <v>95442591.165573567</v>
      </c>
      <c r="AD10" s="1">
        <f t="shared" ca="1" si="2"/>
        <v>98127478.376761362</v>
      </c>
      <c r="AE10" s="1">
        <f t="shared" ca="1" si="2"/>
        <v>100473320.74917902</v>
      </c>
      <c r="AF10" s="1"/>
      <c r="AG10" s="1"/>
      <c r="AH10" s="1"/>
      <c r="AI10" s="1"/>
      <c r="AJ10" s="1"/>
      <c r="AK10" s="1"/>
      <c r="AL10" s="1"/>
      <c r="AM10" s="1"/>
      <c r="AN10" s="1"/>
      <c r="AO10" s="1"/>
    </row>
    <row r="11" spans="1:42" x14ac:dyDescent="0.35">
      <c r="A11" t="s">
        <v>9</v>
      </c>
      <c r="B11" s="1">
        <f>Assumptions!$C$20</f>
        <v>0</v>
      </c>
      <c r="C11" s="1">
        <f ca="1">'Debt worksheet'!D5</f>
        <v>2638924.1319189249</v>
      </c>
      <c r="D11" s="1">
        <f ca="1">'Debt worksheet'!E5</f>
        <v>5174820.682433188</v>
      </c>
      <c r="E11" s="1">
        <f ca="1">'Debt worksheet'!F5</f>
        <v>7654833.1548641371</v>
      </c>
      <c r="F11" s="1">
        <f ca="1">'Debt worksheet'!G5</f>
        <v>10119047.327460466</v>
      </c>
      <c r="G11" s="1">
        <f ca="1">'Debt worksheet'!H5</f>
        <v>12533359.004024452</v>
      </c>
      <c r="H11" s="1">
        <f ca="1">'Debt worksheet'!I5</f>
        <v>14857992.722902393</v>
      </c>
      <c r="I11" s="1">
        <f ca="1">'Debt worksheet'!J5</f>
        <v>17046800.141657621</v>
      </c>
      <c r="J11" s="1">
        <f ca="1">'Debt worksheet'!K5</f>
        <v>19046480.227736793</v>
      </c>
      <c r="K11" s="1">
        <f ca="1">'Debt worksheet'!L5</f>
        <v>20795712.899469092</v>
      </c>
      <c r="L11" s="1">
        <f ca="1">'Debt worksheet'!M5</f>
        <v>22384974.638036013</v>
      </c>
      <c r="M11" s="1">
        <f ca="1">'Debt worksheet'!N5</f>
        <v>23769898.443431303</v>
      </c>
      <c r="N11" s="1">
        <f ca="1">'Debt worksheet'!O5</f>
        <v>25089275.640091568</v>
      </c>
      <c r="O11" s="1">
        <f ca="1">'Debt worksheet'!P5</f>
        <v>26321500.26404037</v>
      </c>
      <c r="P11" s="1">
        <f ca="1">'Debt worksheet'!Q5</f>
        <v>27442440.840237513</v>
      </c>
      <c r="Q11" s="1">
        <f ca="1">'Debt worksheet'!R5</f>
        <v>28425218.340635419</v>
      </c>
      <c r="R11" s="1">
        <f ca="1">'Debt worksheet'!S5</f>
        <v>29360821.936643347</v>
      </c>
      <c r="S11" s="1">
        <f ca="1">'Debt worksheet'!T5</f>
        <v>30234701.290376995</v>
      </c>
      <c r="T11" s="1">
        <f ca="1">'Debt worksheet'!U5</f>
        <v>31164874.164115317</v>
      </c>
      <c r="U11" s="1">
        <f ca="1">'Debt worksheet'!V5</f>
        <v>32151375.855808459</v>
      </c>
      <c r="V11" s="1">
        <f ca="1">'Debt worksheet'!W5</f>
        <v>33193979.314883254</v>
      </c>
      <c r="W11" s="1">
        <f ca="1">'Debt worksheet'!X5</f>
        <v>34292166.958653599</v>
      </c>
      <c r="X11" s="1">
        <f ca="1">'Debt worksheet'!Y5</f>
        <v>35445100.389003478</v>
      </c>
      <c r="Y11" s="1">
        <f ca="1">'Debt worksheet'!Z5</f>
        <v>36651587.876892999</v>
      </c>
      <c r="Z11" s="1">
        <f ca="1">'Debt worksheet'!AA5</f>
        <v>37910049.474655211</v>
      </c>
      <c r="AA11" s="1">
        <f ca="1">'Debt worksheet'!AB5</f>
        <v>39544049.546693437</v>
      </c>
      <c r="AB11" s="1">
        <f ca="1">'Debt worksheet'!AC5</f>
        <v>41585432.328232706</v>
      </c>
      <c r="AC11" s="1">
        <f ca="1">'Debt worksheet'!AD5</f>
        <v>44067971.554359615</v>
      </c>
      <c r="AD11" s="1">
        <f ca="1">'Debt worksheet'!AE5</f>
        <v>47027470.401814654</v>
      </c>
      <c r="AE11" s="1">
        <f ca="1">'Debt worksheet'!AF5</f>
        <v>50501866.164118722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-68712.971357815914</v>
      </c>
      <c r="D5" s="4">
        <f ca="1">'Profit and Loss'!D9</f>
        <v>116561.36718480123</v>
      </c>
      <c r="E5" s="4">
        <f ca="1">'Profit and Loss'!E9</f>
        <v>257324.09863448486</v>
      </c>
      <c r="F5" s="4">
        <f ca="1">'Profit and Loss'!F9</f>
        <v>360717.16874319786</v>
      </c>
      <c r="G5" s="4">
        <f ca="1">'Profit and Loss'!G9</f>
        <v>501017.46769840654</v>
      </c>
      <c r="H5" s="4">
        <f ca="1">'Profit and Loss'!H9</f>
        <v>683985.95800084737</v>
      </c>
      <c r="I5" s="4">
        <f ca="1">'Profit and Loss'!I9</f>
        <v>916088.08778368402</v>
      </c>
      <c r="J5" s="4">
        <f ca="1">'Profit and Loss'!J9</f>
        <v>1204572.0766689819</v>
      </c>
      <c r="K5" s="4">
        <f ca="1">'Profit and Loss'!K9</f>
        <v>1557555.5602237973</v>
      </c>
      <c r="L5" s="4">
        <f ca="1">'Profit and Loss'!L9</f>
        <v>1823343.7168117701</v>
      </c>
      <c r="M5" s="4">
        <f ca="1">'Profit and Loss'!M9</f>
        <v>2136885.0245555178</v>
      </c>
      <c r="N5" s="4">
        <f ca="1">'Profit and Loss'!N9</f>
        <v>2315129.5158489691</v>
      </c>
      <c r="O5" s="4">
        <f ca="1">'Profit and Loss'!O9</f>
        <v>2518586.3033607299</v>
      </c>
      <c r="P5" s="4">
        <f ca="1">'Profit and Loss'!P9</f>
        <v>2749896.3007862931</v>
      </c>
      <c r="Q5" s="4">
        <f ca="1">'Profit and Loss'!Q9</f>
        <v>3011926.1566489977</v>
      </c>
      <c r="R5" s="4">
        <f ca="1">'Profit and Loss'!R9</f>
        <v>3186930.5780644775</v>
      </c>
      <c r="S5" s="4">
        <f ca="1">'Profit and Loss'!S9</f>
        <v>3380575.9139090776</v>
      </c>
      <c r="T5" s="4">
        <f ca="1">'Profit and Loss'!T9</f>
        <v>3460424.9624689668</v>
      </c>
      <c r="U5" s="4">
        <f ca="1">'Profit and Loss'!U9</f>
        <v>3544595.2752727792</v>
      </c>
      <c r="V5" s="4">
        <f ca="1">'Profit and Loss'!V9</f>
        <v>3633488.6108340397</v>
      </c>
      <c r="W5" s="4">
        <f ca="1">'Profit and Loss'!W9</f>
        <v>3727539.3723755758</v>
      </c>
      <c r="X5" s="4">
        <f ca="1">'Profit and Loss'!X9</f>
        <v>3827216.8503127079</v>
      </c>
      <c r="Y5" s="4">
        <f ca="1">'Profit and Loss'!Y9</f>
        <v>3933027.6017542668</v>
      </c>
      <c r="Z5" s="4">
        <f ca="1">'Profit and Loss'!Z9</f>
        <v>4045517.9747501784</v>
      </c>
      <c r="AA5" s="4">
        <f ca="1">'Profit and Loss'!AA9</f>
        <v>3839706.8467945582</v>
      </c>
      <c r="AB5" s="4">
        <f ca="1">'Profit and Loss'!AB9</f>
        <v>3607482.7586961645</v>
      </c>
      <c r="AC5" s="4">
        <f ca="1">'Profit and Loss'!AC9</f>
        <v>3347090.0113960593</v>
      </c>
      <c r="AD5" s="4">
        <f ca="1">'Profit and Loss'!AD9</f>
        <v>3056678.5256686648</v>
      </c>
      <c r="AE5" s="4">
        <f ca="1">'Profit and Loss'!AE9</f>
        <v>2734299.2867595912</v>
      </c>
      <c r="AF5" s="4">
        <f ca="1">'Profit and Loss'!AF9</f>
        <v>2377899.5830197325</v>
      </c>
      <c r="AG5" s="4"/>
      <c r="AH5" s="4"/>
      <c r="AI5" s="4"/>
      <c r="AJ5" s="4"/>
      <c r="AK5" s="4"/>
      <c r="AL5" s="4"/>
      <c r="AM5" s="4"/>
      <c r="AN5" s="4"/>
      <c r="AO5" s="4"/>
      <c r="AP5" s="4"/>
    </row>
    <row r="6" spans="1:42" x14ac:dyDescent="0.35">
      <c r="A6" t="s">
        <v>21</v>
      </c>
      <c r="C6" s="4">
        <f>Depreciation!C8+Depreciation!C9</f>
        <v>1308767.2592909897</v>
      </c>
      <c r="D6" s="4">
        <f>Depreciation!D8+Depreciation!D9</f>
        <v>1414306.8016130787</v>
      </c>
      <c r="E6" s="4">
        <f>Depreciation!E8+Depreciation!E9</f>
        <v>1525260.6969702677</v>
      </c>
      <c r="F6" s="4">
        <f>Depreciation!F8+Depreciation!F9</f>
        <v>1641867.3914654651</v>
      </c>
      <c r="G6" s="4">
        <f>Depreciation!G8+Depreciation!G9</f>
        <v>1764375.0474546575</v>
      </c>
      <c r="H6" s="4">
        <f>Depreciation!H8+Depreciation!H9</f>
        <v>1893041.9212182972</v>
      </c>
      <c r="I6" s="4">
        <f>Depreciation!I8+Depreciation!I9</f>
        <v>2028136.7548542162</v>
      </c>
      <c r="J6" s="4">
        <f>Depreciation!J8+Depreciation!J9</f>
        <v>2169939.1829155074</v>
      </c>
      <c r="K6" s="4">
        <f>Depreciation!K8+Depreciation!K9</f>
        <v>2318740.1543357498</v>
      </c>
      <c r="L6" s="4">
        <f>Depreciation!L8+Depreciation!L9</f>
        <v>2474842.3702035826</v>
      </c>
      <c r="M6" s="4">
        <f>Depreciation!M8+Depreciation!M9</f>
        <v>2638560.7379689165</v>
      </c>
      <c r="N6" s="4">
        <f>Depreciation!N8+Depreciation!N9</f>
        <v>2810222.8426841432</v>
      </c>
      <c r="O6" s="4">
        <f>Depreciation!O8+Depreciation!O9</f>
        <v>2990169.4359054649</v>
      </c>
      <c r="P6" s="4">
        <f>Depreciation!P8+Depreciation!P9</f>
        <v>3178754.9429020416</v>
      </c>
      <c r="Q6" s="4">
        <f>Depreciation!Q8+Depreciation!Q9</f>
        <v>3376347.9888440324</v>
      </c>
      <c r="R6" s="4">
        <f>Depreciation!R8+Depreciation!R9</f>
        <v>3583331.9446647801</v>
      </c>
      <c r="S6" s="4">
        <f>Depreciation!S8+Depreciation!S9</f>
        <v>3800105.4933174783</v>
      </c>
      <c r="T6" s="4">
        <f>Depreciation!T8+Depreciation!T9</f>
        <v>4027083.217172612</v>
      </c>
      <c r="U6" s="4">
        <f>Depreciation!U8+Depreciation!U9</f>
        <v>4264696.207329317</v>
      </c>
      <c r="V6" s="4">
        <f>Depreciation!V8+Depreciation!V9</f>
        <v>4513392.6956416685</v>
      </c>
      <c r="W6" s="4">
        <f>Depreciation!W8+Depreciation!W9</f>
        <v>4773638.7102897037</v>
      </c>
      <c r="X6" s="4">
        <f>Depreciation!X8+Depreciation!X9</f>
        <v>5045918.755754875</v>
      </c>
      <c r="Y6" s="4">
        <f>Depreciation!Y8+Depreciation!Y9</f>
        <v>5330736.5180904809</v>
      </c>
      <c r="Z6" s="4">
        <f>Depreciation!Z8+Depreciation!Z9</f>
        <v>5628615.5964096738</v>
      </c>
      <c r="AA6" s="4">
        <f>Depreciation!AA8+Depreciation!AA9</f>
        <v>5940100.261546772</v>
      </c>
      <c r="AB6" s="4">
        <f>Depreciation!AB8+Depreciation!AB9</f>
        <v>6265756.2428819183</v>
      </c>
      <c r="AC6" s="4">
        <f>Depreciation!AC8+Depreciation!AC9</f>
        <v>6606171.5443546893</v>
      </c>
      <c r="AD6" s="4">
        <f>Depreciation!AD8+Depreciation!AD9</f>
        <v>6961957.2907290105</v>
      </c>
      <c r="AE6" s="4">
        <f>Depreciation!AE8+Depreciation!AE9</f>
        <v>7333748.6052098665</v>
      </c>
      <c r="AF6" s="4">
        <f>Depreciation!AF8+Depreciation!AF9</f>
        <v>7722205.5195517894</v>
      </c>
      <c r="AG6" s="4"/>
      <c r="AH6" s="4"/>
      <c r="AI6" s="4"/>
      <c r="AJ6" s="4"/>
      <c r="AK6" s="4"/>
      <c r="AL6" s="4"/>
      <c r="AM6" s="4"/>
      <c r="AN6" s="4"/>
      <c r="AO6" s="4"/>
      <c r="AP6" s="4"/>
    </row>
    <row r="7" spans="1:42" x14ac:dyDescent="0.35">
      <c r="A7" t="s">
        <v>23</v>
      </c>
      <c r="C7" s="4">
        <f ca="1">C6+C5</f>
        <v>1240054.2879331738</v>
      </c>
      <c r="D7" s="4">
        <f ca="1">D6+D5</f>
        <v>1530868.1687978799</v>
      </c>
      <c r="E7" s="4">
        <f t="shared" ref="E7:AF7" ca="1" si="1">E6+E5</f>
        <v>1782584.7956047526</v>
      </c>
      <c r="F7" s="4">
        <f t="shared" ca="1" si="1"/>
        <v>2002584.5602086629</v>
      </c>
      <c r="G7" s="4">
        <f ca="1">G6+G5</f>
        <v>2265392.5151530639</v>
      </c>
      <c r="H7" s="4">
        <f t="shared" ca="1" si="1"/>
        <v>2577027.8792191446</v>
      </c>
      <c r="I7" s="4">
        <f t="shared" ca="1" si="1"/>
        <v>2944224.8426379003</v>
      </c>
      <c r="J7" s="4">
        <f t="shared" ca="1" si="1"/>
        <v>3374511.2595844893</v>
      </c>
      <c r="K7" s="4">
        <f t="shared" ca="1" si="1"/>
        <v>3876295.7145595471</v>
      </c>
      <c r="L7" s="4">
        <f t="shared" ca="1" si="1"/>
        <v>4298186.0870153531</v>
      </c>
      <c r="M7" s="4">
        <f t="shared" ca="1" si="1"/>
        <v>4775445.7625244344</v>
      </c>
      <c r="N7" s="4">
        <f t="shared" ca="1" si="1"/>
        <v>5125352.3585331123</v>
      </c>
      <c r="O7" s="4">
        <f t="shared" ca="1" si="1"/>
        <v>5508755.7392661944</v>
      </c>
      <c r="P7" s="4">
        <f t="shared" ca="1" si="1"/>
        <v>5928651.2436883347</v>
      </c>
      <c r="Q7" s="4">
        <f t="shared" ca="1" si="1"/>
        <v>6388274.1454930305</v>
      </c>
      <c r="R7" s="4">
        <f t="shared" ca="1" si="1"/>
        <v>6770262.5227292571</v>
      </c>
      <c r="S7" s="4">
        <f t="shared" ca="1" si="1"/>
        <v>7180681.407226556</v>
      </c>
      <c r="T7" s="4">
        <f t="shared" ca="1" si="1"/>
        <v>7487508.1796415783</v>
      </c>
      <c r="U7" s="4">
        <f t="shared" ca="1" si="1"/>
        <v>7809291.4826020962</v>
      </c>
      <c r="V7" s="4">
        <f t="shared" ca="1" si="1"/>
        <v>8146881.3064757083</v>
      </c>
      <c r="W7" s="4">
        <f t="shared" ca="1" si="1"/>
        <v>8501178.0826652795</v>
      </c>
      <c r="X7" s="4">
        <f t="shared" ca="1" si="1"/>
        <v>8873135.606067583</v>
      </c>
      <c r="Y7" s="4">
        <f t="shared" ca="1" si="1"/>
        <v>9263764.1198447477</v>
      </c>
      <c r="Z7" s="4">
        <f t="shared" ca="1" si="1"/>
        <v>9674133.5711598527</v>
      </c>
      <c r="AA7" s="4">
        <f t="shared" ca="1" si="1"/>
        <v>9779807.1083413307</v>
      </c>
      <c r="AB7" s="4">
        <f t="shared" ca="1" si="1"/>
        <v>9873239.0015780833</v>
      </c>
      <c r="AC7" s="4">
        <f t="shared" ca="1" si="1"/>
        <v>9953261.5557507481</v>
      </c>
      <c r="AD7" s="4">
        <f t="shared" ca="1" si="1"/>
        <v>10018635.816397674</v>
      </c>
      <c r="AE7" s="4">
        <f t="shared" ca="1" si="1"/>
        <v>10068047.891969457</v>
      </c>
      <c r="AF7" s="4">
        <f t="shared" ca="1" si="1"/>
        <v>10100105.102571521</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3878978.4198520985</v>
      </c>
      <c r="D10" s="9">
        <f>Investment!D25</f>
        <v>4066764.7193121426</v>
      </c>
      <c r="E10" s="9">
        <f>Investment!E25</f>
        <v>4262597.2680357015</v>
      </c>
      <c r="F10" s="9">
        <f>Investment!F25</f>
        <v>4466798.7328049922</v>
      </c>
      <c r="G10" s="9">
        <f>Investment!G25</f>
        <v>4679704.19171705</v>
      </c>
      <c r="H10" s="9">
        <f>Investment!H25</f>
        <v>4901661.598097086</v>
      </c>
      <c r="I10" s="9">
        <f>Investment!I25</f>
        <v>5133032.2613931261</v>
      </c>
      <c r="J10" s="9">
        <f>Investment!J25</f>
        <v>5374191.345663663</v>
      </c>
      <c r="K10" s="9">
        <f>Investment!K25</f>
        <v>5625528.3862918457</v>
      </c>
      <c r="L10" s="9">
        <f>Investment!L25</f>
        <v>5887447.8255822733</v>
      </c>
      <c r="M10" s="9">
        <f>Investment!M25</f>
        <v>6160369.5679197256</v>
      </c>
      <c r="N10" s="9">
        <f>Investment!N25</f>
        <v>6444729.5551933786</v>
      </c>
      <c r="O10" s="9">
        <f>Investment!O25</f>
        <v>6740980.3632149966</v>
      </c>
      <c r="P10" s="9">
        <f>Investment!P25</f>
        <v>7049591.8198854774</v>
      </c>
      <c r="Q10" s="9">
        <f>Investment!Q25</f>
        <v>7371051.6458909372</v>
      </c>
      <c r="R10" s="9">
        <f>Investment!R25</f>
        <v>7705866.1187371863</v>
      </c>
      <c r="S10" s="9">
        <f>Investment!S25</f>
        <v>8054560.7609602027</v>
      </c>
      <c r="T10" s="9">
        <f>Investment!T25</f>
        <v>8417681.0533799008</v>
      </c>
      <c r="U10" s="9">
        <f>Investment!U25</f>
        <v>8795793.1742952392</v>
      </c>
      <c r="V10" s="9">
        <f>Investment!V25</f>
        <v>9189484.7655505016</v>
      </c>
      <c r="W10" s="9">
        <f>Investment!W25</f>
        <v>9599365.7264356203</v>
      </c>
      <c r="X10" s="9">
        <f>Investment!X25</f>
        <v>10026069.036417462</v>
      </c>
      <c r="Y10" s="9">
        <f>Investment!Y25</f>
        <v>10470251.607734269</v>
      </c>
      <c r="Z10" s="9">
        <f>Investment!Z25</f>
        <v>10932595.168922063</v>
      </c>
      <c r="AA10" s="9">
        <f>Investment!AA25</f>
        <v>11413807.180379558</v>
      </c>
      <c r="AB10" s="9">
        <f>Investment!AB25</f>
        <v>11914621.783117352</v>
      </c>
      <c r="AC10" s="9">
        <f>Investment!AC25</f>
        <v>12435800.781877657</v>
      </c>
      <c r="AD10" s="9">
        <f>Investment!AD25</f>
        <v>12978134.663852712</v>
      </c>
      <c r="AE10" s="9">
        <f>Investment!AE25</f>
        <v>13542443.654273529</v>
      </c>
      <c r="AF10" s="9">
        <f>Investment!AF25</f>
        <v>14129578.810185488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-2638924.1319189249</v>
      </c>
      <c r="D12" s="1">
        <f t="shared" ref="D12:AF12" ca="1" si="2">D7-D9-D10</f>
        <v>-2535896.5505142626</v>
      </c>
      <c r="E12" s="1">
        <f ca="1">E7-E9-E10</f>
        <v>-2480012.4724309491</v>
      </c>
      <c r="F12" s="1">
        <f t="shared" ca="1" si="2"/>
        <v>-2464214.1725963294</v>
      </c>
      <c r="G12" s="1">
        <f ca="1">G7-G9-G10</f>
        <v>-2414311.6765639861</v>
      </c>
      <c r="H12" s="1">
        <f t="shared" ca="1" si="2"/>
        <v>-2324633.7188779414</v>
      </c>
      <c r="I12" s="1">
        <f t="shared" ca="1" si="2"/>
        <v>-2188807.4187552258</v>
      </c>
      <c r="J12" s="1">
        <f t="shared" ca="1" si="2"/>
        <v>-1999680.0860791737</v>
      </c>
      <c r="K12" s="1">
        <f t="shared" ca="1" si="2"/>
        <v>-1749232.6717322986</v>
      </c>
      <c r="L12" s="1">
        <f t="shared" ca="1" si="2"/>
        <v>-1589261.7385669202</v>
      </c>
      <c r="M12" s="1">
        <f t="shared" ca="1" si="2"/>
        <v>-1384923.8053952912</v>
      </c>
      <c r="N12" s="1">
        <f t="shared" ca="1" si="2"/>
        <v>-1319377.1966602663</v>
      </c>
      <c r="O12" s="1">
        <f t="shared" ca="1" si="2"/>
        <v>-1232224.6239488022</v>
      </c>
      <c r="P12" s="1">
        <f t="shared" ca="1" si="2"/>
        <v>-1120940.5761971427</v>
      </c>
      <c r="Q12" s="1">
        <f t="shared" ca="1" si="2"/>
        <v>-982777.50039790664</v>
      </c>
      <c r="R12" s="1">
        <f t="shared" ca="1" si="2"/>
        <v>-935603.59600792918</v>
      </c>
      <c r="S12" s="1">
        <f t="shared" ca="1" si="2"/>
        <v>-873879.35373364668</v>
      </c>
      <c r="T12" s="1">
        <f t="shared" ca="1" si="2"/>
        <v>-930172.87373832241</v>
      </c>
      <c r="U12" s="1">
        <f t="shared" ca="1" si="2"/>
        <v>-986501.69169314299</v>
      </c>
      <c r="V12" s="1">
        <f t="shared" ca="1" si="2"/>
        <v>-1042603.4590747934</v>
      </c>
      <c r="W12" s="1">
        <f t="shared" ca="1" si="2"/>
        <v>-1098187.6437703408</v>
      </c>
      <c r="X12" s="1">
        <f t="shared" ca="1" si="2"/>
        <v>-1152933.430349879</v>
      </c>
      <c r="Y12" s="1">
        <f t="shared" ca="1" si="2"/>
        <v>-1206487.4878895208</v>
      </c>
      <c r="Z12" s="1">
        <f t="shared" ca="1" si="2"/>
        <v>-1258461.5977622103</v>
      </c>
      <c r="AA12" s="1">
        <f t="shared" ca="1" si="2"/>
        <v>-1634000.0720382277</v>
      </c>
      <c r="AB12" s="1">
        <f t="shared" ca="1" si="2"/>
        <v>-2041382.7815392688</v>
      </c>
      <c r="AC12" s="1">
        <f t="shared" ca="1" si="2"/>
        <v>-2482539.2261269093</v>
      </c>
      <c r="AD12" s="1">
        <f t="shared" ca="1" si="2"/>
        <v>-2959498.8474550378</v>
      </c>
      <c r="AE12" s="1">
        <f t="shared" ca="1" si="2"/>
        <v>-3474395.7623040713</v>
      </c>
      <c r="AF12" s="1">
        <f t="shared" ca="1" si="2"/>
        <v>-4029473.7076139674</v>
      </c>
      <c r="AG12" s="1"/>
      <c r="AH12" s="1"/>
      <c r="AI12" s="1"/>
      <c r="AJ12" s="1"/>
      <c r="AK12" s="1"/>
      <c r="AL12" s="1"/>
      <c r="AM12" s="1"/>
      <c r="AN12" s="1"/>
      <c r="AO12" s="1"/>
      <c r="AP12" s="1"/>
    </row>
    <row r="13" spans="1:42" x14ac:dyDescent="0.35">
      <c r="A13" t="s">
        <v>19</v>
      </c>
      <c r="C13" s="1">
        <f ca="1">C12</f>
        <v>-2638924.1319189249</v>
      </c>
      <c r="D13" s="1">
        <f ca="1">D12</f>
        <v>-2535896.5505142626</v>
      </c>
      <c r="E13" s="1">
        <f ca="1">E12</f>
        <v>-2480012.4724309491</v>
      </c>
      <c r="F13" s="1">
        <f t="shared" ref="F13:AF13" ca="1" si="3">F12</f>
        <v>-2464214.1725963294</v>
      </c>
      <c r="G13" s="1">
        <f ca="1">G12</f>
        <v>-2414311.6765639861</v>
      </c>
      <c r="H13" s="1">
        <f t="shared" ca="1" si="3"/>
        <v>-2324633.7188779414</v>
      </c>
      <c r="I13" s="1">
        <f t="shared" ca="1" si="3"/>
        <v>-2188807.4187552258</v>
      </c>
      <c r="J13" s="1">
        <f t="shared" ca="1" si="3"/>
        <v>-1999680.0860791737</v>
      </c>
      <c r="K13" s="1">
        <f t="shared" ca="1" si="3"/>
        <v>-1749232.6717322986</v>
      </c>
      <c r="L13" s="1">
        <f t="shared" ca="1" si="3"/>
        <v>-1589261.7385669202</v>
      </c>
      <c r="M13" s="1">
        <f t="shared" ca="1" si="3"/>
        <v>-1384923.8053952912</v>
      </c>
      <c r="N13" s="1">
        <f t="shared" ca="1" si="3"/>
        <v>-1319377.1966602663</v>
      </c>
      <c r="O13" s="1">
        <f t="shared" ca="1" si="3"/>
        <v>-1232224.6239488022</v>
      </c>
      <c r="P13" s="1">
        <f t="shared" ca="1" si="3"/>
        <v>-1120940.5761971427</v>
      </c>
      <c r="Q13" s="1">
        <f t="shared" ca="1" si="3"/>
        <v>-982777.50039790664</v>
      </c>
      <c r="R13" s="1">
        <f t="shared" ca="1" si="3"/>
        <v>-935603.59600792918</v>
      </c>
      <c r="S13" s="1">
        <f t="shared" ca="1" si="3"/>
        <v>-873879.35373364668</v>
      </c>
      <c r="T13" s="1">
        <f t="shared" ca="1" si="3"/>
        <v>-930172.87373832241</v>
      </c>
      <c r="U13" s="1">
        <f t="shared" ca="1" si="3"/>
        <v>-986501.69169314299</v>
      </c>
      <c r="V13" s="1">
        <f t="shared" ca="1" si="3"/>
        <v>-1042603.4590747934</v>
      </c>
      <c r="W13" s="1">
        <f t="shared" ca="1" si="3"/>
        <v>-1098187.6437703408</v>
      </c>
      <c r="X13" s="1">
        <f t="shared" ca="1" si="3"/>
        <v>-1152933.430349879</v>
      </c>
      <c r="Y13" s="1">
        <f t="shared" ca="1" si="3"/>
        <v>-1206487.4878895208</v>
      </c>
      <c r="Z13" s="1">
        <f t="shared" ca="1" si="3"/>
        <v>-1258461.5977622103</v>
      </c>
      <c r="AA13" s="1">
        <f t="shared" ca="1" si="3"/>
        <v>-1634000.0720382277</v>
      </c>
      <c r="AB13" s="1">
        <f t="shared" ca="1" si="3"/>
        <v>-2041382.7815392688</v>
      </c>
      <c r="AC13" s="1">
        <f t="shared" ca="1" si="3"/>
        <v>-2482539.2261269093</v>
      </c>
      <c r="AD13" s="1">
        <f t="shared" ca="1" si="3"/>
        <v>-2959498.8474550378</v>
      </c>
      <c r="AE13" s="1">
        <f t="shared" ca="1" si="3"/>
        <v>-3474395.7623040713</v>
      </c>
      <c r="AF13" s="1">
        <f t="shared" ca="1" si="3"/>
        <v>-4029473.7076139674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82850000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41425000</v>
      </c>
      <c r="D7" s="9">
        <f>C12</f>
        <v>42733767.259290986</v>
      </c>
      <c r="E7" s="9">
        <f>D12</f>
        <v>44148074.060904071</v>
      </c>
      <c r="F7" s="9">
        <f t="shared" ref="F7:H7" si="1">E12</f>
        <v>45673334.757874332</v>
      </c>
      <c r="G7" s="9">
        <f t="shared" si="1"/>
        <v>47315202.149339795</v>
      </c>
      <c r="H7" s="9">
        <f t="shared" si="1"/>
        <v>49079577.19679445</v>
      </c>
      <c r="I7" s="9">
        <f t="shared" ref="I7" si="2">H12</f>
        <v>50972619.118012749</v>
      </c>
      <c r="J7" s="9">
        <f t="shared" ref="J7" si="3">I12</f>
        <v>53000755.872866966</v>
      </c>
      <c r="K7" s="9">
        <f t="shared" ref="K7" si="4">J12</f>
        <v>55170695.055782475</v>
      </c>
      <c r="L7" s="9">
        <f t="shared" ref="L7" si="5">K12</f>
        <v>57489435.210118219</v>
      </c>
      <c r="M7" s="9">
        <f t="shared" ref="M7" si="6">L12</f>
        <v>59964277.580321804</v>
      </c>
      <c r="N7" s="9">
        <f t="shared" ref="N7" si="7">M12</f>
        <v>62602838.318290725</v>
      </c>
      <c r="O7" s="9">
        <f t="shared" ref="O7" si="8">N12</f>
        <v>65413061.160974868</v>
      </c>
      <c r="P7" s="9">
        <f t="shared" ref="P7" si="9">O12</f>
        <v>68403230.596880332</v>
      </c>
      <c r="Q7" s="9">
        <f t="shared" ref="Q7" si="10">P12</f>
        <v>71581985.539782375</v>
      </c>
      <c r="R7" s="9">
        <f t="shared" ref="R7" si="11">Q12</f>
        <v>74958333.528626412</v>
      </c>
      <c r="S7" s="9">
        <f t="shared" ref="S7" si="12">R12</f>
        <v>78541665.473291188</v>
      </c>
      <c r="T7" s="9">
        <f t="shared" ref="T7" si="13">S12</f>
        <v>82341770.966608658</v>
      </c>
      <c r="U7" s="9">
        <f t="shared" ref="U7" si="14">T12</f>
        <v>86368854.183781266</v>
      </c>
      <c r="V7" s="9">
        <f t="shared" ref="V7" si="15">U12</f>
        <v>90633550.391110584</v>
      </c>
      <c r="W7" s="9">
        <f t="shared" ref="W7" si="16">V12</f>
        <v>95146943.086752251</v>
      </c>
      <c r="X7" s="9">
        <f t="shared" ref="X7" si="17">W12</f>
        <v>99920581.797041953</v>
      </c>
      <c r="Y7" s="9">
        <f t="shared" ref="Y7" si="18">X12</f>
        <v>104966500.55279683</v>
      </c>
      <c r="Z7" s="9">
        <f t="shared" ref="Z7" si="19">Y12</f>
        <v>110297237.07088731</v>
      </c>
      <c r="AA7" s="9">
        <f t="shared" ref="AA7" si="20">Z12</f>
        <v>115925852.66729699</v>
      </c>
      <c r="AB7" s="9">
        <f t="shared" ref="AB7" si="21">AA12</f>
        <v>121865952.92884377</v>
      </c>
      <c r="AC7" s="9">
        <f t="shared" ref="AC7" si="22">AB12</f>
        <v>128131709.17172568</v>
      </c>
      <c r="AD7" s="9">
        <f t="shared" ref="AD7" si="23">AC12</f>
        <v>134737880.71608037</v>
      </c>
      <c r="AE7" s="9">
        <f t="shared" ref="AE7" si="24">AD12</f>
        <v>141699838.00680938</v>
      </c>
      <c r="AF7" s="9">
        <f t="shared" ref="AF7" si="25">AE12</f>
        <v>149033586.61201924</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1247082.1914375231</v>
      </c>
      <c r="D8" s="9">
        <f>Assumptions!E111*Assumptions!E11</f>
        <v>1286988.8215635237</v>
      </c>
      <c r="E8" s="9">
        <f>Assumptions!F111*Assumptions!F11</f>
        <v>1328172.4638535564</v>
      </c>
      <c r="F8" s="9">
        <f>Assumptions!G111*Assumptions!G11</f>
        <v>1370673.9826968703</v>
      </c>
      <c r="G8" s="9">
        <f>Assumptions!H111*Assumptions!H11</f>
        <v>1414535.5501431704</v>
      </c>
      <c r="H8" s="9">
        <f>Assumptions!I111*Assumptions!I11</f>
        <v>1459800.6877477516</v>
      </c>
      <c r="I8" s="9">
        <f>Assumptions!J111*Assumptions!J11</f>
        <v>1506514.3097556795</v>
      </c>
      <c r="J8" s="9">
        <f>Assumptions!K111*Assumptions!K11</f>
        <v>1554722.7676678614</v>
      </c>
      <c r="K8" s="9">
        <f>Assumptions!L111*Assumptions!L11</f>
        <v>1604473.8962332332</v>
      </c>
      <c r="L8" s="9">
        <f>Assumptions!M111*Assumptions!M11</f>
        <v>1655817.0609126964</v>
      </c>
      <c r="M8" s="9">
        <f>Assumptions!N111*Assumptions!N11</f>
        <v>1708803.2068619027</v>
      </c>
      <c r="N8" s="9">
        <f>Assumptions!O111*Assumptions!O11</f>
        <v>1763484.9094814835</v>
      </c>
      <c r="O8" s="9">
        <f>Assumptions!P111*Assumptions!P11</f>
        <v>1819916.4265848913</v>
      </c>
      <c r="P8" s="9">
        <f>Assumptions!Q111*Assumptions!Q11</f>
        <v>1878153.7522356075</v>
      </c>
      <c r="Q8" s="9">
        <f>Assumptions!R111*Assumptions!R11</f>
        <v>1938254.6723071465</v>
      </c>
      <c r="R8" s="9">
        <f>Assumptions!S111*Assumptions!S11</f>
        <v>2000278.8218209757</v>
      </c>
      <c r="S8" s="9">
        <f>Assumptions!T111*Assumptions!T11</f>
        <v>2064287.7441192472</v>
      </c>
      <c r="T8" s="9">
        <f>Assumptions!U111*Assumptions!U11</f>
        <v>2130344.9519310626</v>
      </c>
      <c r="U8" s="9">
        <f>Assumptions!V111*Assumptions!V11</f>
        <v>2198515.9903928563</v>
      </c>
      <c r="V8" s="9">
        <f>Assumptions!W111*Assumptions!W11</f>
        <v>2268868.5020854282</v>
      </c>
      <c r="W8" s="9">
        <f>Assumptions!X111*Assumptions!X11</f>
        <v>2341472.294152162</v>
      </c>
      <c r="X8" s="9">
        <f>Assumptions!Y111*Assumptions!Y11</f>
        <v>2416399.4075650307</v>
      </c>
      <c r="Y8" s="9">
        <f>Assumptions!Z111*Assumptions!Z11</f>
        <v>2493724.1886071116</v>
      </c>
      <c r="Z8" s="9">
        <f>Assumptions!AA111*Assumptions!AA11</f>
        <v>2573523.3626425392</v>
      </c>
      <c r="AA8" s="9">
        <f>Assumptions!AB111*Assumptions!AB11</f>
        <v>2655876.1102471012</v>
      </c>
      <c r="AB8" s="9">
        <f>Assumptions!AC111*Assumptions!AC11</f>
        <v>2740864.145775008</v>
      </c>
      <c r="AC8" s="9">
        <f>Assumptions!AD111*Assumptions!AD11</f>
        <v>2828571.7984398077</v>
      </c>
      <c r="AD8" s="9">
        <f>Assumptions!AE111*Assumptions!AE11</f>
        <v>2919086.095989882</v>
      </c>
      <c r="AE8" s="9">
        <f>Assumptions!AF111*Assumptions!AF11</f>
        <v>3012496.8510615584</v>
      </c>
      <c r="AF8" s="9">
        <f>Assumptions!AG111*Assumptions!AG11</f>
        <v>3108896.7502955277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61685.0678534666</v>
      </c>
      <c r="D9" s="9">
        <f>Assumptions!E120*Assumptions!E11</f>
        <v>127317.98004955506</v>
      </c>
      <c r="E9" s="9">
        <f>Assumptions!F120*Assumptions!F11</f>
        <v>197088.23311671126</v>
      </c>
      <c r="F9" s="9">
        <f>Assumptions!G120*Assumptions!G11</f>
        <v>271193.40876859467</v>
      </c>
      <c r="G9" s="9">
        <f>Assumptions!H120*Assumptions!H11</f>
        <v>349839.4973114871</v>
      </c>
      <c r="H9" s="9">
        <f>Assumptions!I120*Assumptions!I11</f>
        <v>433241.23347054556</v>
      </c>
      <c r="I9" s="9">
        <f>Assumptions!J120*Assumptions!J11</f>
        <v>521622.44509853679</v>
      </c>
      <c r="J9" s="9">
        <f>Assumptions!K120*Assumptions!K11</f>
        <v>615216.41524764581</v>
      </c>
      <c r="K9" s="9">
        <f>Assumptions!L120*Assumptions!L11</f>
        <v>714266.25810251676</v>
      </c>
      <c r="L9" s="9">
        <f>Assumptions!M120*Assumptions!M11</f>
        <v>819025.30929088604</v>
      </c>
      <c r="M9" s="9">
        <f>Assumptions!N120*Assumptions!N11</f>
        <v>929757.5311070137</v>
      </c>
      <c r="N9" s="9">
        <f>Assumptions!O120*Assumptions!O11</f>
        <v>1046737.9332026599</v>
      </c>
      <c r="O9" s="9">
        <f>Assumptions!P120*Assumptions!P11</f>
        <v>1170253.0093205739</v>
      </c>
      <c r="P9" s="9">
        <f>Assumptions!Q120*Assumptions!Q11</f>
        <v>1300601.1906664344</v>
      </c>
      <c r="Q9" s="9">
        <f>Assumptions!R120*Assumptions!R11</f>
        <v>1438093.3165368857</v>
      </c>
      <c r="R9" s="9">
        <f>Assumptions!S120*Assumptions!S11</f>
        <v>1583053.1228438041</v>
      </c>
      <c r="S9" s="9">
        <f>Assumptions!T120*Assumptions!T11</f>
        <v>1735817.7491982314</v>
      </c>
      <c r="T9" s="9">
        <f>Assumptions!U120*Assumptions!U11</f>
        <v>1896738.2652415494</v>
      </c>
      <c r="U9" s="9">
        <f>Assumptions!V120*Assumptions!V11</f>
        <v>2066180.2169364607</v>
      </c>
      <c r="V9" s="9">
        <f>Assumptions!W120*Assumptions!W11</f>
        <v>2244524.1935562398</v>
      </c>
      <c r="W9" s="9">
        <f>Assumptions!X120*Assumptions!X11</f>
        <v>2432166.4161375412</v>
      </c>
      <c r="X9" s="9">
        <f>Assumptions!Y120*Assumptions!Y11</f>
        <v>2629519.3481898447</v>
      </c>
      <c r="Y9" s="9">
        <f>Assumptions!Z120*Assumptions!Z11</f>
        <v>2837012.3294833698</v>
      </c>
      <c r="Z9" s="9">
        <f>Assumptions!AA120*Assumptions!AA11</f>
        <v>3055092.2337671346</v>
      </c>
      <c r="AA9" s="9">
        <f>Assumptions!AB120*Assumptions!AB11</f>
        <v>3284224.1512996708</v>
      </c>
      <c r="AB9" s="9">
        <f>Assumptions!AC120*Assumptions!AC11</f>
        <v>3524892.0971069098</v>
      </c>
      <c r="AC9" s="9">
        <f>Assumptions!AD120*Assumptions!AD11</f>
        <v>3777599.7459148816</v>
      </c>
      <c r="AD9" s="9">
        <f>Assumptions!AE120*Assumptions!AE11</f>
        <v>4042871.194739128</v>
      </c>
      <c r="AE9" s="9">
        <f>Assumptions!AF120*Assumptions!AF11</f>
        <v>4321251.7541483082</v>
      </c>
      <c r="AF9" s="9">
        <f>Assumptions!AG120*Assumptions!AG11</f>
        <v>4613308.7692562621</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1308767.2592909897</v>
      </c>
      <c r="D10" s="9">
        <f>SUM($C$8:D9)</f>
        <v>2723074.0609040689</v>
      </c>
      <c r="E10" s="9">
        <f>SUM($C$8:E9)</f>
        <v>4248334.757874337</v>
      </c>
      <c r="F10" s="9">
        <f>SUM($C$8:F9)</f>
        <v>5890202.1493398016</v>
      </c>
      <c r="G10" s="9">
        <f>SUM($C$8:G9)</f>
        <v>7654577.1967944587</v>
      </c>
      <c r="H10" s="9">
        <f>SUM($C$8:H9)</f>
        <v>9547619.1180127561</v>
      </c>
      <c r="I10" s="9">
        <f>SUM($C$8:I9)</f>
        <v>11575755.87286697</v>
      </c>
      <c r="J10" s="9">
        <f>SUM($C$8:J9)</f>
        <v>13745695.055782476</v>
      </c>
      <c r="K10" s="9">
        <f>SUM($C$8:K9)</f>
        <v>16064435.210118227</v>
      </c>
      <c r="L10" s="9">
        <f>SUM($C$8:L9)</f>
        <v>18539277.580321811</v>
      </c>
      <c r="M10" s="9">
        <f>SUM($C$8:M9)</f>
        <v>21177838.318290725</v>
      </c>
      <c r="N10" s="9">
        <f>SUM($C$8:N9)</f>
        <v>23988061.160974871</v>
      </c>
      <c r="O10" s="9">
        <f>SUM($C$8:O9)</f>
        <v>26978230.596880339</v>
      </c>
      <c r="P10" s="9">
        <f>SUM($C$8:P9)</f>
        <v>30156985.539782379</v>
      </c>
      <c r="Q10" s="9">
        <f>SUM($C$8:Q9)</f>
        <v>33533333.528626405</v>
      </c>
      <c r="R10" s="9">
        <f>SUM($C$8:R9)</f>
        <v>37116665.473291188</v>
      </c>
      <c r="S10" s="9">
        <f>SUM($C$8:S9)</f>
        <v>40916770.966608658</v>
      </c>
      <c r="T10" s="9">
        <f>SUM($C$8:T9)</f>
        <v>44943854.183781281</v>
      </c>
      <c r="U10" s="9">
        <f>SUM($C$8:U9)</f>
        <v>49208550.391110592</v>
      </c>
      <c r="V10" s="9">
        <f>SUM($C$8:V9)</f>
        <v>53721943.086752258</v>
      </c>
      <c r="W10" s="9">
        <f>SUM($C$8:W9)</f>
        <v>58495581.79704196</v>
      </c>
      <c r="X10" s="9">
        <f>SUM($C$8:X9)</f>
        <v>63541500.552796833</v>
      </c>
      <c r="Y10" s="9">
        <f>SUM($C$8:Y9)</f>
        <v>68872237.070887312</v>
      </c>
      <c r="Z10" s="9">
        <f>SUM($C$8:Z9)</f>
        <v>74500852.667296991</v>
      </c>
      <c r="AA10" s="9">
        <f>SUM($C$8:AA9)</f>
        <v>80440952.928843766</v>
      </c>
      <c r="AB10" s="9">
        <f>SUM($C$8:AB9)</f>
        <v>86706709.171725675</v>
      </c>
      <c r="AC10" s="9">
        <f>SUM($C$8:AC9)</f>
        <v>93312880.716080353</v>
      </c>
      <c r="AD10" s="9">
        <f>SUM($C$8:AD9)</f>
        <v>100274838.00680937</v>
      </c>
      <c r="AE10" s="9">
        <f>SUM($C$8:AE9)</f>
        <v>107608586.61201923</v>
      </c>
      <c r="AF10" s="9">
        <f>SUM($C$8:AF9)</f>
        <v>115330792.13157102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42733767.259290986</v>
      </c>
      <c r="D12" s="9">
        <f>D7+D8+D9</f>
        <v>44148074.060904071</v>
      </c>
      <c r="E12" s="9">
        <f>E7+E8+E9</f>
        <v>45673334.757874332</v>
      </c>
      <c r="F12" s="9">
        <f t="shared" ref="F12:H12" si="26">F7+F8+F9</f>
        <v>47315202.149339795</v>
      </c>
      <c r="G12" s="9">
        <f t="shared" si="26"/>
        <v>49079577.19679445</v>
      </c>
      <c r="H12" s="9">
        <f t="shared" si="26"/>
        <v>50972619.118012749</v>
      </c>
      <c r="I12" s="9">
        <f t="shared" ref="I12:AF12" si="27">I7+I8+I9</f>
        <v>53000755.872866966</v>
      </c>
      <c r="J12" s="9">
        <f t="shared" si="27"/>
        <v>55170695.055782475</v>
      </c>
      <c r="K12" s="9">
        <f t="shared" si="27"/>
        <v>57489435.210118219</v>
      </c>
      <c r="L12" s="9">
        <f t="shared" si="27"/>
        <v>59964277.580321804</v>
      </c>
      <c r="M12" s="9">
        <f t="shared" si="27"/>
        <v>62602838.318290725</v>
      </c>
      <c r="N12" s="9">
        <f t="shared" si="27"/>
        <v>65413061.160974868</v>
      </c>
      <c r="O12" s="9">
        <f t="shared" si="27"/>
        <v>68403230.596880332</v>
      </c>
      <c r="P12" s="9">
        <f t="shared" si="27"/>
        <v>71581985.539782375</v>
      </c>
      <c r="Q12" s="9">
        <f t="shared" si="27"/>
        <v>74958333.528626412</v>
      </c>
      <c r="R12" s="9">
        <f t="shared" si="27"/>
        <v>78541665.473291188</v>
      </c>
      <c r="S12" s="9">
        <f t="shared" si="27"/>
        <v>82341770.966608658</v>
      </c>
      <c r="T12" s="9">
        <f t="shared" si="27"/>
        <v>86368854.183781266</v>
      </c>
      <c r="U12" s="9">
        <f t="shared" si="27"/>
        <v>90633550.391110584</v>
      </c>
      <c r="V12" s="9">
        <f t="shared" si="27"/>
        <v>95146943.086752251</v>
      </c>
      <c r="W12" s="9">
        <f t="shared" si="27"/>
        <v>99920581.797041953</v>
      </c>
      <c r="X12" s="9">
        <f t="shared" si="27"/>
        <v>104966500.55279683</v>
      </c>
      <c r="Y12" s="9">
        <f t="shared" si="27"/>
        <v>110297237.07088731</v>
      </c>
      <c r="Z12" s="9">
        <f t="shared" si="27"/>
        <v>115925852.66729699</v>
      </c>
      <c r="AA12" s="9">
        <f t="shared" si="27"/>
        <v>121865952.92884377</v>
      </c>
      <c r="AB12" s="9">
        <f t="shared" si="27"/>
        <v>128131709.17172568</v>
      </c>
      <c r="AC12" s="9">
        <f t="shared" si="27"/>
        <v>134737880.71608037</v>
      </c>
      <c r="AD12" s="9">
        <f t="shared" si="27"/>
        <v>141699838.00680938</v>
      </c>
      <c r="AE12" s="9">
        <f t="shared" si="27"/>
        <v>149033586.61201924</v>
      </c>
      <c r="AF12" s="9">
        <f t="shared" si="27"/>
        <v>156755792.13157102</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3878978.4198520985</v>
      </c>
      <c r="D18" s="9">
        <f>Investment!D25</f>
        <v>4066764.7193121426</v>
      </c>
      <c r="E18" s="9">
        <f>Investment!E25</f>
        <v>4262597.2680357015</v>
      </c>
      <c r="F18" s="9">
        <f>Investment!F25</f>
        <v>4466798.7328049922</v>
      </c>
      <c r="G18" s="9">
        <f>Investment!G25</f>
        <v>4679704.19171705</v>
      </c>
      <c r="H18" s="9">
        <f>Investment!H25</f>
        <v>4901661.598097086</v>
      </c>
      <c r="I18" s="9">
        <f>Investment!I25</f>
        <v>5133032.2613931261</v>
      </c>
      <c r="J18" s="9">
        <f>Investment!J25</f>
        <v>5374191.345663663</v>
      </c>
      <c r="K18" s="9">
        <f>Investment!K25</f>
        <v>5625528.3862918457</v>
      </c>
      <c r="L18" s="9">
        <f>Investment!L25</f>
        <v>5887447.8255822733</v>
      </c>
      <c r="M18" s="9">
        <f>Investment!M25</f>
        <v>6160369.5679197256</v>
      </c>
      <c r="N18" s="9">
        <f>Investment!N25</f>
        <v>6444729.5551933786</v>
      </c>
      <c r="O18" s="9">
        <f>Investment!O25</f>
        <v>6740980.3632149966</v>
      </c>
      <c r="P18" s="9">
        <f>Investment!P25</f>
        <v>7049591.8198854774</v>
      </c>
      <c r="Q18" s="9">
        <f>Investment!Q25</f>
        <v>7371051.6458909372</v>
      </c>
      <c r="R18" s="9">
        <f>Investment!R25</f>
        <v>7705866.1187371863</v>
      </c>
      <c r="S18" s="9">
        <f>Investment!S25</f>
        <v>8054560.7609602027</v>
      </c>
      <c r="T18" s="9">
        <f>Investment!T25</f>
        <v>8417681.0533799008</v>
      </c>
      <c r="U18" s="9">
        <f>Investment!U25</f>
        <v>8795793.1742952392</v>
      </c>
      <c r="V18" s="9">
        <f>Investment!V25</f>
        <v>9189484.7655505016</v>
      </c>
      <c r="W18" s="9">
        <f>Investment!W25</f>
        <v>9599365.7264356203</v>
      </c>
      <c r="X18" s="9">
        <f>Investment!X25</f>
        <v>10026069.036417462</v>
      </c>
      <c r="Y18" s="9">
        <f>Investment!Y25</f>
        <v>10470251.607734269</v>
      </c>
      <c r="Z18" s="9">
        <f>Investment!Z25</f>
        <v>10932595.168922063</v>
      </c>
      <c r="AA18" s="9">
        <f>Investment!AA25</f>
        <v>11413807.180379558</v>
      </c>
      <c r="AB18" s="9">
        <f>Investment!AB25</f>
        <v>11914621.783117352</v>
      </c>
      <c r="AC18" s="9">
        <f>Investment!AC25</f>
        <v>12435800.781877657</v>
      </c>
      <c r="AD18" s="9">
        <f>Investment!AD25</f>
        <v>12978134.663852712</v>
      </c>
      <c r="AE18" s="9">
        <f>Investment!AE25</f>
        <v>13542443.654273529</v>
      </c>
      <c r="AF18" s="9">
        <f>Investment!AF25</f>
        <v>14129578.810185488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45303978.4198521</v>
      </c>
      <c r="D19" s="9">
        <f>D18+C20</f>
        <v>48061975.879873261</v>
      </c>
      <c r="E19" s="9">
        <f>E18+D20</f>
        <v>50910266.346295878</v>
      </c>
      <c r="F19" s="9">
        <f t="shared" ref="F19:AF19" si="28">F18+E20</f>
        <v>53851804.382130608</v>
      </c>
      <c r="G19" s="9">
        <f t="shared" si="28"/>
        <v>56889641.182382196</v>
      </c>
      <c r="H19" s="9">
        <f t="shared" si="28"/>
        <v>60026927.733024627</v>
      </c>
      <c r="I19" s="9">
        <f t="shared" si="28"/>
        <v>63266918.073199451</v>
      </c>
      <c r="J19" s="9">
        <f t="shared" si="28"/>
        <v>66612972.664008901</v>
      </c>
      <c r="K19" s="9">
        <f t="shared" si="28"/>
        <v>70068561.867385238</v>
      </c>
      <c r="L19" s="9">
        <f t="shared" si="28"/>
        <v>73637269.538631767</v>
      </c>
      <c r="M19" s="9">
        <f t="shared" si="28"/>
        <v>77322796.736347914</v>
      </c>
      <c r="N19" s="9">
        <f t="shared" si="28"/>
        <v>81128965.553572387</v>
      </c>
      <c r="O19" s="9">
        <f t="shared" si="28"/>
        <v>85059723.074103251</v>
      </c>
      <c r="P19" s="9">
        <f t="shared" si="28"/>
        <v>89119145.458083272</v>
      </c>
      <c r="Q19" s="9">
        <f t="shared" si="28"/>
        <v>93311442.161072165</v>
      </c>
      <c r="R19" s="9">
        <f t="shared" si="28"/>
        <v>97640960.290965319</v>
      </c>
      <c r="S19" s="9">
        <f t="shared" si="28"/>
        <v>102112189.10726075</v>
      </c>
      <c r="T19" s="9">
        <f t="shared" si="28"/>
        <v>106729764.66732317</v>
      </c>
      <c r="U19" s="9">
        <f t="shared" si="28"/>
        <v>111498474.6244458</v>
      </c>
      <c r="V19" s="9">
        <f t="shared" si="28"/>
        <v>116423263.18266699</v>
      </c>
      <c r="W19" s="9">
        <f t="shared" si="28"/>
        <v>121509236.21346094</v>
      </c>
      <c r="X19" s="9">
        <f t="shared" si="28"/>
        <v>126761666.53958869</v>
      </c>
      <c r="Y19" s="9">
        <f t="shared" si="28"/>
        <v>132185999.39156808</v>
      </c>
      <c r="Z19" s="9">
        <f t="shared" si="28"/>
        <v>137787858.04239964</v>
      </c>
      <c r="AA19" s="9">
        <f t="shared" si="28"/>
        <v>143573049.62636954</v>
      </c>
      <c r="AB19" s="9">
        <f t="shared" si="28"/>
        <v>149547571.1479401</v>
      </c>
      <c r="AC19" s="9">
        <f t="shared" si="28"/>
        <v>155717615.68693584</v>
      </c>
      <c r="AD19" s="9">
        <f t="shared" si="28"/>
        <v>162089578.80643389</v>
      </c>
      <c r="AE19" s="9">
        <f t="shared" si="28"/>
        <v>168670065.16997841</v>
      </c>
      <c r="AF19" s="9">
        <f t="shared" si="28"/>
        <v>175465895.37495404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43995211.160561115</v>
      </c>
      <c r="D20" s="9">
        <f>D19-D8-D9</f>
        <v>46647669.078260176</v>
      </c>
      <c r="E20" s="9">
        <f t="shared" ref="E20:AF20" si="29">E19-E8-E9</f>
        <v>49385005.649325617</v>
      </c>
      <c r="F20" s="9">
        <f t="shared" si="29"/>
        <v>52209936.990665145</v>
      </c>
      <c r="G20" s="9">
        <f t="shared" si="29"/>
        <v>55125266.134927541</v>
      </c>
      <c r="H20" s="9">
        <f t="shared" si="29"/>
        <v>58133885.811806329</v>
      </c>
      <c r="I20" s="9">
        <f t="shared" si="29"/>
        <v>61238781.318345234</v>
      </c>
      <c r="J20" s="9">
        <f t="shared" si="29"/>
        <v>64443033.481093392</v>
      </c>
      <c r="K20" s="9">
        <f t="shared" si="29"/>
        <v>67749821.713049486</v>
      </c>
      <c r="L20" s="9">
        <f t="shared" si="29"/>
        <v>71162427.168428183</v>
      </c>
      <c r="M20" s="9">
        <f t="shared" si="29"/>
        <v>74684235.998379007</v>
      </c>
      <c r="N20" s="9">
        <f t="shared" si="29"/>
        <v>78318742.710888252</v>
      </c>
      <c r="O20" s="9">
        <f t="shared" si="29"/>
        <v>82069553.638197795</v>
      </c>
      <c r="P20" s="9">
        <f t="shared" si="29"/>
        <v>85940390.515181229</v>
      </c>
      <c r="Q20" s="9">
        <f t="shared" si="29"/>
        <v>89935094.172228128</v>
      </c>
      <c r="R20" s="9">
        <f t="shared" si="29"/>
        <v>94057628.346300542</v>
      </c>
      <c r="S20" s="9">
        <f t="shared" si="29"/>
        <v>98312083.613943279</v>
      </c>
      <c r="T20" s="9">
        <f t="shared" si="29"/>
        <v>102702681.45015056</v>
      </c>
      <c r="U20" s="9">
        <f t="shared" si="29"/>
        <v>107233778.41711648</v>
      </c>
      <c r="V20" s="9">
        <f t="shared" si="29"/>
        <v>111909870.48702532</v>
      </c>
      <c r="W20" s="9">
        <f t="shared" si="29"/>
        <v>116735597.50317124</v>
      </c>
      <c r="X20" s="9">
        <f t="shared" si="29"/>
        <v>121715747.78383382</v>
      </c>
      <c r="Y20" s="9">
        <f t="shared" si="29"/>
        <v>126855262.87347759</v>
      </c>
      <c r="Z20" s="9">
        <f t="shared" si="29"/>
        <v>132159242.44598998</v>
      </c>
      <c r="AA20" s="9">
        <f t="shared" si="29"/>
        <v>137632949.36482275</v>
      </c>
      <c r="AB20" s="9">
        <f t="shared" si="29"/>
        <v>143281814.90505818</v>
      </c>
      <c r="AC20" s="9">
        <f t="shared" si="29"/>
        <v>149111444.14258116</v>
      </c>
      <c r="AD20" s="9">
        <f t="shared" si="29"/>
        <v>155127621.51570487</v>
      </c>
      <c r="AE20" s="9">
        <f t="shared" si="29"/>
        <v>161336316.56476855</v>
      </c>
      <c r="AF20" s="9">
        <f t="shared" si="29"/>
        <v>167743689.85540226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2638924.1319189249</v>
      </c>
      <c r="E22" s="9">
        <f ca="1">'Balance Sheet'!D11</f>
        <v>5174820.682433188</v>
      </c>
      <c r="F22" s="9">
        <f ca="1">'Balance Sheet'!E11</f>
        <v>7654833.1548641371</v>
      </c>
      <c r="G22" s="9">
        <f ca="1">'Balance Sheet'!F11</f>
        <v>10119047.327460466</v>
      </c>
      <c r="H22" s="9">
        <f ca="1">'Balance Sheet'!G11</f>
        <v>12533359.004024452</v>
      </c>
      <c r="I22" s="9">
        <f ca="1">'Balance Sheet'!H11</f>
        <v>14857992.722902393</v>
      </c>
      <c r="J22" s="9">
        <f ca="1">'Balance Sheet'!I11</f>
        <v>17046800.141657621</v>
      </c>
      <c r="K22" s="9">
        <f ca="1">'Balance Sheet'!J11</f>
        <v>19046480.227736793</v>
      </c>
      <c r="L22" s="9">
        <f ca="1">'Balance Sheet'!K11</f>
        <v>20795712.899469092</v>
      </c>
      <c r="M22" s="9">
        <f ca="1">'Balance Sheet'!L11</f>
        <v>22384974.638036013</v>
      </c>
      <c r="N22" s="9">
        <f ca="1">'Balance Sheet'!M11</f>
        <v>23769898.443431303</v>
      </c>
      <c r="O22" s="9">
        <f ca="1">'Balance Sheet'!N11</f>
        <v>25089275.640091568</v>
      </c>
      <c r="P22" s="9">
        <f ca="1">'Balance Sheet'!O11</f>
        <v>26321500.26404037</v>
      </c>
      <c r="Q22" s="9">
        <f ca="1">'Balance Sheet'!P11</f>
        <v>27442440.840237513</v>
      </c>
      <c r="R22" s="9">
        <f ca="1">'Balance Sheet'!Q11</f>
        <v>28425218.340635419</v>
      </c>
      <c r="S22" s="9">
        <f ca="1">'Balance Sheet'!R11</f>
        <v>29360821.936643347</v>
      </c>
      <c r="T22" s="9">
        <f ca="1">'Balance Sheet'!S11</f>
        <v>30234701.290376995</v>
      </c>
      <c r="U22" s="9">
        <f ca="1">'Balance Sheet'!T11</f>
        <v>31164874.164115317</v>
      </c>
      <c r="V22" s="9">
        <f ca="1">'Balance Sheet'!U11</f>
        <v>32151375.855808459</v>
      </c>
      <c r="W22" s="9">
        <f ca="1">'Balance Sheet'!V11</f>
        <v>33193979.314883254</v>
      </c>
      <c r="X22" s="9">
        <f ca="1">'Balance Sheet'!W11</f>
        <v>34292166.958653599</v>
      </c>
      <c r="Y22" s="9">
        <f ca="1">'Balance Sheet'!X11</f>
        <v>35445100.389003478</v>
      </c>
      <c r="Z22" s="9">
        <f ca="1">'Balance Sheet'!Y11</f>
        <v>36651587.876892999</v>
      </c>
      <c r="AA22" s="9">
        <f ca="1">'Balance Sheet'!Z11</f>
        <v>37910049.474655211</v>
      </c>
      <c r="AB22" s="9">
        <f ca="1">'Balance Sheet'!AA11</f>
        <v>39544049.546693437</v>
      </c>
      <c r="AC22" s="9">
        <f ca="1">'Balance Sheet'!AB11</f>
        <v>41585432.328232706</v>
      </c>
      <c r="AD22" s="9">
        <f ca="1">'Balance Sheet'!AC11</f>
        <v>44067971.554359615</v>
      </c>
      <c r="AE22" s="9">
        <f ca="1">'Balance Sheet'!AD11</f>
        <v>47027470.401814654</v>
      </c>
      <c r="AF22" s="9">
        <f ca="1">'Balance Sheet'!AE11</f>
        <v>50501866.164118722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43995211.160561115</v>
      </c>
      <c r="D23" s="9">
        <f t="shared" ref="D23:AF23" ca="1" si="30">D20-D22</f>
        <v>44008744.946341254</v>
      </c>
      <c r="E23" s="9">
        <f t="shared" ca="1" si="30"/>
        <v>44210184.966892429</v>
      </c>
      <c r="F23" s="9">
        <f t="shared" ca="1" si="30"/>
        <v>44555103.835801005</v>
      </c>
      <c r="G23" s="9">
        <f t="shared" ca="1" si="30"/>
        <v>45006218.807467073</v>
      </c>
      <c r="H23" s="9">
        <f t="shared" ca="1" si="30"/>
        <v>45600526.807781875</v>
      </c>
      <c r="I23" s="9">
        <f t="shared" ca="1" si="30"/>
        <v>46380788.595442839</v>
      </c>
      <c r="J23" s="9">
        <f ca="1">J20-J22</f>
        <v>47396233.339435771</v>
      </c>
      <c r="K23" s="9">
        <f t="shared" ca="1" si="30"/>
        <v>48703341.485312693</v>
      </c>
      <c r="L23" s="9">
        <f t="shared" ca="1" si="30"/>
        <v>50366714.26895909</v>
      </c>
      <c r="M23" s="9">
        <f t="shared" ca="1" si="30"/>
        <v>52299261.360342994</v>
      </c>
      <c r="N23" s="9">
        <f t="shared" ca="1" si="30"/>
        <v>54548844.267456949</v>
      </c>
      <c r="O23" s="9">
        <f t="shared" ca="1" si="30"/>
        <v>56980277.998106226</v>
      </c>
      <c r="P23" s="9">
        <f t="shared" ca="1" si="30"/>
        <v>59618890.251140863</v>
      </c>
      <c r="Q23" s="9">
        <f t="shared" ca="1" si="30"/>
        <v>62492653.331990615</v>
      </c>
      <c r="R23" s="9">
        <f t="shared" ca="1" si="30"/>
        <v>65632410.005665123</v>
      </c>
      <c r="S23" s="9">
        <f t="shared" ca="1" si="30"/>
        <v>68951261.677299932</v>
      </c>
      <c r="T23" s="9">
        <f t="shared" ca="1" si="30"/>
        <v>72467980.159773573</v>
      </c>
      <c r="U23" s="9">
        <f t="shared" ca="1" si="30"/>
        <v>76068904.253001153</v>
      </c>
      <c r="V23" s="9">
        <f t="shared" ca="1" si="30"/>
        <v>79758494.631216854</v>
      </c>
      <c r="W23" s="9">
        <f t="shared" ca="1" si="30"/>
        <v>83541618.188287973</v>
      </c>
      <c r="X23" s="9">
        <f t="shared" ca="1" si="30"/>
        <v>87423580.825180218</v>
      </c>
      <c r="Y23" s="9">
        <f t="shared" ca="1" si="30"/>
        <v>91410162.484474123</v>
      </c>
      <c r="Z23" s="9">
        <f t="shared" ca="1" si="30"/>
        <v>95507654.569096982</v>
      </c>
      <c r="AA23" s="9">
        <f t="shared" ca="1" si="30"/>
        <v>99722899.890167534</v>
      </c>
      <c r="AB23" s="9">
        <f t="shared" ca="1" si="30"/>
        <v>103737765.35836473</v>
      </c>
      <c r="AC23" s="9">
        <f t="shared" ca="1" si="30"/>
        <v>107526011.81434846</v>
      </c>
      <c r="AD23" s="9">
        <f t="shared" ca="1" si="30"/>
        <v>111059649.96134526</v>
      </c>
      <c r="AE23" s="9">
        <f t="shared" ca="1" si="30"/>
        <v>114308846.1629539</v>
      </c>
      <c r="AF23" s="9">
        <f t="shared" ca="1" si="30"/>
        <v>117241823.69128354</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2638924.1319189249</v>
      </c>
      <c r="E5" s="1">
        <f t="shared" ref="E5:AF5" ca="1" si="1">D5+D6</f>
        <v>5174820.682433188</v>
      </c>
      <c r="F5" s="1">
        <f t="shared" ca="1" si="1"/>
        <v>7654833.1548641371</v>
      </c>
      <c r="G5" s="1">
        <f t="shared" ca="1" si="1"/>
        <v>10119047.327460466</v>
      </c>
      <c r="H5" s="1">
        <f t="shared" ca="1" si="1"/>
        <v>12533359.004024452</v>
      </c>
      <c r="I5" s="1">
        <f t="shared" ca="1" si="1"/>
        <v>14857992.722902393</v>
      </c>
      <c r="J5" s="1">
        <f t="shared" ca="1" si="1"/>
        <v>17046800.141657621</v>
      </c>
      <c r="K5" s="1">
        <f t="shared" ca="1" si="1"/>
        <v>19046480.227736793</v>
      </c>
      <c r="L5" s="1">
        <f t="shared" ca="1" si="1"/>
        <v>20795712.899469092</v>
      </c>
      <c r="M5" s="1">
        <f t="shared" ca="1" si="1"/>
        <v>22384974.638036013</v>
      </c>
      <c r="N5" s="1">
        <f t="shared" ca="1" si="1"/>
        <v>23769898.443431303</v>
      </c>
      <c r="O5" s="1">
        <f t="shared" ca="1" si="1"/>
        <v>25089275.640091568</v>
      </c>
      <c r="P5" s="1">
        <f t="shared" ca="1" si="1"/>
        <v>26321500.26404037</v>
      </c>
      <c r="Q5" s="1">
        <f t="shared" ca="1" si="1"/>
        <v>27442440.840237513</v>
      </c>
      <c r="R5" s="1">
        <f t="shared" ca="1" si="1"/>
        <v>28425218.340635419</v>
      </c>
      <c r="S5" s="1">
        <f t="shared" ca="1" si="1"/>
        <v>29360821.936643347</v>
      </c>
      <c r="T5" s="1">
        <f t="shared" ca="1" si="1"/>
        <v>30234701.290376995</v>
      </c>
      <c r="U5" s="1">
        <f t="shared" ca="1" si="1"/>
        <v>31164874.164115317</v>
      </c>
      <c r="V5" s="1">
        <f t="shared" ca="1" si="1"/>
        <v>32151375.855808459</v>
      </c>
      <c r="W5" s="1">
        <f t="shared" ca="1" si="1"/>
        <v>33193979.314883254</v>
      </c>
      <c r="X5" s="1">
        <f t="shared" ca="1" si="1"/>
        <v>34292166.958653599</v>
      </c>
      <c r="Y5" s="1">
        <f t="shared" ca="1" si="1"/>
        <v>35445100.389003478</v>
      </c>
      <c r="Z5" s="1">
        <f t="shared" ca="1" si="1"/>
        <v>36651587.876892999</v>
      </c>
      <c r="AA5" s="1">
        <f t="shared" ca="1" si="1"/>
        <v>37910049.474655211</v>
      </c>
      <c r="AB5" s="1">
        <f t="shared" ca="1" si="1"/>
        <v>39544049.546693437</v>
      </c>
      <c r="AC5" s="1">
        <f t="shared" ca="1" si="1"/>
        <v>41585432.328232706</v>
      </c>
      <c r="AD5" s="1">
        <f t="shared" ca="1" si="1"/>
        <v>44067971.554359615</v>
      </c>
      <c r="AE5" s="1">
        <f t="shared" ca="1" si="1"/>
        <v>47027470.401814654</v>
      </c>
      <c r="AF5" s="1">
        <f t="shared" ca="1" si="1"/>
        <v>50501866.164118722</v>
      </c>
      <c r="AG5" s="1"/>
      <c r="AH5" s="1"/>
      <c r="AI5" s="1"/>
      <c r="AJ5" s="1"/>
      <c r="AK5" s="1"/>
      <c r="AL5" s="1"/>
      <c r="AM5" s="1"/>
      <c r="AN5" s="1"/>
      <c r="AO5" s="1"/>
      <c r="AP5" s="1"/>
    </row>
    <row r="6" spans="1:42" x14ac:dyDescent="0.35">
      <c r="A6" s="63" t="s">
        <v>3</v>
      </c>
      <c r="C6" s="1">
        <f ca="1">-'Cash Flow'!C13</f>
        <v>2638924.1319189249</v>
      </c>
      <c r="D6" s="1">
        <f ca="1">-'Cash Flow'!D13</f>
        <v>2535896.5505142626</v>
      </c>
      <c r="E6" s="1">
        <f ca="1">-'Cash Flow'!E13</f>
        <v>2480012.4724309491</v>
      </c>
      <c r="F6" s="1">
        <f ca="1">-'Cash Flow'!F13</f>
        <v>2464214.1725963294</v>
      </c>
      <c r="G6" s="1">
        <f ca="1">-'Cash Flow'!G13</f>
        <v>2414311.6765639861</v>
      </c>
      <c r="H6" s="1">
        <f ca="1">-'Cash Flow'!H13</f>
        <v>2324633.7188779414</v>
      </c>
      <c r="I6" s="1">
        <f ca="1">-'Cash Flow'!I13</f>
        <v>2188807.4187552258</v>
      </c>
      <c r="J6" s="1">
        <f ca="1">-'Cash Flow'!J13</f>
        <v>1999680.0860791737</v>
      </c>
      <c r="K6" s="1">
        <f ca="1">-'Cash Flow'!K13</f>
        <v>1749232.6717322986</v>
      </c>
      <c r="L6" s="1">
        <f ca="1">-'Cash Flow'!L13</f>
        <v>1589261.7385669202</v>
      </c>
      <c r="M6" s="1">
        <f ca="1">-'Cash Flow'!M13</f>
        <v>1384923.8053952912</v>
      </c>
      <c r="N6" s="1">
        <f ca="1">-'Cash Flow'!N13</f>
        <v>1319377.1966602663</v>
      </c>
      <c r="O6" s="1">
        <f ca="1">-'Cash Flow'!O13</f>
        <v>1232224.6239488022</v>
      </c>
      <c r="P6" s="1">
        <f ca="1">-'Cash Flow'!P13</f>
        <v>1120940.5761971427</v>
      </c>
      <c r="Q6" s="1">
        <f ca="1">-'Cash Flow'!Q13</f>
        <v>982777.50039790664</v>
      </c>
      <c r="R6" s="1">
        <f ca="1">-'Cash Flow'!R13</f>
        <v>935603.59600792918</v>
      </c>
      <c r="S6" s="1">
        <f ca="1">-'Cash Flow'!S13</f>
        <v>873879.35373364668</v>
      </c>
      <c r="T6" s="1">
        <f ca="1">-'Cash Flow'!T13</f>
        <v>930172.87373832241</v>
      </c>
      <c r="U6" s="1">
        <f ca="1">-'Cash Flow'!U13</f>
        <v>986501.69169314299</v>
      </c>
      <c r="V6" s="1">
        <f ca="1">-'Cash Flow'!V13</f>
        <v>1042603.4590747934</v>
      </c>
      <c r="W6" s="1">
        <f ca="1">-'Cash Flow'!W13</f>
        <v>1098187.6437703408</v>
      </c>
      <c r="X6" s="1">
        <f ca="1">-'Cash Flow'!X13</f>
        <v>1152933.430349879</v>
      </c>
      <c r="Y6" s="1">
        <f ca="1">-'Cash Flow'!Y13</f>
        <v>1206487.4878895208</v>
      </c>
      <c r="Z6" s="1">
        <f ca="1">-'Cash Flow'!Z13</f>
        <v>1258461.5977622103</v>
      </c>
      <c r="AA6" s="1">
        <f ca="1">-'Cash Flow'!AA13</f>
        <v>1634000.0720382277</v>
      </c>
      <c r="AB6" s="1">
        <f ca="1">-'Cash Flow'!AB13</f>
        <v>2041382.7815392688</v>
      </c>
      <c r="AC6" s="1">
        <f ca="1">-'Cash Flow'!AC13</f>
        <v>2482539.2261269093</v>
      </c>
      <c r="AD6" s="1">
        <f ca="1">-'Cash Flow'!AD13</f>
        <v>2959498.8474550378</v>
      </c>
      <c r="AE6" s="1">
        <f ca="1">-'Cash Flow'!AE13</f>
        <v>3474395.7623040713</v>
      </c>
      <c r="AF6" s="1">
        <f ca="1">-'Cash Flow'!AF13</f>
        <v>4029473.7076139674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92362.34461716238</v>
      </c>
      <c r="D8" s="1">
        <f ca="1">IF(SUM(D5:D6)&gt;0,Assumptions!$C$26*SUM(D5:D6),Assumptions!$C$27*(SUM(D5:D6)))</f>
        <v>181118.7238851616</v>
      </c>
      <c r="E8" s="1">
        <f ca="1">IF(SUM(E5:E6)&gt;0,Assumptions!$C$26*SUM(E5:E6),Assumptions!$C$27*(SUM(E5:E6)))</f>
        <v>267919.16042024485</v>
      </c>
      <c r="F8" s="1">
        <f ca="1">IF(SUM(F5:F6)&gt;0,Assumptions!$C$26*SUM(F5:F6),Assumptions!$C$27*(SUM(F5:F6)))</f>
        <v>354166.65646111633</v>
      </c>
      <c r="G8" s="1">
        <f ca="1">IF(SUM(G5:G6)&gt;0,Assumptions!$C$26*SUM(G5:G6),Assumptions!$C$27*(SUM(G5:G6)))</f>
        <v>438667.56514085585</v>
      </c>
      <c r="H8" s="1">
        <f ca="1">IF(SUM(H5:H6)&gt;0,Assumptions!$C$26*SUM(H5:H6),Assumptions!$C$27*(SUM(H5:H6)))</f>
        <v>520029.74530158378</v>
      </c>
      <c r="I8" s="1">
        <f ca="1">IF(SUM(I5:I6)&gt;0,Assumptions!$C$26*SUM(I5:I6),Assumptions!$C$27*(SUM(I5:I6)))</f>
        <v>596638.0049580168</v>
      </c>
      <c r="J8" s="1">
        <f ca="1">IF(SUM(J5:J6)&gt;0,Assumptions!$C$26*SUM(J5:J6),Assumptions!$C$27*(SUM(J5:J6)))</f>
        <v>666626.80797078786</v>
      </c>
      <c r="K8" s="1">
        <f ca="1">IF(SUM(K5:K6)&gt;0,Assumptions!$C$26*SUM(K5:K6),Assumptions!$C$27*(SUM(K5:K6)))</f>
        <v>727849.95148141833</v>
      </c>
      <c r="L8" s="1">
        <f ca="1">IF(SUM(L5:L6)&gt;0,Assumptions!$C$26*SUM(L5:L6),Assumptions!$C$27*(SUM(L5:L6)))</f>
        <v>783474.11233126046</v>
      </c>
      <c r="M8" s="1">
        <f ca="1">IF(SUM(M5:M6)&gt;0,Assumptions!$C$26*SUM(M5:M6),Assumptions!$C$27*(SUM(M5:M6)))</f>
        <v>831946.44552009564</v>
      </c>
      <c r="N8" s="1">
        <f ca="1">IF(SUM(N5:N6)&gt;0,Assumptions!$C$26*SUM(N5:N6),Assumptions!$C$27*(SUM(N5:N6)))</f>
        <v>878124.64740320493</v>
      </c>
      <c r="O8" s="1">
        <f ca="1">IF(SUM(O5:O6)&gt;0,Assumptions!$C$26*SUM(O5:O6),Assumptions!$C$27*(SUM(O5:O6)))</f>
        <v>921252.50924141298</v>
      </c>
      <c r="P8" s="1">
        <f ca="1">IF(SUM(P5:P6)&gt;0,Assumptions!$C$26*SUM(P5:P6),Assumptions!$C$27*(SUM(P5:P6)))</f>
        <v>960485.42940831301</v>
      </c>
      <c r="Q8" s="1">
        <f ca="1">IF(SUM(Q5:Q6)&gt;0,Assumptions!$C$26*SUM(Q5:Q6),Assumptions!$C$27*(SUM(Q5:Q6)))</f>
        <v>994882.6419222398</v>
      </c>
      <c r="R8" s="1">
        <f ca="1">IF(SUM(R5:R6)&gt;0,Assumptions!$C$26*SUM(R5:R6),Assumptions!$C$27*(SUM(R5:R6)))</f>
        <v>1027628.7677825172</v>
      </c>
      <c r="S8" s="1">
        <f ca="1">IF(SUM(S5:S6)&gt;0,Assumptions!$C$26*SUM(S5:S6),Assumptions!$C$27*(SUM(S5:S6)))</f>
        <v>1058214.5451631949</v>
      </c>
      <c r="T8" s="1">
        <f ca="1">IF(SUM(T5:T6)&gt;0,Assumptions!$C$26*SUM(T5:T6),Assumptions!$C$27*(SUM(T5:T6)))</f>
        <v>1090770.5957440361</v>
      </c>
      <c r="U8" s="1">
        <f ca="1">IF(SUM(U5:U6)&gt;0,Assumptions!$C$26*SUM(U5:U6),Assumptions!$C$27*(SUM(U5:U6)))</f>
        <v>1125298.1549532963</v>
      </c>
      <c r="V8" s="1">
        <f ca="1">IF(SUM(V5:V6)&gt;0,Assumptions!$C$26*SUM(V5:V6),Assumptions!$C$27*(SUM(V5:V6)))</f>
        <v>1161789.2760209141</v>
      </c>
      <c r="W8" s="1">
        <f ca="1">IF(SUM(W5:W6)&gt;0,Assumptions!$C$26*SUM(W5:W6),Assumptions!$C$27*(SUM(W5:W6)))</f>
        <v>1200225.843552876</v>
      </c>
      <c r="X8" s="1">
        <f ca="1">IF(SUM(X5:X6)&gt;0,Assumptions!$C$26*SUM(X5:X6),Assumptions!$C$27*(SUM(X5:X6)))</f>
        <v>1240578.5136151218</v>
      </c>
      <c r="Y8" s="1">
        <f ca="1">IF(SUM(Y5:Y6)&gt;0,Assumptions!$C$26*SUM(Y5:Y6),Assumptions!$C$27*(SUM(Y5:Y6)))</f>
        <v>1282805.575691255</v>
      </c>
      <c r="Z8" s="1">
        <f ca="1">IF(SUM(Z5:Z6)&gt;0,Assumptions!$C$26*SUM(Z5:Z6),Assumptions!$C$27*(SUM(Z5:Z6)))</f>
        <v>1326851.7316129324</v>
      </c>
      <c r="AA8" s="1">
        <f ca="1">IF(SUM(AA5:AA6)&gt;0,Assumptions!$C$26*SUM(AA5:AA6),Assumptions!$C$27*(SUM(AA5:AA6)))</f>
        <v>1384041.7341342703</v>
      </c>
      <c r="AB8" s="1">
        <f ca="1">IF(SUM(AB5:AB6)&gt;0,Assumptions!$C$26*SUM(AB5:AB6),Assumptions!$C$27*(SUM(AB5:AB6)))</f>
        <v>1455490.1314881449</v>
      </c>
      <c r="AC8" s="1">
        <f ca="1">IF(SUM(AC5:AC6)&gt;0,Assumptions!$C$26*SUM(AC5:AC6),Assumptions!$C$27*(SUM(AC5:AC6)))</f>
        <v>1542379.0044025867</v>
      </c>
      <c r="AD8" s="1">
        <f ca="1">IF(SUM(AD5:AD6)&gt;0,Assumptions!$C$26*SUM(AD5:AD6),Assumptions!$C$27*(SUM(AD5:AD6)))</f>
        <v>1645961.4640635131</v>
      </c>
      <c r="AE8" s="1">
        <f ca="1">IF(SUM(AE5:AE6)&gt;0,Assumptions!$C$26*SUM(AE5:AE6),Assumptions!$C$27*(SUM(AE5:AE6)))</f>
        <v>1767565.3157441556</v>
      </c>
      <c r="AF8" s="1">
        <f ca="1">IF(SUM(AF5:AF6)&gt;0,Assumptions!$C$26*SUM(AF5:AF6),Assumptions!$C$27*(SUM(AF5:AF6)))</f>
        <v>1908596.8955106444</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7"/>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45.6640625" style="63" customWidth="1"/>
    <col min="4" max="16384" width="8.6640625" style="63"/>
  </cols>
  <sheetData>
    <row r="1" spans="1:3" ht="26" x14ac:dyDescent="0.6">
      <c r="A1" s="13" t="s">
        <v>186</v>
      </c>
    </row>
    <row r="2" spans="1:3" ht="26" x14ac:dyDescent="0.6">
      <c r="A2" s="13"/>
    </row>
    <row r="3" spans="1:3" ht="186" x14ac:dyDescent="0.35">
      <c r="A3" s="173" t="s">
        <v>189</v>
      </c>
    </row>
    <row r="4" spans="1:3" ht="26" x14ac:dyDescent="0.6">
      <c r="A4" s="13"/>
    </row>
    <row r="5" spans="1:3" ht="18.5" x14ac:dyDescent="0.45">
      <c r="A5" s="89" t="s">
        <v>178</v>
      </c>
      <c r="B5" s="90"/>
    </row>
    <row r="6" spans="1:3" ht="18.5" x14ac:dyDescent="0.45">
      <c r="A6" s="90"/>
      <c r="B6" s="181"/>
    </row>
    <row r="7" spans="1:3" ht="18.5" x14ac:dyDescent="0.45">
      <c r="A7" s="90" t="s">
        <v>96</v>
      </c>
      <c r="B7" s="182">
        <f>Assumptions!C24</f>
        <v>2737000</v>
      </c>
      <c r="C7" s="180" t="s">
        <v>137</v>
      </c>
    </row>
    <row r="8" spans="1:3" ht="34" x14ac:dyDescent="0.45">
      <c r="A8" s="90" t="s">
        <v>175</v>
      </c>
      <c r="B8" s="183">
        <f>Assumptions!$C$133</f>
        <v>0.7</v>
      </c>
      <c r="C8" s="180" t="s">
        <v>199</v>
      </c>
    </row>
    <row r="9" spans="1:3" ht="18.5" x14ac:dyDescent="0.45">
      <c r="A9" s="90"/>
      <c r="B9" s="184"/>
      <c r="C9" s="180"/>
    </row>
    <row r="10" spans="1:3" ht="85" x14ac:dyDescent="0.45">
      <c r="A10" s="94" t="s">
        <v>102</v>
      </c>
      <c r="B10" s="185">
        <f>Assumptions!C135</f>
        <v>2666.6666666666665</v>
      </c>
      <c r="C10" s="180" t="s">
        <v>200</v>
      </c>
    </row>
    <row r="11" spans="1:3" ht="18.5" x14ac:dyDescent="0.45">
      <c r="A11" s="94"/>
      <c r="B11" s="186"/>
      <c r="C11" s="180"/>
    </row>
    <row r="12" spans="1:3" ht="18.5" x14ac:dyDescent="0.45">
      <c r="A12" s="94" t="s">
        <v>185</v>
      </c>
      <c r="B12" s="182">
        <f>(B7*B8)/B10</f>
        <v>718.46249999999998</v>
      </c>
      <c r="C12" s="180"/>
    </row>
    <row r="13" spans="1:3" ht="18.5" x14ac:dyDescent="0.45">
      <c r="A13" s="96"/>
      <c r="B13" s="187"/>
      <c r="C13" s="180"/>
    </row>
    <row r="14" spans="1:3" ht="18.5" x14ac:dyDescent="0.45">
      <c r="A14" s="94" t="s">
        <v>103</v>
      </c>
      <c r="B14" s="103">
        <v>1</v>
      </c>
      <c r="C14" s="180"/>
    </row>
    <row r="15" spans="1:3" ht="18.5" x14ac:dyDescent="0.45">
      <c r="A15" s="96"/>
      <c r="B15" s="99"/>
      <c r="C15" s="180"/>
    </row>
    <row r="16" spans="1:3" ht="18.5" x14ac:dyDescent="0.45">
      <c r="A16" s="96" t="s">
        <v>180</v>
      </c>
      <c r="B16" s="188">
        <f>B12/B14</f>
        <v>718.46249999999998</v>
      </c>
      <c r="C16" s="180"/>
    </row>
    <row r="17" spans="1:3" ht="18.5" x14ac:dyDescent="0.45">
      <c r="A17" s="94"/>
      <c r="B17" s="189"/>
      <c r="C17" s="180"/>
    </row>
    <row r="18" spans="1:3" ht="18.5" x14ac:dyDescent="0.45">
      <c r="A18" s="102" t="s">
        <v>179</v>
      </c>
      <c r="B18" s="189"/>
      <c r="C18" s="180"/>
    </row>
    <row r="19" spans="1:3" ht="18.5" x14ac:dyDescent="0.45">
      <c r="A19" s="94"/>
      <c r="B19" s="189"/>
      <c r="C19" s="180"/>
    </row>
    <row r="20" spans="1:3" ht="34" x14ac:dyDescent="0.45">
      <c r="A20" s="94" t="s">
        <v>65</v>
      </c>
      <c r="B20" s="182">
        <f>'Profit and Loss'!L5</f>
        <v>8378128.7529097162</v>
      </c>
      <c r="C20" s="180" t="s">
        <v>201</v>
      </c>
    </row>
    <row r="21" spans="1:3" ht="34" x14ac:dyDescent="0.45">
      <c r="A21" s="94" t="str">
        <f>A8</f>
        <v>Assumed revenue from households</v>
      </c>
      <c r="B21" s="183">
        <f>B8</f>
        <v>0.7</v>
      </c>
      <c r="C21" s="180" t="s">
        <v>199</v>
      </c>
    </row>
    <row r="22" spans="1:3" ht="18.5" x14ac:dyDescent="0.45">
      <c r="A22" s="94"/>
      <c r="B22" s="186"/>
      <c r="C22" s="180"/>
    </row>
    <row r="23" spans="1:3" ht="34" x14ac:dyDescent="0.45">
      <c r="A23" s="94" t="s">
        <v>101</v>
      </c>
      <c r="B23" s="185">
        <f>Assumptions!M135</f>
        <v>2760.3489665671245</v>
      </c>
      <c r="C23" s="180" t="s">
        <v>202</v>
      </c>
    </row>
    <row r="24" spans="1:3" ht="18.5" x14ac:dyDescent="0.45">
      <c r="A24" s="94"/>
      <c r="B24" s="186"/>
      <c r="C24" s="180"/>
    </row>
    <row r="25" spans="1:3" ht="18.5" x14ac:dyDescent="0.45">
      <c r="A25" s="94" t="s">
        <v>184</v>
      </c>
      <c r="B25" s="182">
        <f>(B20*B21)/B23</f>
        <v>2124.6190963783661</v>
      </c>
      <c r="C25" s="180"/>
    </row>
    <row r="26" spans="1:3" ht="18.5" x14ac:dyDescent="0.45">
      <c r="A26" s="94"/>
      <c r="B26" s="182"/>
      <c r="C26" s="180"/>
    </row>
    <row r="27" spans="1:3" ht="34" x14ac:dyDescent="0.45">
      <c r="A27" s="94" t="s">
        <v>103</v>
      </c>
      <c r="B27" s="103">
        <f>1.022^11</f>
        <v>1.2704566586717592</v>
      </c>
      <c r="C27" s="180" t="s">
        <v>203</v>
      </c>
    </row>
    <row r="28" spans="1:3" ht="18.5" x14ac:dyDescent="0.45">
      <c r="A28" s="96"/>
      <c r="B28" s="187"/>
      <c r="C28" s="180"/>
    </row>
    <row r="29" spans="1:3" ht="18.5" x14ac:dyDescent="0.45">
      <c r="A29" s="96" t="s">
        <v>181</v>
      </c>
      <c r="B29" s="182">
        <f>B25/B27</f>
        <v>1672.3270974073364</v>
      </c>
      <c r="C29" s="180"/>
    </row>
    <row r="30" spans="1:3" ht="18.5" x14ac:dyDescent="0.45">
      <c r="A30" s="96"/>
      <c r="B30" s="187"/>
      <c r="C30" s="180"/>
    </row>
    <row r="31" spans="1:3" ht="18.5" x14ac:dyDescent="0.45">
      <c r="A31" s="102" t="s">
        <v>187</v>
      </c>
      <c r="B31" s="190"/>
      <c r="C31" s="180"/>
    </row>
    <row r="32" spans="1:3" ht="18.5" x14ac:dyDescent="0.45">
      <c r="A32" s="94"/>
      <c r="B32" s="182"/>
      <c r="C32" s="180"/>
    </row>
    <row r="33" spans="1:3" ht="34" x14ac:dyDescent="0.45">
      <c r="A33" s="94" t="s">
        <v>66</v>
      </c>
      <c r="B33" s="182">
        <f>'Profit and Loss'!AF5</f>
        <v>20234948.776423797</v>
      </c>
      <c r="C33" s="180" t="s">
        <v>201</v>
      </c>
    </row>
    <row r="34" spans="1:3" ht="34" x14ac:dyDescent="0.45">
      <c r="A34" s="94" t="str">
        <f>A21</f>
        <v>Assumed revenue from households</v>
      </c>
      <c r="B34" s="183">
        <f>B21</f>
        <v>0.7</v>
      </c>
      <c r="C34" s="180" t="s">
        <v>199</v>
      </c>
    </row>
    <row r="35" spans="1:3" ht="18.5" x14ac:dyDescent="0.45">
      <c r="A35" s="94"/>
      <c r="B35" s="186"/>
      <c r="C35" s="180"/>
    </row>
    <row r="36" spans="1:3" ht="34" x14ac:dyDescent="0.45">
      <c r="A36" s="94" t="s">
        <v>100</v>
      </c>
      <c r="B36" s="185">
        <f>Assumptions!AG135</f>
        <v>2957.7026069334484</v>
      </c>
      <c r="C36" s="180" t="s">
        <v>202</v>
      </c>
    </row>
    <row r="37" spans="1:3" ht="18.5" x14ac:dyDescent="0.45">
      <c r="A37" s="94"/>
      <c r="B37" s="186"/>
      <c r="C37" s="180"/>
    </row>
    <row r="38" spans="1:3" ht="18.5" x14ac:dyDescent="0.45">
      <c r="A38" s="94" t="s">
        <v>183</v>
      </c>
      <c r="B38" s="182">
        <f>(B33*B34)/B36</f>
        <v>4789.0089119481827</v>
      </c>
      <c r="C38" s="180"/>
    </row>
    <row r="39" spans="1:3" ht="18.5" x14ac:dyDescent="0.45">
      <c r="A39" s="94"/>
      <c r="B39" s="186"/>
      <c r="C39" s="180"/>
    </row>
    <row r="40" spans="1:3" ht="34" x14ac:dyDescent="0.45">
      <c r="A40" s="94" t="s">
        <v>103</v>
      </c>
      <c r="B40" s="103">
        <f>1.022^31</f>
        <v>1.9632597808456462</v>
      </c>
      <c r="C40" s="180" t="s">
        <v>203</v>
      </c>
    </row>
    <row r="41" spans="1:3" ht="18.5" x14ac:dyDescent="0.45">
      <c r="A41" s="96"/>
      <c r="B41" s="187"/>
    </row>
    <row r="42" spans="1:3" ht="18.5" x14ac:dyDescent="0.45">
      <c r="A42" s="96" t="s">
        <v>182</v>
      </c>
      <c r="B42" s="182">
        <f>B38/B40</f>
        <v>2439.3149386910914</v>
      </c>
    </row>
    <row r="43" spans="1:3" x14ac:dyDescent="0.35">
      <c r="B43" s="191"/>
    </row>
    <row r="44" spans="1:3" x14ac:dyDescent="0.35">
      <c r="B44" s="191"/>
    </row>
    <row r="45" spans="1:3" x14ac:dyDescent="0.35">
      <c r="B45" s="191"/>
    </row>
    <row r="46" spans="1:3" x14ac:dyDescent="0.35">
      <c r="B46" s="191"/>
    </row>
    <row r="47" spans="1:3" x14ac:dyDescent="0.35">
      <c r="B47"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5" zoomScaleNormal="85"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197</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139</v>
      </c>
      <c r="C13" s="127">
        <v>3.4587533192984576E-3</v>
      </c>
      <c r="D13" s="128">
        <f t="shared" ref="D13:AG13" si="3">(1+$C$13)^D8</f>
        <v>1.0034587533192985</v>
      </c>
      <c r="E13" s="128">
        <f t="shared" si="3"/>
        <v>1.0069294696131206</v>
      </c>
      <c r="F13" s="128">
        <f t="shared" si="3"/>
        <v>1.0104121902584444</v>
      </c>
      <c r="G13" s="128">
        <f t="shared" si="3"/>
        <v>1.0139069567753602</v>
      </c>
      <c r="H13" s="128">
        <f t="shared" si="3"/>
        <v>1.0174138108275668</v>
      </c>
      <c r="I13" s="128">
        <f t="shared" si="3"/>
        <v>1.0209327942228668</v>
      </c>
      <c r="J13" s="128">
        <f t="shared" si="3"/>
        <v>1.0244639489136658</v>
      </c>
      <c r="K13" s="128">
        <f t="shared" si="3"/>
        <v>1.0280073169974722</v>
      </c>
      <c r="L13" s="128">
        <f t="shared" si="3"/>
        <v>1.0315629407174003</v>
      </c>
      <c r="M13" s="128">
        <f t="shared" si="3"/>
        <v>1.0351308624626718</v>
      </c>
      <c r="N13" s="128">
        <f t="shared" si="3"/>
        <v>1.0387111247691228</v>
      </c>
      <c r="O13" s="128">
        <f t="shared" si="3"/>
        <v>1.04230377031971</v>
      </c>
      <c r="P13" s="128">
        <f t="shared" si="3"/>
        <v>1.0459088419450207</v>
      </c>
      <c r="Q13" s="128">
        <f t="shared" si="3"/>
        <v>1.0495263826237815</v>
      </c>
      <c r="R13" s="128">
        <f t="shared" si="3"/>
        <v>1.0531564354833729</v>
      </c>
      <c r="S13" s="128">
        <f t="shared" si="3"/>
        <v>1.0567990438003412</v>
      </c>
      <c r="T13" s="128">
        <f t="shared" si="3"/>
        <v>1.0604542510009169</v>
      </c>
      <c r="U13" s="128">
        <f t="shared" si="3"/>
        <v>1.0641221006615305</v>
      </c>
      <c r="V13" s="128">
        <f t="shared" si="3"/>
        <v>1.0678026365093325</v>
      </c>
      <c r="W13" s="128">
        <f t="shared" si="3"/>
        <v>1.0714959024227146</v>
      </c>
      <c r="X13" s="128">
        <f t="shared" si="3"/>
        <v>1.0752019424318338</v>
      </c>
      <c r="Y13" s="128">
        <f t="shared" si="3"/>
        <v>1.078920800719136</v>
      </c>
      <c r="Z13" s="128">
        <f t="shared" si="3"/>
        <v>1.0826525216198835</v>
      </c>
      <c r="AA13" s="128">
        <f t="shared" si="3"/>
        <v>1.0863971496226827</v>
      </c>
      <c r="AB13" s="128">
        <f t="shared" si="3"/>
        <v>1.0901547293700167</v>
      </c>
      <c r="AC13" s="128">
        <f t="shared" si="3"/>
        <v>1.0939253056587741</v>
      </c>
      <c r="AD13" s="128">
        <f t="shared" si="3"/>
        <v>1.0977089234407857</v>
      </c>
      <c r="AE13" s="128">
        <f t="shared" si="3"/>
        <v>1.1015056278233599</v>
      </c>
      <c r="AF13" s="128">
        <f t="shared" si="3"/>
        <v>1.10531546406982</v>
      </c>
      <c r="AG13" s="128">
        <f t="shared" si="3"/>
        <v>1.1091384776000432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171</v>
      </c>
      <c r="C17" s="136">
        <f>AVERAGE(C49:C50)</f>
        <v>82850000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41425000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138</v>
      </c>
      <c r="C20" s="137">
        <v>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2737000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1840000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67400000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98299999.999999985</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199068.85953493678</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410615.20530265354</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304842.03241879516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542606.14534745493</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1052989.3964455386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797797.77089649672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1208412.9761991503</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142</v>
      </c>
      <c r="B77" s="179" t="s">
        <v>177</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63277669.223182514</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86153212.204788923</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86</v>
      </c>
      <c r="C82" s="87">
        <f>C79+$C$77</f>
        <v>63277669.223182514</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86</v>
      </c>
      <c r="C83" s="87">
        <f>C80+$C$77</f>
        <v>86153212.204788923</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133</v>
      </c>
      <c r="C85" s="150">
        <v>7200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134</v>
      </c>
      <c r="C86" s="150">
        <v>7200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7200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86</v>
      </c>
      <c r="C89" s="150">
        <f>C82/$C$87</f>
        <v>8788.5651698864604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86</v>
      </c>
      <c r="C90" s="150">
        <f>C83/$C$87</f>
        <v>11965.723917331796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86</v>
      </c>
      <c r="C94" s="87">
        <f>IF(C89&lt;$C$92,C89*$C$87,$C$92*$C$87)</f>
        <v>63277669.223182514</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86</v>
      </c>
      <c r="C95" s="87">
        <f>IF(C90&lt;$C$92,C90*$C$87,$C$92*$C$87)</f>
        <v>86153212.204788923</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86</v>
      </c>
      <c r="C96" s="87">
        <f>AVERAGE(C94:C95)</f>
        <v>74715440.713985711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74715440.713985711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2490514.6904661902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1208412.9761991503</v>
      </c>
      <c r="E111" s="149">
        <f t="shared" si="9"/>
        <v>1208412.9761991503</v>
      </c>
      <c r="F111" s="149">
        <f t="shared" si="9"/>
        <v>1208412.9761991503</v>
      </c>
      <c r="G111" s="149">
        <f t="shared" si="9"/>
        <v>1208412.9761991503</v>
      </c>
      <c r="H111" s="149">
        <f t="shared" si="9"/>
        <v>1208412.9761991503</v>
      </c>
      <c r="I111" s="149">
        <f t="shared" si="9"/>
        <v>1208412.9761991503</v>
      </c>
      <c r="J111" s="149">
        <f t="shared" si="9"/>
        <v>1208412.9761991503</v>
      </c>
      <c r="K111" s="149">
        <f t="shared" si="9"/>
        <v>1208412.9761991503</v>
      </c>
      <c r="L111" s="149">
        <f t="shared" si="9"/>
        <v>1208412.9761991503</v>
      </c>
      <c r="M111" s="149">
        <f t="shared" si="9"/>
        <v>1208412.9761991503</v>
      </c>
      <c r="N111" s="149">
        <f t="shared" si="9"/>
        <v>1208412.9761991503</v>
      </c>
      <c r="O111" s="149">
        <f t="shared" si="9"/>
        <v>1208412.9761991503</v>
      </c>
      <c r="P111" s="149">
        <f t="shared" si="9"/>
        <v>1208412.9761991503</v>
      </c>
      <c r="Q111" s="149">
        <f t="shared" si="9"/>
        <v>1208412.9761991503</v>
      </c>
      <c r="R111" s="149">
        <f t="shared" si="9"/>
        <v>1208412.9761991503</v>
      </c>
      <c r="S111" s="149">
        <f t="shared" si="9"/>
        <v>1208412.9761991503</v>
      </c>
      <c r="T111" s="149">
        <f t="shared" si="9"/>
        <v>1208412.9761991503</v>
      </c>
      <c r="U111" s="149">
        <f t="shared" si="9"/>
        <v>1208412.9761991503</v>
      </c>
      <c r="V111" s="149">
        <f t="shared" si="9"/>
        <v>1208412.9761991503</v>
      </c>
      <c r="W111" s="149">
        <f t="shared" si="9"/>
        <v>1208412.9761991503</v>
      </c>
      <c r="X111" s="149">
        <f t="shared" si="9"/>
        <v>1208412.9761991503</v>
      </c>
      <c r="Y111" s="149">
        <f t="shared" si="9"/>
        <v>1208412.9761991503</v>
      </c>
      <c r="Z111" s="149">
        <f t="shared" si="9"/>
        <v>1208412.9761991503</v>
      </c>
      <c r="AA111" s="149">
        <f t="shared" si="9"/>
        <v>1208412.9761991503</v>
      </c>
      <c r="AB111" s="149">
        <f t="shared" si="9"/>
        <v>1208412.9761991503</v>
      </c>
      <c r="AC111" s="149">
        <f t="shared" si="9"/>
        <v>1208412.9761991503</v>
      </c>
      <c r="AD111" s="149">
        <f t="shared" si="9"/>
        <v>1208412.9761991503</v>
      </c>
      <c r="AE111" s="149">
        <f t="shared" si="9"/>
        <v>1208412.9761991503</v>
      </c>
      <c r="AF111" s="149">
        <f t="shared" si="9"/>
        <v>1208412.9761991503</v>
      </c>
      <c r="AG111" s="149">
        <f t="shared" si="9"/>
        <v>1208412.9761991503</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74715440.713985696</v>
      </c>
      <c r="D113" s="149">
        <f t="shared" ref="D113:AG113" si="10">$C$102</f>
        <v>2490514.6904661902</v>
      </c>
      <c r="E113" s="149">
        <f t="shared" si="10"/>
        <v>2490514.6904661902</v>
      </c>
      <c r="F113" s="149">
        <f t="shared" si="10"/>
        <v>2490514.6904661902</v>
      </c>
      <c r="G113" s="149">
        <f t="shared" si="10"/>
        <v>2490514.6904661902</v>
      </c>
      <c r="H113" s="149">
        <f t="shared" si="10"/>
        <v>2490514.6904661902</v>
      </c>
      <c r="I113" s="149">
        <f t="shared" si="10"/>
        <v>2490514.6904661902</v>
      </c>
      <c r="J113" s="149">
        <f t="shared" si="10"/>
        <v>2490514.6904661902</v>
      </c>
      <c r="K113" s="149">
        <f t="shared" si="10"/>
        <v>2490514.6904661902</v>
      </c>
      <c r="L113" s="149">
        <f t="shared" si="10"/>
        <v>2490514.6904661902</v>
      </c>
      <c r="M113" s="149">
        <f t="shared" si="10"/>
        <v>2490514.6904661902</v>
      </c>
      <c r="N113" s="149">
        <f t="shared" si="10"/>
        <v>2490514.6904661902</v>
      </c>
      <c r="O113" s="149">
        <f t="shared" si="10"/>
        <v>2490514.6904661902</v>
      </c>
      <c r="P113" s="149">
        <f t="shared" si="10"/>
        <v>2490514.6904661902</v>
      </c>
      <c r="Q113" s="149">
        <f t="shared" si="10"/>
        <v>2490514.6904661902</v>
      </c>
      <c r="R113" s="149">
        <f t="shared" si="10"/>
        <v>2490514.6904661902</v>
      </c>
      <c r="S113" s="149">
        <f t="shared" si="10"/>
        <v>2490514.6904661902</v>
      </c>
      <c r="T113" s="149">
        <f t="shared" si="10"/>
        <v>2490514.6904661902</v>
      </c>
      <c r="U113" s="149">
        <f t="shared" si="10"/>
        <v>2490514.6904661902</v>
      </c>
      <c r="V113" s="149">
        <f t="shared" si="10"/>
        <v>2490514.6904661902</v>
      </c>
      <c r="W113" s="149">
        <f t="shared" si="10"/>
        <v>2490514.6904661902</v>
      </c>
      <c r="X113" s="149">
        <f t="shared" si="10"/>
        <v>2490514.6904661902</v>
      </c>
      <c r="Y113" s="149">
        <f t="shared" si="10"/>
        <v>2490514.6904661902</v>
      </c>
      <c r="Z113" s="149">
        <f t="shared" si="10"/>
        <v>2490514.6904661902</v>
      </c>
      <c r="AA113" s="149">
        <f t="shared" si="10"/>
        <v>2490514.6904661902</v>
      </c>
      <c r="AB113" s="149">
        <f t="shared" si="10"/>
        <v>2490514.6904661902</v>
      </c>
      <c r="AC113" s="149">
        <f t="shared" si="10"/>
        <v>2490514.6904661902</v>
      </c>
      <c r="AD113" s="149">
        <f t="shared" si="10"/>
        <v>2490514.6904661902</v>
      </c>
      <c r="AE113" s="149">
        <f t="shared" si="10"/>
        <v>2490514.6904661902</v>
      </c>
      <c r="AF113" s="149">
        <f t="shared" si="10"/>
        <v>2490514.6904661902</v>
      </c>
      <c r="AG113" s="149">
        <f t="shared" si="10"/>
        <v>2490514.6904661902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2490514.6904661902</v>
      </c>
      <c r="E118" s="149">
        <f t="shared" ref="E118:AG118" si="13">E113+E115+E116</f>
        <v>2490514.6904661902</v>
      </c>
      <c r="F118" s="149">
        <f>F113+F115+F116</f>
        <v>2490514.6904661902</v>
      </c>
      <c r="G118" s="149">
        <f t="shared" si="13"/>
        <v>2490514.6904661902</v>
      </c>
      <c r="H118" s="149">
        <f t="shared" si="13"/>
        <v>2490514.6904661902</v>
      </c>
      <c r="I118" s="149">
        <f t="shared" si="13"/>
        <v>2490514.6904661902</v>
      </c>
      <c r="J118" s="149">
        <f t="shared" si="13"/>
        <v>2490514.6904661902</v>
      </c>
      <c r="K118" s="149">
        <f t="shared" si="13"/>
        <v>2490514.6904661902</v>
      </c>
      <c r="L118" s="149">
        <f t="shared" si="13"/>
        <v>2490514.6904661902</v>
      </c>
      <c r="M118" s="149">
        <f t="shared" si="13"/>
        <v>2490514.6904661902</v>
      </c>
      <c r="N118" s="149">
        <f t="shared" si="13"/>
        <v>2490514.6904661902</v>
      </c>
      <c r="O118" s="149">
        <f t="shared" si="13"/>
        <v>2490514.6904661902</v>
      </c>
      <c r="P118" s="149">
        <f t="shared" si="13"/>
        <v>2490514.6904661902</v>
      </c>
      <c r="Q118" s="149">
        <f t="shared" si="13"/>
        <v>2490514.6904661902</v>
      </c>
      <c r="R118" s="149">
        <f t="shared" si="13"/>
        <v>2490514.6904661902</v>
      </c>
      <c r="S118" s="149">
        <f t="shared" si="13"/>
        <v>2490514.6904661902</v>
      </c>
      <c r="T118" s="149">
        <f t="shared" si="13"/>
        <v>2490514.6904661902</v>
      </c>
      <c r="U118" s="149">
        <f t="shared" si="13"/>
        <v>2490514.6904661902</v>
      </c>
      <c r="V118" s="149">
        <f t="shared" si="13"/>
        <v>2490514.6904661902</v>
      </c>
      <c r="W118" s="149">
        <f t="shared" si="13"/>
        <v>2490514.6904661902</v>
      </c>
      <c r="X118" s="149">
        <f t="shared" si="13"/>
        <v>2490514.6904661902</v>
      </c>
      <c r="Y118" s="149">
        <f t="shared" si="13"/>
        <v>2490514.6904661902</v>
      </c>
      <c r="Z118" s="149">
        <f t="shared" si="13"/>
        <v>2490514.6904661902</v>
      </c>
      <c r="AA118" s="149">
        <f t="shared" si="13"/>
        <v>2490514.6904661902</v>
      </c>
      <c r="AB118" s="149">
        <f t="shared" si="13"/>
        <v>2490514.6904661902</v>
      </c>
      <c r="AC118" s="149">
        <f t="shared" si="13"/>
        <v>2490514.6904661902</v>
      </c>
      <c r="AD118" s="149">
        <f t="shared" si="13"/>
        <v>2490514.6904661902</v>
      </c>
      <c r="AE118" s="149">
        <f t="shared" si="13"/>
        <v>2490514.6904661902</v>
      </c>
      <c r="AF118" s="149">
        <f t="shared" si="13"/>
        <v>2490514.6904661902</v>
      </c>
      <c r="AG118" s="149">
        <f t="shared" si="13"/>
        <v>2490514.6904661902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59772.352571188567</v>
      </c>
      <c r="E120" s="149">
        <f>(SUM($D$118:E118)*$C$104/$C$106)+(SUM($D$118:E118)*$C$105/$C$107)</f>
        <v>119544.70514237713</v>
      </c>
      <c r="F120" s="149">
        <f>(SUM($D$118:F118)*$C$104/$C$106)+(SUM($D$118:F118)*$C$105/$C$107)</f>
        <v>179317.05771356574</v>
      </c>
      <c r="G120" s="149">
        <f>(SUM($D$118:G118)*$C$104/$C$106)+(SUM($D$118:G118)*$C$105/$C$107)</f>
        <v>239089.41028475427</v>
      </c>
      <c r="H120" s="149">
        <f>(SUM($D$118:H118)*$C$104/$C$106)+(SUM($D$118:H118)*$C$105/$C$107)</f>
        <v>298861.76285594283</v>
      </c>
      <c r="I120" s="149">
        <f>(SUM($D$118:I118)*$C$104/$C$106)+(SUM($D$118:I118)*$C$105/$C$107)</f>
        <v>358634.11542713136</v>
      </c>
      <c r="J120" s="149">
        <f>(SUM($D$118:J118)*$C$104/$C$106)+(SUM($D$118:J118)*$C$105/$C$107)</f>
        <v>418406.46799831995</v>
      </c>
      <c r="K120" s="149">
        <f>(SUM($D$118:K118)*$C$104/$C$106)+(SUM($D$118:K118)*$C$105/$C$107)</f>
        <v>478178.82056950853</v>
      </c>
      <c r="L120" s="149">
        <f>(SUM($D$118:L118)*$C$104/$C$106)+(SUM($D$118:L118)*$C$105/$C$107)</f>
        <v>537951.17314069706</v>
      </c>
      <c r="M120" s="149">
        <f>(SUM($D$118:M118)*$C$104/$C$106)+(SUM($D$118:M118)*$C$105/$C$107)</f>
        <v>597723.52571188577</v>
      </c>
      <c r="N120" s="149">
        <f>(SUM($D$118:N118)*$C$104/$C$106)+(SUM($D$118:N118)*$C$105/$C$107)</f>
        <v>657495.87828307424</v>
      </c>
      <c r="O120" s="149">
        <f>(SUM($D$118:O118)*$C$104/$C$106)+(SUM($D$118:O118)*$C$105/$C$107)</f>
        <v>717268.23085426295</v>
      </c>
      <c r="P120" s="149">
        <f>(SUM($D$118:P118)*$C$104/$C$106)+(SUM($D$118:P118)*$C$105/$C$107)</f>
        <v>777040.58342545154</v>
      </c>
      <c r="Q120" s="149">
        <f>(SUM($D$118:Q118)*$C$104/$C$106)+(SUM($D$118:Q118)*$C$105/$C$107)</f>
        <v>836812.93599664001</v>
      </c>
      <c r="R120" s="149">
        <f>(SUM($D$118:R118)*$C$104/$C$106)+(SUM($D$118:R118)*$C$105/$C$107)</f>
        <v>896585.28856782848</v>
      </c>
      <c r="S120" s="149">
        <f>(SUM($D$118:S118)*$C$104/$C$106)+(SUM($D$118:S118)*$C$105/$C$107)</f>
        <v>956357.64113901707</v>
      </c>
      <c r="T120" s="149">
        <f>(SUM($D$118:T118)*$C$104/$C$106)+(SUM($D$118:T118)*$C$105/$C$107)</f>
        <v>1016129.9937102057</v>
      </c>
      <c r="U120" s="149">
        <f>(SUM($D$118:U118)*$C$104/$C$106)+(SUM($D$118:U118)*$C$105/$C$107)</f>
        <v>1075902.3462813941</v>
      </c>
      <c r="V120" s="149">
        <f>(SUM($D$118:V118)*$C$104/$C$106)+(SUM($D$118:V118)*$C$105/$C$107)</f>
        <v>1135674.6988525826</v>
      </c>
      <c r="W120" s="149">
        <f>(SUM($D$118:W118)*$C$104/$C$106)+(SUM($D$118:W118)*$C$105/$C$107)</f>
        <v>1195447.0514237711</v>
      </c>
      <c r="X120" s="149">
        <f>(SUM($D$118:X118)*$C$104/$C$106)+(SUM($D$118:X118)*$C$105/$C$107)</f>
        <v>1255219.4039949595</v>
      </c>
      <c r="Y120" s="149">
        <f>(SUM($D$118:Y118)*$C$104/$C$106)+(SUM($D$118:Y118)*$C$105/$C$107)</f>
        <v>1314991.7565661483</v>
      </c>
      <c r="Z120" s="149">
        <f>(SUM($D$118:Z118)*$C$104/$C$106)+(SUM($D$118:Z118)*$C$105/$C$107)</f>
        <v>1374764.1091373367</v>
      </c>
      <c r="AA120" s="149">
        <f>(SUM($D$118:AA118)*$C$104/$C$106)+(SUM($D$118:AA118)*$C$105/$C$107)</f>
        <v>1434536.461708525</v>
      </c>
      <c r="AB120" s="149">
        <f>(SUM($D$118:AB118)*$C$104/$C$106)+(SUM($D$118:AB118)*$C$105/$C$107)</f>
        <v>1494308.8142797137</v>
      </c>
      <c r="AC120" s="149">
        <f>(SUM($D$118:AC118)*$C$104/$C$106)+(SUM($D$118:AC118)*$C$105/$C$107)</f>
        <v>1554081.1668509021</v>
      </c>
      <c r="AD120" s="149">
        <f>(SUM($D$118:AD118)*$C$104/$C$106)+(SUM($D$118:AD118)*$C$105/$C$107)</f>
        <v>1613853.5194220906</v>
      </c>
      <c r="AE120" s="149">
        <f>(SUM($D$118:AE118)*$C$104/$C$106)+(SUM($D$118:AE118)*$C$105/$C$107)</f>
        <v>1673625.8719932793</v>
      </c>
      <c r="AF120" s="149">
        <f>(SUM($D$118:AF118)*$C$104/$C$106)+(SUM($D$118:AF118)*$C$105/$C$107)</f>
        <v>1733398.224564468</v>
      </c>
      <c r="AG120" s="149">
        <f>(SUM($D$118:AG118)*$C$104/$C$106)+(SUM($D$118:AG118)*$C$105/$C$107)</f>
        <v>1793170.5771356567</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74715.440713985707</v>
      </c>
      <c r="E122" s="72">
        <f>(SUM($D$118:E118)*$C$109)</f>
        <v>149430.88142797141</v>
      </c>
      <c r="F122" s="72">
        <f>(SUM($D$118:F118)*$C$109)</f>
        <v>224146.32214195712</v>
      </c>
      <c r="G122" s="72">
        <f>(SUM($D$118:G118)*$C$109)</f>
        <v>298861.76285594283</v>
      </c>
      <c r="H122" s="72">
        <f>(SUM($D$118:H118)*$C$109)</f>
        <v>373577.20356992853</v>
      </c>
      <c r="I122" s="72">
        <f>(SUM($D$118:I118)*$C$109)</f>
        <v>448292.64428391418</v>
      </c>
      <c r="J122" s="72">
        <f>(SUM($D$118:J118)*$C$109)</f>
        <v>523008.08499789989</v>
      </c>
      <c r="K122" s="72">
        <f>(SUM($D$118:K118)*$C$109)</f>
        <v>597723.52571188565</v>
      </c>
      <c r="L122" s="72">
        <f>(SUM($D$118:L118)*$C$109)</f>
        <v>672438.96642587136</v>
      </c>
      <c r="M122" s="72">
        <f>(SUM($D$118:M118)*$C$109)</f>
        <v>747154.40713985707</v>
      </c>
      <c r="N122" s="72">
        <f>(SUM($D$118:N118)*$C$109)</f>
        <v>821869.84785384289</v>
      </c>
      <c r="O122" s="72">
        <f>(SUM($D$118:O118)*$C$109)</f>
        <v>896585.2885678286</v>
      </c>
      <c r="P122" s="72">
        <f>(SUM($D$118:P118)*$C$109)</f>
        <v>971300.7292818143</v>
      </c>
      <c r="Q122" s="72">
        <f>(SUM($D$118:Q118)*$C$109)</f>
        <v>1046016.1699958</v>
      </c>
      <c r="R122" s="72">
        <f>(SUM($D$118:R118)*$C$109)</f>
        <v>1120731.6107097857</v>
      </c>
      <c r="S122" s="72">
        <f>(SUM($D$118:S118)*$C$109)</f>
        <v>1195447.0514237713</v>
      </c>
      <c r="T122" s="72">
        <f>(SUM($D$118:T118)*$C$109)</f>
        <v>1270162.4921377569</v>
      </c>
      <c r="U122" s="72">
        <f>(SUM($D$118:U118)*$C$109)</f>
        <v>1344877.9328517425</v>
      </c>
      <c r="V122" s="72">
        <f>(SUM($D$118:V118)*$C$109)</f>
        <v>1419593.3735657281</v>
      </c>
      <c r="W122" s="72">
        <f>(SUM($D$118:W118)*$C$109)</f>
        <v>1494308.8142797139</v>
      </c>
      <c r="X122" s="72">
        <f>(SUM($D$118:X118)*$C$109)</f>
        <v>1569024.2549936995</v>
      </c>
      <c r="Y122" s="72">
        <f>(SUM($D$118:Y118)*$C$109)</f>
        <v>1643739.6957076851</v>
      </c>
      <c r="Z122" s="72">
        <f>(SUM($D$118:Z118)*$C$109)</f>
        <v>1718455.1364216707</v>
      </c>
      <c r="AA122" s="72">
        <f>(SUM($D$118:AA118)*$C$109)</f>
        <v>1793170.5771356563</v>
      </c>
      <c r="AB122" s="72">
        <f>(SUM($D$118:AB118)*$C$109)</f>
        <v>1867886.0178496421</v>
      </c>
      <c r="AC122" s="72">
        <f>(SUM($D$118:AC118)*$C$109)</f>
        <v>1942601.4585636277</v>
      </c>
      <c r="AD122" s="72">
        <f>(SUM($D$118:AD118)*$C$109)</f>
        <v>2017316.8992776133</v>
      </c>
      <c r="AE122" s="72">
        <f>(SUM($D$118:AE118)*$C$109)</f>
        <v>2092032.3399915991</v>
      </c>
      <c r="AF122" s="72">
        <f>(SUM($D$118:AF118)*$C$109)</f>
        <v>2166747.7807055851</v>
      </c>
      <c r="AG122" s="72">
        <f>(SUM($D$118:AG118)*$C$109)</f>
        <v>2241463.221419571</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133</v>
      </c>
      <c r="C126" s="126">
        <v>7200</v>
      </c>
      <c r="D126" s="140"/>
    </row>
    <row r="127" spans="1:33" x14ac:dyDescent="0.35">
      <c r="A127" s="77" t="s">
        <v>152</v>
      </c>
      <c r="B127" s="77" t="s">
        <v>134</v>
      </c>
      <c r="C127" s="126">
        <v>7200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7200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2666.6666666666665</v>
      </c>
      <c r="D135" s="157">
        <f t="shared" ref="D135:AG135" si="14">$C$135*D13</f>
        <v>2675.8900088514624</v>
      </c>
      <c r="E135" s="157">
        <f t="shared" si="14"/>
        <v>2685.1452523016546</v>
      </c>
      <c r="F135" s="157">
        <f t="shared" si="14"/>
        <v>2694.4325073558516</v>
      </c>
      <c r="G135" s="157">
        <f t="shared" si="14"/>
        <v>2703.751884734294</v>
      </c>
      <c r="H135" s="157">
        <f t="shared" si="14"/>
        <v>2713.1034955401778</v>
      </c>
      <c r="I135" s="157">
        <f t="shared" si="14"/>
        <v>2722.4874512609777</v>
      </c>
      <c r="J135" s="157">
        <f t="shared" si="14"/>
        <v>2731.9038637697754</v>
      </c>
      <c r="K135" s="157">
        <f t="shared" si="14"/>
        <v>2741.3528453265922</v>
      </c>
      <c r="L135" s="157">
        <f t="shared" si="14"/>
        <v>2750.8345085797341</v>
      </c>
      <c r="M135" s="157">
        <f t="shared" si="14"/>
        <v>2760.3489665671245</v>
      </c>
      <c r="N135" s="157">
        <f t="shared" si="14"/>
        <v>2769.8963327176607</v>
      </c>
      <c r="O135" s="157">
        <f t="shared" si="14"/>
        <v>2779.47672085256</v>
      </c>
      <c r="P135" s="157">
        <f t="shared" si="14"/>
        <v>2789.0902451867214</v>
      </c>
      <c r="Q135" s="157">
        <f t="shared" si="14"/>
        <v>2798.7370203300839</v>
      </c>
      <c r="R135" s="157">
        <f t="shared" si="14"/>
        <v>2808.4171612889941</v>
      </c>
      <c r="S135" s="157">
        <f t="shared" si="14"/>
        <v>2818.1307834675763</v>
      </c>
      <c r="T135" s="157">
        <f t="shared" si="14"/>
        <v>2827.8780026691115</v>
      </c>
      <c r="U135" s="157">
        <f t="shared" si="14"/>
        <v>2837.6589350974145</v>
      </c>
      <c r="V135" s="157">
        <f t="shared" si="14"/>
        <v>2847.4736973582199</v>
      </c>
      <c r="W135" s="157">
        <f t="shared" si="14"/>
        <v>2857.3224064605724</v>
      </c>
      <c r="X135" s="157">
        <f t="shared" si="14"/>
        <v>2867.2051798182233</v>
      </c>
      <c r="Y135" s="157">
        <f t="shared" si="14"/>
        <v>2877.1221352510292</v>
      </c>
      <c r="Z135" s="157">
        <f t="shared" si="14"/>
        <v>2887.0733909863557</v>
      </c>
      <c r="AA135" s="157">
        <f t="shared" si="14"/>
        <v>2897.0590656604872</v>
      </c>
      <c r="AB135" s="157">
        <f t="shared" si="14"/>
        <v>2907.0792783200445</v>
      </c>
      <c r="AC135" s="157">
        <f t="shared" si="14"/>
        <v>2917.1341484233976</v>
      </c>
      <c r="AD135" s="157">
        <f t="shared" si="14"/>
        <v>2927.2237958420951</v>
      </c>
      <c r="AE135" s="157">
        <f t="shared" si="14"/>
        <v>2937.3483408622928</v>
      </c>
      <c r="AF135" s="157">
        <f t="shared" si="14"/>
        <v>2947.5079041861864</v>
      </c>
      <c r="AG135" s="157">
        <f t="shared" si="14"/>
        <v>2957.7026069334484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0.2</v>
      </c>
      <c r="F4" s="65">
        <v>0.15</v>
      </c>
      <c r="G4" s="65">
        <v>0.12</v>
      </c>
      <c r="H4" s="65">
        <v>0.1</v>
      </c>
      <c r="I4" s="65">
        <v>0.1</v>
      </c>
      <c r="J4" s="65">
        <v>0.1</v>
      </c>
      <c r="K4" s="65">
        <v>0.1</v>
      </c>
      <c r="L4" s="65">
        <v>0.1</v>
      </c>
      <c r="M4" s="65">
        <v>0.1</v>
      </c>
      <c r="N4" s="65">
        <v>0.08</v>
      </c>
      <c r="O4" s="65">
        <v>0.08</v>
      </c>
      <c r="P4" s="65">
        <v>0.06</v>
      </c>
      <c r="Q4" s="65">
        <v>0.06</v>
      </c>
      <c r="R4" s="65">
        <v>0.06</v>
      </c>
      <c r="S4" s="65">
        <v>0.06</v>
      </c>
      <c r="T4" s="65">
        <v>0.05</v>
      </c>
      <c r="U4" s="65">
        <v>0.05</v>
      </c>
      <c r="V4" s="65">
        <v>0.04</v>
      </c>
      <c r="W4" s="65">
        <v>0.04</v>
      </c>
      <c r="X4" s="65">
        <v>0.04</v>
      </c>
      <c r="Y4" s="65">
        <v>0.04</v>
      </c>
      <c r="Z4" s="65">
        <v>0.04</v>
      </c>
      <c r="AA4" s="65">
        <v>0.04</v>
      </c>
      <c r="AB4" s="65">
        <v>0.04</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2.4957743516978708</v>
      </c>
      <c r="C6" s="25"/>
      <c r="D6" s="25"/>
      <c r="E6" s="27">
        <f>'Debt worksheet'!C5/'Profit and Loss'!C5</f>
        <v>0</v>
      </c>
      <c r="F6" s="28">
        <f ca="1">'Debt worksheet'!D5/'Profit and Loss'!D5</f>
        <v>0.69386338315562746</v>
      </c>
      <c r="G6" s="28">
        <f ca="1">'Debt worksheet'!E5/'Profit and Loss'!E5</f>
        <v>1.2106673258044929</v>
      </c>
      <c r="H6" s="28">
        <f ca="1">'Debt worksheet'!F5/'Profit and Loss'!F5</f>
        <v>1.6224563991532255</v>
      </c>
      <c r="I6" s="28">
        <f ca="1">'Debt worksheet'!G5/'Profit and Loss'!G5</f>
        <v>1.9430533348061276</v>
      </c>
      <c r="J6" s="28">
        <f ca="1">'Debt worksheet'!H5/'Profit and Loss'!H5</f>
        <v>2.1803206266676134</v>
      </c>
      <c r="K6" s="28">
        <f ca="1">'Debt worksheet'!I5/'Profit and Loss'!I5</f>
        <v>2.3416436986089311</v>
      </c>
      <c r="L6" s="28">
        <f ca="1">'Debt worksheet'!J5/'Profit and Loss'!J5</f>
        <v>2.4339482009157756</v>
      </c>
      <c r="M6" s="28">
        <f ca="1">'Debt worksheet'!K5/'Profit and Loss'!K5</f>
        <v>2.4637179133386256</v>
      </c>
      <c r="N6" s="28">
        <f ca="1">'Debt worksheet'!L5/'Profit and Loss'!L5</f>
        <v>2.4821429119535505</v>
      </c>
      <c r="O6" s="28">
        <f ca="1">'Debt worksheet'!M5/'Profit and Loss'!M5</f>
        <v>2.4653937760054441</v>
      </c>
      <c r="P6" s="28">
        <f ca="1">'Debt worksheet'!N5/'Profit and Loss'!N5</f>
        <v>2.4612267341661345</v>
      </c>
      <c r="Q6" s="28">
        <f ca="1">'Debt worksheet'!O5/'Profit and Loss'!O5</f>
        <v>2.4423451016361346</v>
      </c>
      <c r="R6" s="28">
        <f ca="1">'Debt worksheet'!P5/'Profit and Loss'!P5</f>
        <v>2.4089298602565252</v>
      </c>
      <c r="S6" s="28">
        <f ca="1">'Debt worksheet'!Q5/'Profit and Loss'!Q5</f>
        <v>2.3611895976665567</v>
      </c>
      <c r="T6" s="28">
        <f ca="1">'Debt worksheet'!R5/'Profit and Loss'!R5</f>
        <v>2.3212563729867797</v>
      </c>
      <c r="U6" s="28">
        <f ca="1">'Debt worksheet'!S5/'Profit and Loss'!S5</f>
        <v>2.2756144571651524</v>
      </c>
      <c r="V6" s="28">
        <f ca="1">'Debt worksheet'!T5/'Profit and Loss'!T5</f>
        <v>2.2454494999830139</v>
      </c>
      <c r="W6" s="28">
        <f ca="1">'Debt worksheet'!U5/'Profit and Loss'!U5</f>
        <v>2.2178395437832474</v>
      </c>
      <c r="X6" s="28">
        <f ca="1">'Debt worksheet'!V5/'Profit and Loss'!V5</f>
        <v>2.1924588070295079</v>
      </c>
      <c r="Y6" s="28">
        <f ca="1">'Debt worksheet'!W5/'Profit and Loss'!W5</f>
        <v>2.168993916510531</v>
      </c>
      <c r="Z6" s="28">
        <f ca="1">'Debt worksheet'!X5/'Profit and Loss'!X5</f>
        <v>2.1471435434660515</v>
      </c>
      <c r="AA6" s="28">
        <f ca="1">'Debt worksheet'!Y5/'Profit and Loss'!Y5</f>
        <v>2.1266180493566234</v>
      </c>
      <c r="AB6" s="28">
        <f ca="1">'Debt worksheet'!Z5/'Profit and Loss'!Z5</f>
        <v>2.1071391410341938</v>
      </c>
      <c r="AC6" s="28">
        <f ca="1">'Debt worksheet'!AA5/'Profit and Loss'!AA5</f>
        <v>2.1252222274748269</v>
      </c>
      <c r="AD6" s="28">
        <f ca="1">'Debt worksheet'!AB5/'Profit and Loss'!AB5</f>
        <v>2.1616268111863883</v>
      </c>
      <c r="AE6" s="28">
        <f ca="1">'Debt worksheet'!AC5/'Profit and Loss'!AC5</f>
        <v>2.2166155525665827</v>
      </c>
      <c r="AF6" s="28">
        <f ca="1">'Debt worksheet'!AD5/'Profit and Loss'!AD5</f>
        <v>2.290455160440291</v>
      </c>
      <c r="AG6" s="28">
        <f ca="1">'Debt worksheet'!AE5/'Profit and Loss'!AE5</f>
        <v>2.3834164417269337</v>
      </c>
      <c r="AH6" s="28">
        <f ca="1">'Debt worksheet'!AF5/'Profit and Loss'!AF5</f>
        <v>2.4957743516978708</v>
      </c>
      <c r="AI6" s="31"/>
    </row>
    <row r="7" spans="1:35" ht="21" x14ac:dyDescent="0.5">
      <c r="A7" s="19" t="s">
        <v>38</v>
      </c>
      <c r="B7" s="26" t="e">
        <f ca="1">MIN('Price and Financial ratios'!E7:AH7)</f>
        <v>#DIV/0!</v>
      </c>
      <c r="C7" s="26"/>
      <c r="D7" s="26"/>
      <c r="E7" s="56" t="e">
        <f ca="1">'Cash Flow'!C7/'Debt worksheet'!C5</f>
        <v>#DIV/0!</v>
      </c>
      <c r="F7" s="32">
        <f ca="1">'Cash Flow'!D7/'Debt worksheet'!D5</f>
        <v>0.58011071643984369</v>
      </c>
      <c r="G7" s="32">
        <f ca="1">'Cash Flow'!E7/'Debt worksheet'!E5</f>
        <v>0.34447276630396895</v>
      </c>
      <c r="H7" s="32">
        <f ca="1">'Cash Flow'!F7/'Debt worksheet'!F5</f>
        <v>0.26161047794178943</v>
      </c>
      <c r="I7" s="32">
        <f ca="1">'Cash Flow'!G7/'Debt worksheet'!G5</f>
        <v>0.22387409030150271</v>
      </c>
      <c r="J7" s="32">
        <f ca="1">'Cash Flow'!H7/'Debt worksheet'!H5</f>
        <v>0.20561350539720941</v>
      </c>
      <c r="K7" s="32">
        <f ca="1">'Cash Flow'!I7/'Debt worksheet'!I5</f>
        <v>0.19815764467966229</v>
      </c>
      <c r="L7" s="32">
        <f ca="1">'Cash Flow'!J7/'Debt worksheet'!J5</f>
        <v>0.19795570028055445</v>
      </c>
      <c r="M7" s="17">
        <f ca="1">'Cash Flow'!K7/'Debt worksheet'!K5</f>
        <v>0.20351769293911948</v>
      </c>
      <c r="N7" s="17">
        <f ca="1">'Cash Flow'!L7/'Debt worksheet'!L5</f>
        <v>0.20668616208512305</v>
      </c>
      <c r="O7" s="17">
        <f ca="1">'Cash Flow'!M7/'Debt worksheet'!M5</f>
        <v>0.21333264119094025</v>
      </c>
      <c r="P7" s="17">
        <f ca="1">'Cash Flow'!N7/'Debt worksheet'!N5</f>
        <v>0.21562365404003142</v>
      </c>
      <c r="Q7" s="17">
        <f ca="1">'Cash Flow'!O7/'Debt worksheet'!O5</f>
        <v>0.21956615321581635</v>
      </c>
      <c r="R7" s="17">
        <f ca="1">'Cash Flow'!P7/'Debt worksheet'!P5</f>
        <v>0.22523986794885995</v>
      </c>
      <c r="S7" s="17">
        <f ca="1">'Cash Flow'!Q7/'Debt worksheet'!Q5</f>
        <v>0.2327881175979877</v>
      </c>
      <c r="T7" s="17">
        <f ca="1">'Cash Flow'!R7/'Debt worksheet'!R5</f>
        <v>0.23817803056417663</v>
      </c>
      <c r="U7" s="17">
        <f ca="1">'Cash Flow'!S7/'Debt worksheet'!S5</f>
        <v>0.24456677073691901</v>
      </c>
      <c r="V7" s="17">
        <f ca="1">'Cash Flow'!T7/'Debt worksheet'!T5</f>
        <v>0.24764617674673964</v>
      </c>
      <c r="W7" s="17">
        <f ca="1">'Cash Flow'!U7/'Debt worksheet'!U5</f>
        <v>0.25057991383113226</v>
      </c>
      <c r="X7" s="17">
        <f ca="1">'Cash Flow'!V7/'Debt worksheet'!V5</f>
        <v>0.2533913740740863</v>
      </c>
      <c r="Y7" s="17">
        <f ca="1">'Cash Flow'!W7/'Debt worksheet'!W5</f>
        <v>0.25610602459023613</v>
      </c>
      <c r="Z7" s="17">
        <f ca="1">'Cash Flow'!X7/'Debt worksheet'!X5</f>
        <v>0.25875109078892594</v>
      </c>
      <c r="AA7" s="17">
        <f ca="1">'Cash Flow'!Y7/'Debt worksheet'!Y5</f>
        <v>0.26135527952175719</v>
      </c>
      <c r="AB7" s="17">
        <f ca="1">'Cash Flow'!Z7/'Debt worksheet'!Z5</f>
        <v>0.26394855261534012</v>
      </c>
      <c r="AC7" s="17">
        <f ca="1">'Cash Flow'!AA7/'Debt worksheet'!AA5</f>
        <v>0.25797400013628646</v>
      </c>
      <c r="AD7" s="17">
        <f ca="1">'Cash Flow'!AB7/'Debt worksheet'!AB5</f>
        <v>0.24967698338329783</v>
      </c>
      <c r="AE7" s="17">
        <f ca="1">'Cash Flow'!AC7/'Debt worksheet'!AC5</f>
        <v>0.2393449099480299</v>
      </c>
      <c r="AF7" s="17">
        <f ca="1">'Cash Flow'!AD7/'Debt worksheet'!AD5</f>
        <v>0.227345064068567</v>
      </c>
      <c r="AG7" s="17">
        <f ca="1">'Cash Flow'!AE7/'Debt worksheet'!AE5</f>
        <v>0.214088655118923</v>
      </c>
      <c r="AH7" s="17">
        <f ca="1">'Cash Flow'!AF7/'Debt worksheet'!AF5</f>
        <v>0.199994690686254</v>
      </c>
      <c r="AI7" s="29"/>
    </row>
    <row r="8" spans="1:35" ht="21" x14ac:dyDescent="0.5">
      <c r="A8" s="19" t="s">
        <v>33</v>
      </c>
      <c r="B8" s="26">
        <f ca="1">MAX('Price and Financial ratios'!E8:AH8)</f>
        <v>0.34519151712346746</v>
      </c>
      <c r="C8" s="26"/>
      <c r="D8" s="176"/>
      <c r="E8" s="17">
        <f>'Balance Sheet'!B11/'Balance Sheet'!B8</f>
        <v>0</v>
      </c>
      <c r="F8" s="17">
        <f ca="1">'Balance Sheet'!C11/'Balance Sheet'!C8</f>
        <v>6.6068935914527865E-2</v>
      </c>
      <c r="G8" s="17">
        <f ca="1">'Balance Sheet'!D11/'Balance Sheet'!D8</f>
        <v>0.12180782188339007</v>
      </c>
      <c r="H8" s="17">
        <f ca="1">'Balance Sheet'!E11/'Balance Sheet'!E8</f>
        <v>0.16971436712077731</v>
      </c>
      <c r="I8" s="17">
        <f ca="1">'Balance Sheet'!F11/'Balance Sheet'!F8</f>
        <v>0.2116661574780401</v>
      </c>
      <c r="J8" s="17">
        <f ca="1">'Balance Sheet'!G11/'Balance Sheet'!G8</f>
        <v>0.24772764345798223</v>
      </c>
      <c r="K8" s="17">
        <f ca="1">'Balance Sheet'!H11/'Balance Sheet'!H8</f>
        <v>0.27789180943014774</v>
      </c>
      <c r="L8" s="17">
        <f ca="1">'Balance Sheet'!I11/'Balance Sheet'!I8</f>
        <v>0.3020879835515099</v>
      </c>
      <c r="M8" s="17">
        <f ca="1">'Balance Sheet'!J11/'Balance Sheet'!J8</f>
        <v>0.32018764421469492</v>
      </c>
      <c r="N8" s="17">
        <f ca="1">'Balance Sheet'!K11/'Balance Sheet'!K8</f>
        <v>0.33200866225434389</v>
      </c>
      <c r="O8" s="17">
        <f ca="1">'Balance Sheet'!L11/'Balance Sheet'!L8</f>
        <v>0.33975858302500089</v>
      </c>
      <c r="P8" s="17">
        <f ca="1">'Balance Sheet'!M11/'Balance Sheet'!M8</f>
        <v>0.34332155527767882</v>
      </c>
      <c r="Q8" s="17">
        <f ca="1">'Balance Sheet'!N11/'Balance Sheet'!N8</f>
        <v>0.34515609768197142</v>
      </c>
      <c r="R8" s="17">
        <f ca="1">'Balance Sheet'!O11/'Balance Sheet'!O8</f>
        <v>0.34519151712346746</v>
      </c>
      <c r="S8" s="17">
        <f ca="1">'Balance Sheet'!P11/'Balance Sheet'!P8</f>
        <v>0.34335189476746564</v>
      </c>
      <c r="T8" s="17">
        <f ca="1">'Balance Sheet'!Q11/'Balance Sheet'!Q8</f>
        <v>0.3395562614680292</v>
      </c>
      <c r="U8" s="17">
        <f ca="1">'Balance Sheet'!R11/'Balance Sheet'!R8</f>
        <v>0.33509805412563404</v>
      </c>
      <c r="V8" s="17">
        <f ca="1">'Balance Sheet'!S11/'Balance Sheet'!S8</f>
        <v>0.32990720958964476</v>
      </c>
      <c r="W8" s="17">
        <f ca="1">'Balance Sheet'!T11/'Balance Sheet'!T8</f>
        <v>0.32531502712784571</v>
      </c>
      <c r="X8" s="17">
        <f ca="1">'Balance Sheet'!U11/'Balance Sheet'!U8</f>
        <v>0.32125206152228764</v>
      </c>
      <c r="Y8" s="17">
        <f ca="1">'Balance Sheet'!V11/'Balance Sheet'!V8</f>
        <v>0.31765391915845947</v>
      </c>
      <c r="Z8" s="17">
        <f ca="1">'Balance Sheet'!W11/'Balance Sheet'!W8</f>
        <v>0.31446061129576336</v>
      </c>
      <c r="AA8" s="17">
        <f ca="1">'Balance Sheet'!X11/'Balance Sheet'!X8</f>
        <v>0.31161599736878565</v>
      </c>
      <c r="AB8" s="17">
        <f ca="1">'Balance Sheet'!Y11/'Balance Sheet'!Y8</f>
        <v>0.30906730397405646</v>
      </c>
      <c r="AC8" s="17">
        <f ca="1">'Balance Sheet'!Z11/'Balance Sheet'!Z8</f>
        <v>0.30676470775073911</v>
      </c>
      <c r="AD8" s="17">
        <f ca="1">'Balance Sheet'!AA11/'Balance Sheet'!AA8</f>
        <v>0.30719009784679546</v>
      </c>
      <c r="AE8" s="17">
        <f ca="1">'Balance Sheet'!AB11/'Balance Sheet'!AB8</f>
        <v>0.31025403014566011</v>
      </c>
      <c r="AF8" s="17">
        <f ca="1">'Balance Sheet'!AC11/'Balance Sheet'!AC8</f>
        <v>0.31587552006958691</v>
      </c>
      <c r="AG8" s="17">
        <f ca="1">'Balance Sheet'!AD11/'Balance Sheet'!AD8</f>
        <v>0.32398117182729924</v>
      </c>
      <c r="AH8" s="17">
        <f ca="1">'Balance Sheet'!AE11/'Balance Sheet'!AE8</f>
        <v>0.33450441225895622</v>
      </c>
      <c r="AI8" s="29"/>
    </row>
    <row r="9" spans="1:35" ht="21.5" thickBot="1" x14ac:dyDescent="0.55000000000000004">
      <c r="A9" s="20" t="s">
        <v>32</v>
      </c>
      <c r="B9" s="21">
        <f ca="1">MIN('Price and Financial ratios'!E9:AH9)</f>
        <v>5.9346920882873935</v>
      </c>
      <c r="C9" s="21"/>
      <c r="D9" s="177"/>
      <c r="E9" s="21">
        <f ca="1">('Cash Flow'!C7+'Profit and Loss'!C8)/('Profit and Loss'!C8)</f>
        <v>14.425972381636056</v>
      </c>
      <c r="F9" s="21">
        <f ca="1">('Cash Flow'!D7+'Profit and Loss'!D8)/('Profit and Loss'!D8)</f>
        <v>9.4522910495357042</v>
      </c>
      <c r="G9" s="21">
        <f ca="1">('Cash Flow'!E7+'Profit and Loss'!E8)/('Profit and Loss'!E8)</f>
        <v>7.6534427504500888</v>
      </c>
      <c r="H9" s="21">
        <f ca="1">('Cash Flow'!F7+'Profit and Loss'!F8)/('Profit and Loss'!F8)</f>
        <v>6.6543565682291295</v>
      </c>
      <c r="I9" s="21">
        <f ca="1">('Cash Flow'!G7+'Profit and Loss'!G8)/('Profit and Loss'!G8)</f>
        <v>6.1642580741652235</v>
      </c>
      <c r="J9" s="21">
        <f ca="1">('Cash Flow'!H7+'Profit and Loss'!H8)/('Profit and Loss'!H8)</f>
        <v>5.9555393753959871</v>
      </c>
      <c r="K9" s="21">
        <f ca="1">('Cash Flow'!I7+'Profit and Loss'!I8)/('Profit and Loss'!I8)</f>
        <v>5.9346920882873935</v>
      </c>
      <c r="L9" s="21">
        <f ca="1">('Cash Flow'!J7+'Profit and Loss'!J8)/('Profit and Loss'!J8)</f>
        <v>6.0620695406122387</v>
      </c>
      <c r="M9" s="21">
        <f ca="1">('Cash Flow'!K7+'Profit and Loss'!K8)/('Profit and Loss'!K8)</f>
        <v>6.3256797045462285</v>
      </c>
      <c r="N9" s="21">
        <f ca="1">('Cash Flow'!L7+'Profit and Loss'!L8)/('Profit and Loss'!L8)</f>
        <v>6.4860601254914698</v>
      </c>
      <c r="O9" s="21">
        <f ca="1">('Cash Flow'!M7+'Profit and Loss'!M8)/('Profit and Loss'!M8)</f>
        <v>6.7400879446501385</v>
      </c>
      <c r="P9" s="21">
        <f ca="1">('Cash Flow'!N7+'Profit and Loss'!N8)/('Profit and Loss'!N8)</f>
        <v>6.8367025384036682</v>
      </c>
      <c r="Q9" s="21">
        <f ca="1">('Cash Flow'!O7+'Profit and Loss'!O8)/('Profit and Loss'!O8)</f>
        <v>6.9796371613709578</v>
      </c>
      <c r="R9" s="21">
        <f ca="1">('Cash Flow'!P7+'Profit and Loss'!P8)/('Profit and Loss'!P8)</f>
        <v>7.1725571905245413</v>
      </c>
      <c r="S9" s="21">
        <f ca="1">('Cash Flow'!Q7+'Profit and Loss'!Q8)/('Profit and Loss'!Q8)</f>
        <v>7.4211333842854801</v>
      </c>
      <c r="T9" s="21">
        <f ca="1">('Cash Flow'!R7+'Profit and Loss'!R8)/('Profit and Loss'!R8)</f>
        <v>7.5882376350153766</v>
      </c>
      <c r="U9" s="21">
        <f ca="1">('Cash Flow'!S7+'Profit and Loss'!S8)/('Profit and Loss'!S8)</f>
        <v>7.7856574454088339</v>
      </c>
      <c r="V9" s="21">
        <f ca="1">('Cash Flow'!T7+'Profit and Loss'!T8)/('Profit and Loss'!T8)</f>
        <v>7.8644206296505468</v>
      </c>
      <c r="W9" s="21">
        <f ca="1">('Cash Flow'!U7+'Profit and Loss'!U8)/('Profit and Loss'!U8)</f>
        <v>7.9397532096071091</v>
      </c>
      <c r="X9" s="21">
        <f ca="1">('Cash Flow'!V7+'Profit and Loss'!V8)/('Profit and Loss'!V8)</f>
        <v>8.0123571241580738</v>
      </c>
      <c r="Y9" s="21">
        <f ca="1">('Cash Flow'!W7+'Profit and Loss'!W8)/('Profit and Loss'!W8)</f>
        <v>8.0829820306987585</v>
      </c>
      <c r="Z9" s="21">
        <f ca="1">('Cash Flow'!X7+'Profit and Loss'!X8)/('Profit and Loss'!X8)</f>
        <v>8.152417608951426</v>
      </c>
      <c r="AA9" s="21">
        <f ca="1">('Cash Flow'!Y7+'Profit and Loss'!Y8)/('Profit and Loss'!Y8)</f>
        <v>8.2214872583889864</v>
      </c>
      <c r="AB9" s="21">
        <f ca="1">('Cash Flow'!Z7+'Profit and Loss'!Z8)/('Profit and Loss'!Z8)</f>
        <v>8.2910434079924613</v>
      </c>
      <c r="AC9" s="21">
        <f ca="1">('Cash Flow'!AA7+'Profit and Loss'!AA8)/('Profit and Loss'!AA8)</f>
        <v>8.0661215389279288</v>
      </c>
      <c r="AD9" s="21">
        <f ca="1">('Cash Flow'!AB7+'Profit and Loss'!AB8)/('Profit and Loss'!AB8)</f>
        <v>7.7834461999981626</v>
      </c>
      <c r="AE9" s="21">
        <f ca="1">('Cash Flow'!AC7+'Profit and Loss'!AC8)/('Profit and Loss'!AC8)</f>
        <v>7.4531879177167406</v>
      </c>
      <c r="AF9" s="21">
        <f ca="1">('Cash Flow'!AD7+'Profit and Loss'!AD8)/('Profit and Loss'!AD8)</f>
        <v>7.0867985278731194</v>
      </c>
      <c r="AG9" s="21">
        <f ca="1">('Cash Flow'!AE7+'Profit and Loss'!AE8)/('Profit and Loss'!AE8)</f>
        <v>6.6959976541125723</v>
      </c>
      <c r="AH9" s="21">
        <f ca="1">('Cash Flow'!AF7+'Profit and Loss'!AF8)/('Profit and Loss'!AF8)</f>
        <v>6.2919006241332278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1208412.9761991503</v>
      </c>
      <c r="D5" s="1">
        <f>Assumptions!E111</f>
        <v>1208412.9761991503</v>
      </c>
      <c r="E5" s="1">
        <f>Assumptions!F111</f>
        <v>1208412.9761991503</v>
      </c>
      <c r="F5" s="1">
        <f>Assumptions!G111</f>
        <v>1208412.9761991503</v>
      </c>
      <c r="G5" s="1">
        <f>Assumptions!H111</f>
        <v>1208412.9761991503</v>
      </c>
      <c r="H5" s="1">
        <f>Assumptions!I111</f>
        <v>1208412.9761991503</v>
      </c>
      <c r="I5" s="1">
        <f>Assumptions!J111</f>
        <v>1208412.9761991503</v>
      </c>
      <c r="J5" s="1">
        <f>Assumptions!K111</f>
        <v>1208412.9761991503</v>
      </c>
      <c r="K5" s="1">
        <f>Assumptions!L111</f>
        <v>1208412.9761991503</v>
      </c>
      <c r="L5" s="1">
        <f>Assumptions!M111</f>
        <v>1208412.9761991503</v>
      </c>
      <c r="M5" s="1">
        <f>Assumptions!N111</f>
        <v>1208412.9761991503</v>
      </c>
      <c r="N5" s="1">
        <f>Assumptions!O111</f>
        <v>1208412.9761991503</v>
      </c>
      <c r="O5" s="1">
        <f>Assumptions!P111</f>
        <v>1208412.9761991503</v>
      </c>
      <c r="P5" s="1">
        <f>Assumptions!Q111</f>
        <v>1208412.9761991503</v>
      </c>
      <c r="Q5" s="1">
        <f>Assumptions!R111</f>
        <v>1208412.9761991503</v>
      </c>
      <c r="R5" s="1">
        <f>Assumptions!S111</f>
        <v>1208412.9761991503</v>
      </c>
      <c r="S5" s="1">
        <f>Assumptions!T111</f>
        <v>1208412.9761991503</v>
      </c>
      <c r="T5" s="1">
        <f>Assumptions!U111</f>
        <v>1208412.9761991503</v>
      </c>
      <c r="U5" s="1">
        <f>Assumptions!V111</f>
        <v>1208412.9761991503</v>
      </c>
      <c r="V5" s="1">
        <f>Assumptions!W111</f>
        <v>1208412.9761991503</v>
      </c>
      <c r="W5" s="1">
        <f>Assumptions!X111</f>
        <v>1208412.9761991503</v>
      </c>
      <c r="X5" s="1">
        <f>Assumptions!Y111</f>
        <v>1208412.9761991503</v>
      </c>
      <c r="Y5" s="1">
        <f>Assumptions!Z111</f>
        <v>1208412.9761991503</v>
      </c>
      <c r="Z5" s="1">
        <f>Assumptions!AA111</f>
        <v>1208412.9761991503</v>
      </c>
      <c r="AA5" s="1">
        <f>Assumptions!AB111</f>
        <v>1208412.9761991503</v>
      </c>
      <c r="AB5" s="1">
        <f>Assumptions!AC111</f>
        <v>1208412.9761991503</v>
      </c>
      <c r="AC5" s="1">
        <f>Assumptions!AD111</f>
        <v>1208412.9761991503</v>
      </c>
      <c r="AD5" s="1">
        <f>Assumptions!AE111</f>
        <v>1208412.9761991503</v>
      </c>
      <c r="AE5" s="1">
        <f>Assumptions!AF111</f>
        <v>1208412.9761991503</v>
      </c>
      <c r="AF5" s="1">
        <f>Assumptions!AG111</f>
        <v>1208412.9761991503</v>
      </c>
    </row>
    <row r="6" spans="1:32" x14ac:dyDescent="0.35">
      <c r="A6" t="s">
        <v>68</v>
      </c>
      <c r="C6" s="1">
        <f>Assumptions!D113</f>
        <v>2490514.6904661902</v>
      </c>
      <c r="D6" s="1">
        <f>Assumptions!E113</f>
        <v>2490514.6904661902</v>
      </c>
      <c r="E6" s="1">
        <f>Assumptions!F113</f>
        <v>2490514.6904661902</v>
      </c>
      <c r="F6" s="1">
        <f>Assumptions!G113</f>
        <v>2490514.6904661902</v>
      </c>
      <c r="G6" s="1">
        <f>Assumptions!H113</f>
        <v>2490514.6904661902</v>
      </c>
      <c r="H6" s="1">
        <f>Assumptions!I113</f>
        <v>2490514.6904661902</v>
      </c>
      <c r="I6" s="1">
        <f>Assumptions!J113</f>
        <v>2490514.6904661902</v>
      </c>
      <c r="J6" s="1">
        <f>Assumptions!K113</f>
        <v>2490514.6904661902</v>
      </c>
      <c r="K6" s="1">
        <f>Assumptions!L113</f>
        <v>2490514.6904661902</v>
      </c>
      <c r="L6" s="1">
        <f>Assumptions!M113</f>
        <v>2490514.6904661902</v>
      </c>
      <c r="M6" s="1">
        <f>Assumptions!N113</f>
        <v>2490514.6904661902</v>
      </c>
      <c r="N6" s="1">
        <f>Assumptions!O113</f>
        <v>2490514.6904661902</v>
      </c>
      <c r="O6" s="1">
        <f>Assumptions!P113</f>
        <v>2490514.6904661902</v>
      </c>
      <c r="P6" s="1">
        <f>Assumptions!Q113</f>
        <v>2490514.6904661902</v>
      </c>
      <c r="Q6" s="1">
        <f>Assumptions!R113</f>
        <v>2490514.6904661902</v>
      </c>
      <c r="R6" s="1">
        <f>Assumptions!S113</f>
        <v>2490514.6904661902</v>
      </c>
      <c r="S6" s="1">
        <f>Assumptions!T113</f>
        <v>2490514.6904661902</v>
      </c>
      <c r="T6" s="1">
        <f>Assumptions!U113</f>
        <v>2490514.6904661902</v>
      </c>
      <c r="U6" s="1">
        <f>Assumptions!V113</f>
        <v>2490514.6904661902</v>
      </c>
      <c r="V6" s="1">
        <f>Assumptions!W113</f>
        <v>2490514.6904661902</v>
      </c>
      <c r="W6" s="1">
        <f>Assumptions!X113</f>
        <v>2490514.6904661902</v>
      </c>
      <c r="X6" s="1">
        <f>Assumptions!Y113</f>
        <v>2490514.6904661902</v>
      </c>
      <c r="Y6" s="1">
        <f>Assumptions!Z113</f>
        <v>2490514.6904661902</v>
      </c>
      <c r="Z6" s="1">
        <f>Assumptions!AA113</f>
        <v>2490514.6904661902</v>
      </c>
      <c r="AA6" s="1">
        <f>Assumptions!AB113</f>
        <v>2490514.6904661902</v>
      </c>
      <c r="AB6" s="1">
        <f>Assumptions!AC113</f>
        <v>2490514.6904661902</v>
      </c>
      <c r="AC6" s="1">
        <f>Assumptions!AD113</f>
        <v>2490514.6904661902</v>
      </c>
      <c r="AD6" s="1">
        <f>Assumptions!AE113</f>
        <v>2490514.6904661902</v>
      </c>
      <c r="AE6" s="1">
        <f>Assumptions!AF113</f>
        <v>2490514.6904661902</v>
      </c>
      <c r="AF6" s="1">
        <f>Assumptions!AG113</f>
        <v>2490514.6904661902</v>
      </c>
    </row>
    <row r="7" spans="1:32" x14ac:dyDescent="0.35">
      <c r="A7" t="s">
        <v>73</v>
      </c>
      <c r="C7" s="1">
        <f>Assumptions!D120</f>
        <v>59772.352571188567</v>
      </c>
      <c r="D7" s="1">
        <f>Assumptions!E120</f>
        <v>119544.70514237713</v>
      </c>
      <c r="E7" s="1">
        <f>Assumptions!F120</f>
        <v>179317.05771356574</v>
      </c>
      <c r="F7" s="1">
        <f>Assumptions!G120</f>
        <v>239089.41028475427</v>
      </c>
      <c r="G7" s="1">
        <f>Assumptions!H120</f>
        <v>298861.76285594283</v>
      </c>
      <c r="H7" s="1">
        <f>Assumptions!I120</f>
        <v>358634.11542713136</v>
      </c>
      <c r="I7" s="1">
        <f>Assumptions!J120</f>
        <v>418406.46799831995</v>
      </c>
      <c r="J7" s="1">
        <f>Assumptions!K120</f>
        <v>478178.82056950853</v>
      </c>
      <c r="K7" s="1">
        <f>Assumptions!L120</f>
        <v>537951.17314069706</v>
      </c>
      <c r="L7" s="1">
        <f>Assumptions!M120</f>
        <v>597723.52571188577</v>
      </c>
      <c r="M7" s="1">
        <f>Assumptions!N120</f>
        <v>657495.87828307424</v>
      </c>
      <c r="N7" s="1">
        <f>Assumptions!O120</f>
        <v>717268.23085426295</v>
      </c>
      <c r="O7" s="1">
        <f>Assumptions!P120</f>
        <v>777040.58342545154</v>
      </c>
      <c r="P7" s="1">
        <f>Assumptions!Q120</f>
        <v>836812.93599664001</v>
      </c>
      <c r="Q7" s="1">
        <f>Assumptions!R120</f>
        <v>896585.28856782848</v>
      </c>
      <c r="R7" s="1">
        <f>Assumptions!S120</f>
        <v>956357.64113901707</v>
      </c>
      <c r="S7" s="1">
        <f>Assumptions!T120</f>
        <v>1016129.9937102057</v>
      </c>
      <c r="T7" s="1">
        <f>Assumptions!U120</f>
        <v>1075902.3462813941</v>
      </c>
      <c r="U7" s="1">
        <f>Assumptions!V120</f>
        <v>1135674.6988525826</v>
      </c>
      <c r="V7" s="1">
        <f>Assumptions!W120</f>
        <v>1195447.0514237711</v>
      </c>
      <c r="W7" s="1">
        <f>Assumptions!X120</f>
        <v>1255219.4039949595</v>
      </c>
      <c r="X7" s="1">
        <f>Assumptions!Y120</f>
        <v>1314991.7565661483</v>
      </c>
      <c r="Y7" s="1">
        <f>Assumptions!Z120</f>
        <v>1374764.1091373367</v>
      </c>
      <c r="Z7" s="1">
        <f>Assumptions!AA120</f>
        <v>1434536.461708525</v>
      </c>
      <c r="AA7" s="1">
        <f>Assumptions!AB120</f>
        <v>1494308.8142797137</v>
      </c>
      <c r="AB7" s="1">
        <f>Assumptions!AC120</f>
        <v>1554081.1668509021</v>
      </c>
      <c r="AC7" s="1">
        <f>Assumptions!AD120</f>
        <v>1613853.5194220906</v>
      </c>
      <c r="AD7" s="1">
        <f>Assumptions!AE120</f>
        <v>1673625.8719932793</v>
      </c>
      <c r="AE7" s="1">
        <f>Assumptions!AF120</f>
        <v>1733398.224564468</v>
      </c>
      <c r="AF7" s="1">
        <f>Assumptions!AG120</f>
        <v>1793170.5771356567</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1247082.1914375231</v>
      </c>
      <c r="D11" s="1">
        <f>D5*D$9</f>
        <v>1286988.8215635237</v>
      </c>
      <c r="E11" s="1">
        <f t="shared" ref="D11:AF13" si="1">E5*E$9</f>
        <v>1328172.4638535564</v>
      </c>
      <c r="F11" s="1">
        <f t="shared" si="1"/>
        <v>1370673.9826968703</v>
      </c>
      <c r="G11" s="1">
        <f t="shared" si="1"/>
        <v>1414535.5501431704</v>
      </c>
      <c r="H11" s="1">
        <f t="shared" si="1"/>
        <v>1459800.6877477516</v>
      </c>
      <c r="I11" s="1">
        <f t="shared" si="1"/>
        <v>1506514.3097556795</v>
      </c>
      <c r="J11" s="1">
        <f t="shared" si="1"/>
        <v>1554722.7676678614</v>
      </c>
      <c r="K11" s="1">
        <f t="shared" si="1"/>
        <v>1604473.8962332332</v>
      </c>
      <c r="L11" s="1">
        <f t="shared" si="1"/>
        <v>1655817.0609126964</v>
      </c>
      <c r="M11" s="1">
        <f t="shared" si="1"/>
        <v>1708803.2068619027</v>
      </c>
      <c r="N11" s="1">
        <f t="shared" si="1"/>
        <v>1763484.9094814835</v>
      </c>
      <c r="O11" s="1">
        <f t="shared" si="1"/>
        <v>1819916.4265848913</v>
      </c>
      <c r="P11" s="1">
        <f t="shared" si="1"/>
        <v>1878153.7522356075</v>
      </c>
      <c r="Q11" s="1">
        <f t="shared" si="1"/>
        <v>1938254.6723071465</v>
      </c>
      <c r="R11" s="1">
        <f t="shared" si="1"/>
        <v>2000278.8218209757</v>
      </c>
      <c r="S11" s="1">
        <f t="shared" si="1"/>
        <v>2064287.7441192472</v>
      </c>
      <c r="T11" s="1">
        <f t="shared" si="1"/>
        <v>2130344.9519310626</v>
      </c>
      <c r="U11" s="1">
        <f t="shared" si="1"/>
        <v>2198515.9903928563</v>
      </c>
      <c r="V11" s="1">
        <f t="shared" si="1"/>
        <v>2268868.5020854282</v>
      </c>
      <c r="W11" s="1">
        <f t="shared" si="1"/>
        <v>2341472.294152162</v>
      </c>
      <c r="X11" s="1">
        <f t="shared" si="1"/>
        <v>2416399.4075650307</v>
      </c>
      <c r="Y11" s="1">
        <f t="shared" si="1"/>
        <v>2493724.1886071116</v>
      </c>
      <c r="Z11" s="1">
        <f t="shared" si="1"/>
        <v>2573523.3626425392</v>
      </c>
      <c r="AA11" s="1">
        <f t="shared" si="1"/>
        <v>2655876.1102471012</v>
      </c>
      <c r="AB11" s="1">
        <f t="shared" si="1"/>
        <v>2740864.145775008</v>
      </c>
      <c r="AC11" s="1">
        <f t="shared" si="1"/>
        <v>2828571.7984398077</v>
      </c>
      <c r="AD11" s="1">
        <f t="shared" si="1"/>
        <v>2919086.095989882</v>
      </c>
      <c r="AE11" s="1">
        <f t="shared" si="1"/>
        <v>3012496.8510615584</v>
      </c>
      <c r="AF11" s="1">
        <f t="shared" si="1"/>
        <v>3108896.7502955277</v>
      </c>
    </row>
    <row r="12" spans="1:32" x14ac:dyDescent="0.35">
      <c r="A12" t="s">
        <v>71</v>
      </c>
      <c r="C12" s="1">
        <f t="shared" ref="C12:R12" si="2">C6*C$9</f>
        <v>2570211.1605611085</v>
      </c>
      <c r="D12" s="1">
        <f t="shared" si="2"/>
        <v>2652457.9176990637</v>
      </c>
      <c r="E12" s="1">
        <f t="shared" si="2"/>
        <v>2737336.5710654338</v>
      </c>
      <c r="F12" s="1">
        <f t="shared" si="2"/>
        <v>2824931.3413395276</v>
      </c>
      <c r="G12" s="1">
        <f t="shared" si="2"/>
        <v>2915329.1442623925</v>
      </c>
      <c r="H12" s="1">
        <f t="shared" si="2"/>
        <v>3008619.676878789</v>
      </c>
      <c r="I12" s="1">
        <f t="shared" si="2"/>
        <v>3104895.5065389099</v>
      </c>
      <c r="J12" s="1">
        <f t="shared" si="2"/>
        <v>3204252.1627481552</v>
      </c>
      <c r="K12" s="1">
        <f t="shared" si="2"/>
        <v>3306788.2319560964</v>
      </c>
      <c r="L12" s="1">
        <f t="shared" si="2"/>
        <v>3412605.4553786912</v>
      </c>
      <c r="M12" s="1">
        <f t="shared" si="2"/>
        <v>3521808.829950809</v>
      </c>
      <c r="N12" s="1">
        <f t="shared" si="2"/>
        <v>3634506.7125092354</v>
      </c>
      <c r="O12" s="1">
        <f t="shared" si="2"/>
        <v>3750810.9273095313</v>
      </c>
      <c r="P12" s="1">
        <f t="shared" si="2"/>
        <v>3870836.8769834354</v>
      </c>
      <c r="Q12" s="1">
        <f t="shared" si="2"/>
        <v>3994703.6570469048</v>
      </c>
      <c r="R12" s="1">
        <f t="shared" si="2"/>
        <v>4122534.1740724067</v>
      </c>
      <c r="S12" s="1">
        <f t="shared" si="1"/>
        <v>4254455.2676427243</v>
      </c>
      <c r="T12" s="1">
        <f t="shared" si="1"/>
        <v>4390597.8362072902</v>
      </c>
      <c r="U12" s="1">
        <f t="shared" si="1"/>
        <v>4531096.9669659231</v>
      </c>
      <c r="V12" s="1">
        <f t="shared" si="1"/>
        <v>4676092.0699088331</v>
      </c>
      <c r="W12" s="1">
        <f t="shared" si="1"/>
        <v>4825727.0161459167</v>
      </c>
      <c r="X12" s="1">
        <f t="shared" si="1"/>
        <v>4980150.280662585</v>
      </c>
      <c r="Y12" s="1">
        <f t="shared" si="1"/>
        <v>5139515.0896437876</v>
      </c>
      <c r="Z12" s="1">
        <f t="shared" si="1"/>
        <v>5303979.5725123892</v>
      </c>
      <c r="AA12" s="1">
        <f t="shared" si="1"/>
        <v>5473706.9188327864</v>
      </c>
      <c r="AB12" s="1">
        <f t="shared" si="1"/>
        <v>5648865.5402354347</v>
      </c>
      <c r="AC12" s="1">
        <f t="shared" si="1"/>
        <v>5829629.2375229681</v>
      </c>
      <c r="AD12" s="1">
        <f t="shared" si="1"/>
        <v>6016177.3731237035</v>
      </c>
      <c r="AE12" s="1">
        <f t="shared" si="1"/>
        <v>6208695.0490636621</v>
      </c>
      <c r="AF12" s="1">
        <f t="shared" si="1"/>
        <v>6407373.2906336989</v>
      </c>
    </row>
    <row r="13" spans="1:32" x14ac:dyDescent="0.35">
      <c r="A13" t="s">
        <v>74</v>
      </c>
      <c r="C13" s="1">
        <f>C7*C$9</f>
        <v>61685.0678534666</v>
      </c>
      <c r="D13" s="1">
        <f t="shared" si="1"/>
        <v>127317.98004955506</v>
      </c>
      <c r="E13" s="1">
        <f t="shared" si="1"/>
        <v>197088.23311671126</v>
      </c>
      <c r="F13" s="1">
        <f t="shared" si="1"/>
        <v>271193.40876859467</v>
      </c>
      <c r="G13" s="1">
        <f t="shared" si="1"/>
        <v>349839.4973114871</v>
      </c>
      <c r="H13" s="1">
        <f t="shared" si="1"/>
        <v>433241.23347054556</v>
      </c>
      <c r="I13" s="1">
        <f t="shared" si="1"/>
        <v>521622.44509853679</v>
      </c>
      <c r="J13" s="1">
        <f t="shared" si="1"/>
        <v>615216.41524764581</v>
      </c>
      <c r="K13" s="1">
        <f t="shared" si="1"/>
        <v>714266.25810251676</v>
      </c>
      <c r="L13" s="1">
        <f t="shared" si="1"/>
        <v>819025.30929088604</v>
      </c>
      <c r="M13" s="1">
        <f t="shared" si="1"/>
        <v>929757.5311070137</v>
      </c>
      <c r="N13" s="1">
        <f t="shared" si="1"/>
        <v>1046737.9332026599</v>
      </c>
      <c r="O13" s="1">
        <f t="shared" si="1"/>
        <v>1170253.0093205739</v>
      </c>
      <c r="P13" s="1">
        <f t="shared" si="1"/>
        <v>1300601.1906664344</v>
      </c>
      <c r="Q13" s="1">
        <f t="shared" si="1"/>
        <v>1438093.3165368857</v>
      </c>
      <c r="R13" s="1">
        <f t="shared" si="1"/>
        <v>1583053.1228438041</v>
      </c>
      <c r="S13" s="1">
        <f t="shared" si="1"/>
        <v>1735817.7491982314</v>
      </c>
      <c r="T13" s="1">
        <f t="shared" si="1"/>
        <v>1896738.2652415494</v>
      </c>
      <c r="U13" s="1">
        <f t="shared" si="1"/>
        <v>2066180.2169364607</v>
      </c>
      <c r="V13" s="1">
        <f t="shared" si="1"/>
        <v>2244524.1935562398</v>
      </c>
      <c r="W13" s="1">
        <f t="shared" si="1"/>
        <v>2432166.4161375412</v>
      </c>
      <c r="X13" s="1">
        <f t="shared" si="1"/>
        <v>2629519.3481898447</v>
      </c>
      <c r="Y13" s="1">
        <f t="shared" si="1"/>
        <v>2837012.3294833698</v>
      </c>
      <c r="Z13" s="1">
        <f t="shared" si="1"/>
        <v>3055092.2337671346</v>
      </c>
      <c r="AA13" s="1">
        <f t="shared" si="1"/>
        <v>3284224.1512996708</v>
      </c>
      <c r="AB13" s="1">
        <f t="shared" si="1"/>
        <v>3524892.0971069098</v>
      </c>
      <c r="AC13" s="1">
        <f t="shared" si="1"/>
        <v>3777599.7459148816</v>
      </c>
      <c r="AD13" s="1">
        <f t="shared" si="1"/>
        <v>4042871.194739128</v>
      </c>
      <c r="AE13" s="1">
        <f t="shared" si="1"/>
        <v>4321251.7541483082</v>
      </c>
      <c r="AF13" s="1">
        <f t="shared" si="1"/>
        <v>4613308.7692562621</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3878978.4198520985</v>
      </c>
      <c r="D25" s="40">
        <f>SUM(D11:D13,D18:D23)</f>
        <v>4066764.7193121426</v>
      </c>
      <c r="E25" s="40">
        <f t="shared" ref="E25:AF25" si="7">SUM(E11:E13,E18:E23)</f>
        <v>4262597.2680357015</v>
      </c>
      <c r="F25" s="40">
        <f t="shared" si="7"/>
        <v>4466798.7328049922</v>
      </c>
      <c r="G25" s="40">
        <f t="shared" si="7"/>
        <v>4679704.19171705</v>
      </c>
      <c r="H25" s="40">
        <f t="shared" si="7"/>
        <v>4901661.598097086</v>
      </c>
      <c r="I25" s="40">
        <f t="shared" si="7"/>
        <v>5133032.2613931261</v>
      </c>
      <c r="J25" s="40">
        <f t="shared" si="7"/>
        <v>5374191.345663663</v>
      </c>
      <c r="K25" s="40">
        <f t="shared" si="7"/>
        <v>5625528.3862918457</v>
      </c>
      <c r="L25" s="40">
        <f t="shared" si="7"/>
        <v>5887447.8255822733</v>
      </c>
      <c r="M25" s="40">
        <f t="shared" si="7"/>
        <v>6160369.5679197256</v>
      </c>
      <c r="N25" s="40">
        <f t="shared" si="7"/>
        <v>6444729.5551933786</v>
      </c>
      <c r="O25" s="40">
        <f t="shared" si="7"/>
        <v>6740980.3632149966</v>
      </c>
      <c r="P25" s="40">
        <f t="shared" si="7"/>
        <v>7049591.8198854774</v>
      </c>
      <c r="Q25" s="40">
        <f t="shared" si="7"/>
        <v>7371051.6458909372</v>
      </c>
      <c r="R25" s="40">
        <f t="shared" si="7"/>
        <v>7705866.1187371863</v>
      </c>
      <c r="S25" s="40">
        <f t="shared" si="7"/>
        <v>8054560.7609602027</v>
      </c>
      <c r="T25" s="40">
        <f t="shared" si="7"/>
        <v>8417681.0533799008</v>
      </c>
      <c r="U25" s="40">
        <f t="shared" si="7"/>
        <v>8795793.1742952392</v>
      </c>
      <c r="V25" s="40">
        <f t="shared" si="7"/>
        <v>9189484.7655505016</v>
      </c>
      <c r="W25" s="40">
        <f t="shared" si="7"/>
        <v>9599365.7264356203</v>
      </c>
      <c r="X25" s="40">
        <f t="shared" si="7"/>
        <v>10026069.036417462</v>
      </c>
      <c r="Y25" s="40">
        <f t="shared" si="7"/>
        <v>10470251.607734269</v>
      </c>
      <c r="Z25" s="40">
        <f t="shared" si="7"/>
        <v>10932595.168922063</v>
      </c>
      <c r="AA25" s="40">
        <f t="shared" si="7"/>
        <v>11413807.180379558</v>
      </c>
      <c r="AB25" s="40">
        <f t="shared" si="7"/>
        <v>11914621.783117352</v>
      </c>
      <c r="AC25" s="40">
        <f t="shared" si="7"/>
        <v>12435800.781877657</v>
      </c>
      <c r="AD25" s="40">
        <f t="shared" si="7"/>
        <v>12978134.663852712</v>
      </c>
      <c r="AE25" s="40">
        <f t="shared" si="7"/>
        <v>13542443.654273529</v>
      </c>
      <c r="AF25" s="40">
        <f t="shared" si="7"/>
        <v>14129578.810185488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3295759.9294019039</v>
      </c>
      <c r="D5" s="59">
        <f>C5*('Price and Financial ratios'!F4+1)*(1+Assumptions!$C$13)</f>
        <v>3803233.0224969336</v>
      </c>
      <c r="E5" s="59">
        <f>D5*('Price and Financial ratios'!G4+1)*(1+Assumptions!$C$13)</f>
        <v>4274353.9634180684</v>
      </c>
      <c r="F5" s="59">
        <f>E5*('Price and Financial ratios'!H4+1)*(1+Assumptions!$C$13)</f>
        <v>4718051.689314587</v>
      </c>
      <c r="G5" s="59">
        <f>F5*('Price and Financial ratios'!I4+1)*(1+Assumptions!$C$13)</f>
        <v>5207807.2928811889</v>
      </c>
      <c r="H5" s="59">
        <f>G5*('Price and Financial ratios'!J4+1)*(1+Assumptions!$C$13)</f>
        <v>5748401.7950058794</v>
      </c>
      <c r="I5" s="59">
        <f>H5*('Price and Financial ratios'!K4+1)*(1+Assumptions!$C$13)</f>
        <v>6345112.5086745191</v>
      </c>
      <c r="J5" s="59">
        <f>I5*('Price and Financial ratios'!L4+1)*(1+Assumptions!$C$13)</f>
        <v>7003764.556387742</v>
      </c>
      <c r="K5" s="59">
        <f>J5*('Price and Financial ratios'!M4+1)*(1+Assumptions!$C$13)</f>
        <v>7730787.7353242068</v>
      </c>
      <c r="L5" s="59">
        <f>K5*('Price and Financial ratios'!N4+1)*(1+Assumptions!$C$13)</f>
        <v>8378128.7529097162</v>
      </c>
      <c r="M5" s="59">
        <f>L5*('Price and Financial ratios'!O4+1)*(1+Assumptions!$C$13)</f>
        <v>9079675.1642268207</v>
      </c>
      <c r="N5" s="59">
        <f>M5*('Price and Financial ratios'!P4+1)*(1+Assumptions!$C$13)</f>
        <v>9657744.2920895964</v>
      </c>
      <c r="O5" s="59">
        <f>N5*('Price and Financial ratios'!Q4+1)*(1+Assumptions!$C$13)</f>
        <v>10272616.930049805</v>
      </c>
      <c r="P5" s="59">
        <f>O5*('Price and Financial ratios'!R4+1)*(1+Assumptions!$C$13)</f>
        <v>10926636.220631767</v>
      </c>
      <c r="Q5" s="59">
        <f>P5*('Price and Financial ratios'!S4+1)*(1+Assumptions!$C$13)</f>
        <v>11622294.485524364</v>
      </c>
      <c r="R5" s="59">
        <f>Q5*('Price and Financial ratios'!T4+1)*(1+Assumptions!$C$13)</f>
        <v>12245617.791911738</v>
      </c>
      <c r="S5" s="59">
        <f>R5*('Price and Financial ratios'!U4+1)*(1+Assumptions!$C$13)</f>
        <v>12902370.981251191</v>
      </c>
      <c r="T5" s="59">
        <f>S5*('Price and Financial ratios'!V4+1)*(1+Assumptions!$C$13)</f>
        <v>13464876.983697791</v>
      </c>
      <c r="U5" s="59">
        <f>T5*('Price and Financial ratios'!W4+1)*(1+Assumptions!$C$13)</f>
        <v>14051906.618525466</v>
      </c>
      <c r="V5" s="59">
        <f>U5*('Price and Financial ratios'!X4+1)*(1+Assumptions!$C$13)</f>
        <v>14664529.045072153</v>
      </c>
      <c r="W5" s="59">
        <f>V5*('Price and Financial ratios'!Y4+1)*(1+Assumptions!$C$13)</f>
        <v>15303860.034926055</v>
      </c>
      <c r="X5" s="59">
        <f>W5*('Price and Financial ratios'!Z4+1)*(1+Assumptions!$C$13)</f>
        <v>15971064.004084732</v>
      </c>
      <c r="Y5" s="59">
        <f>X5*('Price and Financial ratios'!AA4+1)*(1+Assumptions!$C$13)</f>
        <v>16667356.133710453</v>
      </c>
      <c r="Z5" s="59">
        <f>Y5*('Price and Financial ratios'!AB4+1)*(1+Assumptions!$C$13)</f>
        <v>17394004.583344329</v>
      </c>
      <c r="AA5" s="59">
        <f>Z5*('Price and Financial ratios'!AC4+1)*(1+Assumptions!$C$13)</f>
        <v>17838157.809830386</v>
      </c>
      <c r="AB5" s="59">
        <f>AA5*('Price and Financial ratios'!AD4+1)*(1+Assumptions!$C$13)</f>
        <v>18293652.420507342</v>
      </c>
      <c r="AC5" s="59">
        <f>AB5*('Price and Financial ratios'!AE4+1)*(1+Assumptions!$C$13)</f>
        <v>18760778.015872721</v>
      </c>
      <c r="AD5" s="59">
        <f>AC5*('Price and Financial ratios'!AF4+1)*(1+Assumptions!$C$13)</f>
        <v>19239831.591328114</v>
      </c>
      <c r="AE5" s="59">
        <f>AD5*('Price and Financial ratios'!AG4+1)*(1+Assumptions!$C$13)</f>
        <v>19731117.726006925</v>
      </c>
      <c r="AF5" s="59">
        <f>AE5*('Price and Financial ratios'!AH4+1)*(1+Assumptions!$C$13)</f>
        <v>20234948.776423797</v>
      </c>
    </row>
    <row r="6" spans="1:32" s="11" customFormat="1" x14ac:dyDescent="0.35">
      <c r="A6" s="11" t="s">
        <v>20</v>
      </c>
      <c r="C6" s="59">
        <f>C27</f>
        <v>1963343.2968515677</v>
      </c>
      <c r="D6" s="59">
        <f t="shared" ref="D6:AF6" si="1">D27</f>
        <v>2091246.1298138921</v>
      </c>
      <c r="E6" s="59">
        <f>E27</f>
        <v>2223850.007393071</v>
      </c>
      <c r="F6" s="59">
        <f t="shared" si="1"/>
        <v>2361300.4726448078</v>
      </c>
      <c r="G6" s="59">
        <f t="shared" si="1"/>
        <v>2503747.212587269</v>
      </c>
      <c r="H6" s="59">
        <f t="shared" si="1"/>
        <v>2651344.170485151</v>
      </c>
      <c r="I6" s="59">
        <f t="shared" si="1"/>
        <v>2804249.6610786021</v>
      </c>
      <c r="J6" s="59">
        <f t="shared" si="1"/>
        <v>2962626.4888324649</v>
      </c>
      <c r="K6" s="59">
        <f t="shared" si="1"/>
        <v>3126642.0692832414</v>
      </c>
      <c r="L6" s="59">
        <f t="shared" si="1"/>
        <v>3296468.5535631035</v>
      </c>
      <c r="M6" s="59">
        <f t="shared" si="1"/>
        <v>3472282.9561822908</v>
      </c>
      <c r="N6" s="59">
        <f t="shared" si="1"/>
        <v>3654267.2861532792</v>
      </c>
      <c r="O6" s="59">
        <f t="shared" si="1"/>
        <v>3842608.6815421972</v>
      </c>
      <c r="P6" s="59">
        <f t="shared" si="1"/>
        <v>4037499.5475351196</v>
      </c>
      <c r="Q6" s="59">
        <f t="shared" si="1"/>
        <v>4239137.6981090941</v>
      </c>
      <c r="R6" s="59">
        <f t="shared" si="1"/>
        <v>4447726.5013999632</v>
      </c>
      <c r="S6" s="59">
        <f t="shared" si="1"/>
        <v>4663475.0288614407</v>
      </c>
      <c r="T6" s="59">
        <f t="shared" si="1"/>
        <v>4886598.2083121762</v>
      </c>
      <c r="U6" s="59">
        <f t="shared" si="1"/>
        <v>5117316.9809700735</v>
      </c>
      <c r="V6" s="59">
        <f t="shared" si="1"/>
        <v>5355858.4625755306</v>
      </c>
      <c r="W6" s="59">
        <f t="shared" si="1"/>
        <v>5602456.1087079002</v>
      </c>
      <c r="X6" s="59">
        <f t="shared" si="1"/>
        <v>5857349.8844020274</v>
      </c>
      <c r="Y6" s="59">
        <f t="shared" si="1"/>
        <v>6120786.4381744508</v>
      </c>
      <c r="Z6" s="59">
        <f t="shared" si="1"/>
        <v>6393019.2805715445</v>
      </c>
      <c r="AA6" s="59">
        <f t="shared" si="1"/>
        <v>6674308.9673547866</v>
      </c>
      <c r="AB6" s="59">
        <f t="shared" si="1"/>
        <v>6964923.287441114</v>
      </c>
      <c r="AC6" s="59">
        <f t="shared" si="1"/>
        <v>7265137.4557193844</v>
      </c>
      <c r="AD6" s="59">
        <f t="shared" si="1"/>
        <v>7575234.3108669259</v>
      </c>
      <c r="AE6" s="59">
        <f t="shared" si="1"/>
        <v>7895504.5182933118</v>
      </c>
      <c r="AF6" s="59">
        <f t="shared" si="1"/>
        <v>8226246.7783416305</v>
      </c>
    </row>
    <row r="7" spans="1:32" x14ac:dyDescent="0.35">
      <c r="A7" t="s">
        <v>21</v>
      </c>
      <c r="C7" s="4">
        <f>Depreciation!C8+Depreciation!C9</f>
        <v>1308767.2592909897</v>
      </c>
      <c r="D7" s="4">
        <f>Depreciation!D8+Depreciation!D9</f>
        <v>1414306.8016130787</v>
      </c>
      <c r="E7" s="4">
        <f>Depreciation!E8+Depreciation!E9</f>
        <v>1525260.6969702677</v>
      </c>
      <c r="F7" s="4">
        <f>Depreciation!F8+Depreciation!F9</f>
        <v>1641867.3914654651</v>
      </c>
      <c r="G7" s="4">
        <f>Depreciation!G8+Depreciation!G9</f>
        <v>1764375.0474546575</v>
      </c>
      <c r="H7" s="4">
        <f>Depreciation!H8+Depreciation!H9</f>
        <v>1893041.9212182972</v>
      </c>
      <c r="I7" s="4">
        <f>Depreciation!I8+Depreciation!I9</f>
        <v>2028136.7548542162</v>
      </c>
      <c r="J7" s="4">
        <f>Depreciation!J8+Depreciation!J9</f>
        <v>2169939.1829155074</v>
      </c>
      <c r="K7" s="4">
        <f>Depreciation!K8+Depreciation!K9</f>
        <v>2318740.1543357498</v>
      </c>
      <c r="L7" s="4">
        <f>Depreciation!L8+Depreciation!L9</f>
        <v>2474842.3702035826</v>
      </c>
      <c r="M7" s="4">
        <f>Depreciation!M8+Depreciation!M9</f>
        <v>2638560.7379689165</v>
      </c>
      <c r="N7" s="4">
        <f>Depreciation!N8+Depreciation!N9</f>
        <v>2810222.8426841432</v>
      </c>
      <c r="O7" s="4">
        <f>Depreciation!O8+Depreciation!O9</f>
        <v>2990169.4359054649</v>
      </c>
      <c r="P7" s="4">
        <f>Depreciation!P8+Depreciation!P9</f>
        <v>3178754.9429020416</v>
      </c>
      <c r="Q7" s="4">
        <f>Depreciation!Q8+Depreciation!Q9</f>
        <v>3376347.9888440324</v>
      </c>
      <c r="R7" s="4">
        <f>Depreciation!R8+Depreciation!R9</f>
        <v>3583331.9446647801</v>
      </c>
      <c r="S7" s="4">
        <f>Depreciation!S8+Depreciation!S9</f>
        <v>3800105.4933174783</v>
      </c>
      <c r="T7" s="4">
        <f>Depreciation!T8+Depreciation!T9</f>
        <v>4027083.217172612</v>
      </c>
      <c r="U7" s="4">
        <f>Depreciation!U8+Depreciation!U9</f>
        <v>4264696.207329317</v>
      </c>
      <c r="V7" s="4">
        <f>Depreciation!V8+Depreciation!V9</f>
        <v>4513392.6956416685</v>
      </c>
      <c r="W7" s="4">
        <f>Depreciation!W8+Depreciation!W9</f>
        <v>4773638.7102897037</v>
      </c>
      <c r="X7" s="4">
        <f>Depreciation!X8+Depreciation!X9</f>
        <v>5045918.755754875</v>
      </c>
      <c r="Y7" s="4">
        <f>Depreciation!Y8+Depreciation!Y9</f>
        <v>5330736.5180904809</v>
      </c>
      <c r="Z7" s="4">
        <f>Depreciation!Z8+Depreciation!Z9</f>
        <v>5628615.5964096738</v>
      </c>
      <c r="AA7" s="4">
        <f>Depreciation!AA8+Depreciation!AA9</f>
        <v>5940100.261546772</v>
      </c>
      <c r="AB7" s="4">
        <f>Depreciation!AB8+Depreciation!AB9</f>
        <v>6265756.2428819183</v>
      </c>
      <c r="AC7" s="4">
        <f>Depreciation!AC8+Depreciation!AC9</f>
        <v>6606171.5443546893</v>
      </c>
      <c r="AD7" s="4">
        <f>Depreciation!AD8+Depreciation!AD9</f>
        <v>6961957.2907290105</v>
      </c>
      <c r="AE7" s="4">
        <f>Depreciation!AE8+Depreciation!AE9</f>
        <v>7333748.6052098665</v>
      </c>
      <c r="AF7" s="4">
        <f>Depreciation!AF8+Depreciation!AF9</f>
        <v>7722205.5195517894</v>
      </c>
    </row>
    <row r="8" spans="1:32" x14ac:dyDescent="0.35">
      <c r="A8" t="s">
        <v>6</v>
      </c>
      <c r="C8" s="4">
        <f ca="1">'Debt worksheet'!C8</f>
        <v>92362.34461716238</v>
      </c>
      <c r="D8" s="4">
        <f ca="1">'Debt worksheet'!D8</f>
        <v>181118.7238851616</v>
      </c>
      <c r="E8" s="4">
        <f ca="1">'Debt worksheet'!E8</f>
        <v>267919.16042024485</v>
      </c>
      <c r="F8" s="4">
        <f ca="1">'Debt worksheet'!F8</f>
        <v>354166.65646111633</v>
      </c>
      <c r="G8" s="4">
        <f ca="1">'Debt worksheet'!G8</f>
        <v>438667.56514085585</v>
      </c>
      <c r="H8" s="4">
        <f ca="1">'Debt worksheet'!H8</f>
        <v>520029.74530158378</v>
      </c>
      <c r="I8" s="4">
        <f ca="1">'Debt worksheet'!I8</f>
        <v>596638.0049580168</v>
      </c>
      <c r="J8" s="4">
        <f ca="1">'Debt worksheet'!J8</f>
        <v>666626.80797078786</v>
      </c>
      <c r="K8" s="4">
        <f ca="1">'Debt worksheet'!K8</f>
        <v>727849.95148141833</v>
      </c>
      <c r="L8" s="4">
        <f ca="1">'Debt worksheet'!L8</f>
        <v>783474.11233126046</v>
      </c>
      <c r="M8" s="4">
        <f ca="1">'Debt worksheet'!M8</f>
        <v>831946.44552009564</v>
      </c>
      <c r="N8" s="4">
        <f ca="1">'Debt worksheet'!N8</f>
        <v>878124.64740320493</v>
      </c>
      <c r="O8" s="4">
        <f ca="1">'Debt worksheet'!O8</f>
        <v>921252.50924141298</v>
      </c>
      <c r="P8" s="4">
        <f ca="1">'Debt worksheet'!P8</f>
        <v>960485.42940831301</v>
      </c>
      <c r="Q8" s="4">
        <f ca="1">'Debt worksheet'!Q8</f>
        <v>994882.6419222398</v>
      </c>
      <c r="R8" s="4">
        <f ca="1">'Debt worksheet'!R8</f>
        <v>1027628.7677825172</v>
      </c>
      <c r="S8" s="4">
        <f ca="1">'Debt worksheet'!S8</f>
        <v>1058214.5451631949</v>
      </c>
      <c r="T8" s="4">
        <f ca="1">'Debt worksheet'!T8</f>
        <v>1090770.5957440361</v>
      </c>
      <c r="U8" s="4">
        <f ca="1">'Debt worksheet'!U8</f>
        <v>1125298.1549532963</v>
      </c>
      <c r="V8" s="4">
        <f ca="1">'Debt worksheet'!V8</f>
        <v>1161789.2760209141</v>
      </c>
      <c r="W8" s="4">
        <f ca="1">'Debt worksheet'!W8</f>
        <v>1200225.843552876</v>
      </c>
      <c r="X8" s="4">
        <f ca="1">'Debt worksheet'!X8</f>
        <v>1240578.5136151218</v>
      </c>
      <c r="Y8" s="4">
        <f ca="1">'Debt worksheet'!Y8</f>
        <v>1282805.575691255</v>
      </c>
      <c r="Z8" s="4">
        <f ca="1">'Debt worksheet'!Z8</f>
        <v>1326851.7316129324</v>
      </c>
      <c r="AA8" s="4">
        <f ca="1">'Debt worksheet'!AA8</f>
        <v>1384041.7341342703</v>
      </c>
      <c r="AB8" s="4">
        <f ca="1">'Debt worksheet'!AB8</f>
        <v>1455490.1314881449</v>
      </c>
      <c r="AC8" s="4">
        <f ca="1">'Debt worksheet'!AC8</f>
        <v>1542379.0044025867</v>
      </c>
      <c r="AD8" s="4">
        <f ca="1">'Debt worksheet'!AD8</f>
        <v>1645961.4640635131</v>
      </c>
      <c r="AE8" s="4">
        <f ca="1">'Debt worksheet'!AE8</f>
        <v>1767565.3157441556</v>
      </c>
      <c r="AF8" s="4">
        <f ca="1">'Debt worksheet'!AF8</f>
        <v>1908596.8955106444</v>
      </c>
    </row>
    <row r="9" spans="1:32" x14ac:dyDescent="0.35">
      <c r="A9" t="s">
        <v>22</v>
      </c>
      <c r="C9" s="4">
        <f ca="1">C5-C6-C7-C8</f>
        <v>-68712.971357815914</v>
      </c>
      <c r="D9" s="4">
        <f t="shared" ref="D9:AF9" ca="1" si="2">D5-D6-D7-D8</f>
        <v>116561.36718480123</v>
      </c>
      <c r="E9" s="4">
        <f t="shared" ca="1" si="2"/>
        <v>257324.09863448486</v>
      </c>
      <c r="F9" s="4">
        <f t="shared" ca="1" si="2"/>
        <v>360717.16874319786</v>
      </c>
      <c r="G9" s="4">
        <f t="shared" ca="1" si="2"/>
        <v>501017.46769840654</v>
      </c>
      <c r="H9" s="4">
        <f t="shared" ca="1" si="2"/>
        <v>683985.95800084737</v>
      </c>
      <c r="I9" s="4">
        <f t="shared" ca="1" si="2"/>
        <v>916088.08778368402</v>
      </c>
      <c r="J9" s="4">
        <f t="shared" ca="1" si="2"/>
        <v>1204572.0766689819</v>
      </c>
      <c r="K9" s="4">
        <f t="shared" ca="1" si="2"/>
        <v>1557555.5602237973</v>
      </c>
      <c r="L9" s="4">
        <f t="shared" ca="1" si="2"/>
        <v>1823343.7168117701</v>
      </c>
      <c r="M9" s="4">
        <f t="shared" ca="1" si="2"/>
        <v>2136885.0245555178</v>
      </c>
      <c r="N9" s="4">
        <f t="shared" ca="1" si="2"/>
        <v>2315129.5158489691</v>
      </c>
      <c r="O9" s="4">
        <f t="shared" ca="1" si="2"/>
        <v>2518586.3033607299</v>
      </c>
      <c r="P9" s="4">
        <f t="shared" ca="1" si="2"/>
        <v>2749896.3007862931</v>
      </c>
      <c r="Q9" s="4">
        <f t="shared" ca="1" si="2"/>
        <v>3011926.1566489977</v>
      </c>
      <c r="R9" s="4">
        <f t="shared" ca="1" si="2"/>
        <v>3186930.5780644775</v>
      </c>
      <c r="S9" s="4">
        <f t="shared" ca="1" si="2"/>
        <v>3380575.9139090776</v>
      </c>
      <c r="T9" s="4">
        <f t="shared" ca="1" si="2"/>
        <v>3460424.9624689668</v>
      </c>
      <c r="U9" s="4">
        <f t="shared" ca="1" si="2"/>
        <v>3544595.2752727792</v>
      </c>
      <c r="V9" s="4">
        <f t="shared" ca="1" si="2"/>
        <v>3633488.6108340397</v>
      </c>
      <c r="W9" s="4">
        <f t="shared" ca="1" si="2"/>
        <v>3727539.3723755758</v>
      </c>
      <c r="X9" s="4">
        <f t="shared" ca="1" si="2"/>
        <v>3827216.8503127079</v>
      </c>
      <c r="Y9" s="4">
        <f t="shared" ca="1" si="2"/>
        <v>3933027.6017542668</v>
      </c>
      <c r="Z9" s="4">
        <f t="shared" ca="1" si="2"/>
        <v>4045517.9747501784</v>
      </c>
      <c r="AA9" s="4">
        <f t="shared" ca="1" si="2"/>
        <v>3839706.8467945582</v>
      </c>
      <c r="AB9" s="4">
        <f t="shared" ca="1" si="2"/>
        <v>3607482.7586961645</v>
      </c>
      <c r="AC9" s="4">
        <f t="shared" ca="1" si="2"/>
        <v>3347090.0113960593</v>
      </c>
      <c r="AD9" s="4">
        <f t="shared" ca="1" si="2"/>
        <v>3056678.5256686648</v>
      </c>
      <c r="AE9" s="4">
        <f t="shared" ca="1" si="2"/>
        <v>2734299.2867595912</v>
      </c>
      <c r="AF9" s="4">
        <f t="shared" ca="1" si="2"/>
        <v>2377899.5830197325</v>
      </c>
    </row>
    <row r="12" spans="1:32" x14ac:dyDescent="0.35">
      <c r="A12" t="s">
        <v>79</v>
      </c>
      <c r="C12" s="2">
        <f>Assumptions!$C$25*Assumptions!D9*Assumptions!D13</f>
        <v>1886984.1164418743</v>
      </c>
      <c r="D12" s="2">
        <f>Assumptions!$C$25*Assumptions!E9*Assumptions!E13</f>
        <v>1935167.9650564787</v>
      </c>
      <c r="E12" s="2">
        <f>Assumptions!$C$25*Assumptions!F9*Assumptions!F13</f>
        <v>1984582.1808199564</v>
      </c>
      <c r="F12" s="2">
        <f>Assumptions!$C$25*Assumptions!G9*Assumptions!G13</f>
        <v>2035258.1809678439</v>
      </c>
      <c r="G12" s="2">
        <f>Assumptions!$C$25*Assumptions!H9*Assumptions!H13</f>
        <v>2087228.1849699474</v>
      </c>
      <c r="H12" s="2">
        <f>Assumptions!$C$25*Assumptions!I9*Assumptions!I13</f>
        <v>2140525.235015268</v>
      </c>
      <c r="I12" s="2">
        <f>Assumptions!$C$25*Assumptions!J9*Assumptions!J13</f>
        <v>2195183.2170200115</v>
      </c>
      <c r="J12" s="2">
        <f>Assumptions!$C$25*Assumptions!K9*Assumptions!K13</f>
        <v>2251236.8821720309</v>
      </c>
      <c r="K12" s="2">
        <f>Assumptions!$C$25*Assumptions!L9*Assumptions!L13</f>
        <v>2308721.8690254074</v>
      </c>
      <c r="L12" s="2">
        <f>Assumptions!$C$25*Assumptions!M9*Assumptions!M13</f>
        <v>2367674.7261592075</v>
      </c>
      <c r="M12" s="2">
        <f>Assumptions!$C$25*Assumptions!N9*Assumptions!N13</f>
        <v>2428132.9354148307</v>
      </c>
      <c r="N12" s="2">
        <f>Assumptions!$C$25*Assumptions!O9*Assumptions!O13</f>
        <v>2490134.9357267218</v>
      </c>
      <c r="O12" s="2">
        <f>Assumptions!$C$25*Assumptions!P9*Assumptions!P13</f>
        <v>2553720.1475615934</v>
      </c>
      <c r="P12" s="2">
        <f>Assumptions!$C$25*Assumptions!Q9*Assumptions!Q13</f>
        <v>2618928.9979816987</v>
      </c>
      <c r="Q12" s="2">
        <f>Assumptions!$C$25*Assumptions!R9*Assumptions!R13</f>
        <v>2685802.9463480976</v>
      </c>
      <c r="R12" s="2">
        <f>Assumptions!$C$25*Assumptions!S9*Assumptions!S13</f>
        <v>2754384.5106802424</v>
      </c>
      <c r="S12" s="2">
        <f>Assumptions!$C$25*Assumptions!T9*Assumptions!T13</f>
        <v>2824717.2946886639</v>
      </c>
      <c r="T12" s="2">
        <f>Assumptions!$C$25*Assumptions!U9*Assumptions!U13</f>
        <v>2896846.0154979182</v>
      </c>
      <c r="U12" s="2">
        <f>Assumptions!$C$25*Assumptions!V9*Assumptions!V13</f>
        <v>2970816.532077448</v>
      </c>
      <c r="V12" s="2">
        <f>Assumptions!$C$25*Assumptions!W9*Assumptions!W13</f>
        <v>3046675.8743984113</v>
      </c>
      <c r="W12" s="2">
        <f>Assumptions!$C$25*Assumptions!X9*Assumptions!X13</f>
        <v>3124472.2733350326</v>
      </c>
      <c r="X12" s="2">
        <f>Assumptions!$C$25*Assumptions!Y9*Assumptions!Y13</f>
        <v>3204255.1913294783</v>
      </c>
      <c r="Y12" s="2">
        <f>Assumptions!$C$25*Assumptions!Z9*Assumptions!Z13</f>
        <v>3286075.3538397527</v>
      </c>
      <c r="Z12" s="2">
        <f>Assumptions!$C$25*Assumptions!AA9*Assumptions!AA13</f>
        <v>3369984.7815906112</v>
      </c>
      <c r="AA12" s="2">
        <f>Assumptions!$C$25*Assumptions!AB9*Assumptions!AB13</f>
        <v>3456036.8236480011</v>
      </c>
      <c r="AB12" s="2">
        <f>Assumptions!$C$25*Assumptions!AC9*Assumptions!AC13</f>
        <v>3544286.1913380465</v>
      </c>
      <c r="AC12" s="2">
        <f>Assumptions!$C$25*Assumptions!AD9*Assumptions!AD13</f>
        <v>3634788.9930321514</v>
      </c>
      <c r="AD12" s="2">
        <f>Assumptions!$C$25*Assumptions!AE9*Assumptions!AE13</f>
        <v>3727602.7698203386</v>
      </c>
      <c r="AE12" s="2">
        <f>Assumptions!$C$25*Assumptions!AF9*Assumptions!AF13</f>
        <v>3822786.5320954984</v>
      </c>
      <c r="AF12" s="2">
        <f>Assumptions!$C$25*Assumptions!AG9*Assumptions!AG13</f>
        <v>3920400.7970718038</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76359.180409693392</v>
      </c>
      <c r="D14" s="5">
        <f>Assumptions!E122*Assumptions!E9</f>
        <v>156078.16475741329</v>
      </c>
      <c r="E14" s="5">
        <f>Assumptions!F122*Assumptions!F9</f>
        <v>239267.82657311458</v>
      </c>
      <c r="F14" s="5">
        <f>Assumptions!G122*Assumptions!G9</f>
        <v>326042.29167696415</v>
      </c>
      <c r="G14" s="5">
        <f>Assumptions!H122*Assumptions!H9</f>
        <v>416519.0276173217</v>
      </c>
      <c r="H14" s="5">
        <f>Assumptions!I122*Assumptions!I9</f>
        <v>510818.9354698832</v>
      </c>
      <c r="I14" s="5">
        <f>Assumptions!J122*Assumptions!J9</f>
        <v>609066.4440585908</v>
      </c>
      <c r="J14" s="5">
        <f>Assumptions!K122*Assumptions!K9</f>
        <v>711389.60666043416</v>
      </c>
      <c r="K14" s="5">
        <f>Assumptions!L122*Assumptions!L9</f>
        <v>817920.20025783416</v>
      </c>
      <c r="L14" s="5">
        <f>Assumptions!M122*Assumptions!M9</f>
        <v>928793.82740389614</v>
      </c>
      <c r="M14" s="5">
        <f>Assumptions!N122*Assumptions!N9</f>
        <v>1044150.0207674603</v>
      </c>
      <c r="N14" s="5">
        <f>Assumptions!O122*Assumptions!O9</f>
        <v>1164132.3504265575</v>
      </c>
      <c r="O14" s="5">
        <f>Assumptions!P122*Assumptions!P9</f>
        <v>1288888.5339806036</v>
      </c>
      <c r="P14" s="5">
        <f>Assumptions!Q122*Assumptions!Q9</f>
        <v>1418570.5495534211</v>
      </c>
      <c r="Q14" s="5">
        <f>Assumptions!R122*Assumptions!R9</f>
        <v>1553334.7517609964</v>
      </c>
      <c r="R14" s="5">
        <f>Assumptions!S122*Assumptions!S9</f>
        <v>1693341.9907197207</v>
      </c>
      <c r="S14" s="5">
        <f>Assumptions!T122*Assumptions!T9</f>
        <v>1838757.7341727766</v>
      </c>
      <c r="T14" s="5">
        <f>Assumptions!U122*Assumptions!U9</f>
        <v>1989752.1928142584</v>
      </c>
      <c r="U14" s="5">
        <f>Assumptions!V122*Assumptions!V9</f>
        <v>2146500.448892626</v>
      </c>
      <c r="V14" s="5">
        <f>Assumptions!W122*Assumptions!W9</f>
        <v>2309182.5881771198</v>
      </c>
      <c r="W14" s="5">
        <f>Assumptions!X122*Assumptions!X9</f>
        <v>2477983.8353728675</v>
      </c>
      <c r="X14" s="5">
        <f>Assumptions!Y122*Assumptions!Y9</f>
        <v>2653094.6930725495</v>
      </c>
      <c r="Y14" s="5">
        <f>Assumptions!Z122*Assumptions!Z9</f>
        <v>2834711.0843346976</v>
      </c>
      <c r="Z14" s="5">
        <f>Assumptions!AA122*Assumptions!AA9</f>
        <v>3023034.4989809333</v>
      </c>
      <c r="AA14" s="5">
        <f>Assumptions!AB122*Assumptions!AB9</f>
        <v>3218272.1437067855</v>
      </c>
      <c r="AB14" s="5">
        <f>Assumptions!AC122*Assumptions!AC9</f>
        <v>3420637.096103068</v>
      </c>
      <c r="AC14" s="5">
        <f>Assumptions!AD122*Assumptions!AD9</f>
        <v>3630348.462687233</v>
      </c>
      <c r="AD14" s="5">
        <f>Assumptions!AE122*Assumptions!AE9</f>
        <v>3847631.5410465878</v>
      </c>
      <c r="AE14" s="5">
        <f>Assumptions!AF122*Assumptions!AF9</f>
        <v>4072717.9861978139</v>
      </c>
      <c r="AF14" s="5">
        <f>Assumptions!AG122*Assumptions!AG9</f>
        <v>4305845.9812698262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1963343.2968515677</v>
      </c>
      <c r="D27" s="2">
        <f t="shared" ref="D27:AF27" si="8">D12+D13+D14+D19+D20+D22+D24+D25</f>
        <v>2091246.1298138921</v>
      </c>
      <c r="E27" s="2">
        <f t="shared" si="8"/>
        <v>2223850.007393071</v>
      </c>
      <c r="F27" s="2">
        <f t="shared" si="8"/>
        <v>2361300.4726448078</v>
      </c>
      <c r="G27" s="2">
        <f t="shared" si="8"/>
        <v>2503747.212587269</v>
      </c>
      <c r="H27" s="2">
        <f t="shared" si="8"/>
        <v>2651344.170485151</v>
      </c>
      <c r="I27" s="2">
        <f t="shared" si="8"/>
        <v>2804249.6610786021</v>
      </c>
      <c r="J27" s="2">
        <f t="shared" si="8"/>
        <v>2962626.4888324649</v>
      </c>
      <c r="K27" s="2">
        <f t="shared" si="8"/>
        <v>3126642.0692832414</v>
      </c>
      <c r="L27" s="2">
        <f t="shared" si="8"/>
        <v>3296468.5535631035</v>
      </c>
      <c r="M27" s="2">
        <f t="shared" si="8"/>
        <v>3472282.9561822908</v>
      </c>
      <c r="N27" s="2">
        <f t="shared" si="8"/>
        <v>3654267.2861532792</v>
      </c>
      <c r="O27" s="2">
        <f t="shared" si="8"/>
        <v>3842608.6815421972</v>
      </c>
      <c r="P27" s="2">
        <f t="shared" si="8"/>
        <v>4037499.5475351196</v>
      </c>
      <c r="Q27" s="2">
        <f t="shared" si="8"/>
        <v>4239137.6981090941</v>
      </c>
      <c r="R27" s="2">
        <f t="shared" si="8"/>
        <v>4447726.5013999632</v>
      </c>
      <c r="S27" s="2">
        <f t="shared" si="8"/>
        <v>4663475.0288614407</v>
      </c>
      <c r="T27" s="2">
        <f t="shared" si="8"/>
        <v>4886598.2083121762</v>
      </c>
      <c r="U27" s="2">
        <f t="shared" si="8"/>
        <v>5117316.9809700735</v>
      </c>
      <c r="V27" s="2">
        <f t="shared" si="8"/>
        <v>5355858.4625755306</v>
      </c>
      <c r="W27" s="2">
        <f t="shared" si="8"/>
        <v>5602456.1087079002</v>
      </c>
      <c r="X27" s="2">
        <f t="shared" si="8"/>
        <v>5857349.8844020274</v>
      </c>
      <c r="Y27" s="2">
        <f t="shared" si="8"/>
        <v>6120786.4381744508</v>
      </c>
      <c r="Z27" s="2">
        <f t="shared" si="8"/>
        <v>6393019.2805715445</v>
      </c>
      <c r="AA27" s="2">
        <f t="shared" si="8"/>
        <v>6674308.9673547866</v>
      </c>
      <c r="AB27" s="2">
        <f t="shared" si="8"/>
        <v>6964923.287441114</v>
      </c>
      <c r="AC27" s="2">
        <f t="shared" si="8"/>
        <v>7265137.4557193844</v>
      </c>
      <c r="AD27" s="2">
        <f t="shared" si="8"/>
        <v>7575234.3108669259</v>
      </c>
      <c r="AE27" s="2">
        <f t="shared" si="8"/>
        <v>7895504.5182933118</v>
      </c>
      <c r="AF27" s="2">
        <f t="shared" si="8"/>
        <v>8226246.7783416305</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3W2DU3RAJ5R2-1900874439-800</_dlc_DocId>
    <_dlc_DocIdUrl xmlns="f54e2983-00ce-40fc-8108-18f351fc47bf">
      <Url>https://dia.cohesion.net.nz/Sites/LGV/TWRP/CAE/_layouts/15/DocIdRedir.aspx?ID=3W2DU3RAJ5R2-1900874439-800</Url>
      <Description>3W2DU3RAJ5R2-1900874439-800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9DCFBCF-C283-486A-9F51-67AF26C03A29}"/>
</file>

<file path=customXml/itemProps2.xml><?xml version="1.0" encoding="utf-8"?>
<ds:datastoreItem xmlns:ds="http://schemas.openxmlformats.org/officeDocument/2006/customXml" ds:itemID="{CBCC2D2A-763C-48F8-A3E5-6B0A81386C39}">
  <ds:schemaRefs>
    <ds:schemaRef ds:uri="http://purl.org/dc/dcmitype/"/>
    <ds:schemaRef ds:uri="http://schemas.microsoft.com/sharepoint/v3"/>
    <ds:schemaRef ds:uri="65b6d800-2dda-48d6-88d8-9e2b35e6f7ea"/>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08a23fc5-e034-477c-ac83-93bc1440f32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51FABD17-C75B-4385-A071-86612655EE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2021-07-01T15:09:33Z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6f56002f-af22-41a1-b6fa-48b013861f23</vt:lpwstr>
  </property>
</Properties>
</file>