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8" documentId="8_{E2E19842-1C50-42FF-A7E8-C9C0C2F8883C}" xr6:coauthVersionLast="47" xr6:coauthVersionMax="47" xr10:uidLastSave="{4403E5A4-8787-4C57-AA9A-47E6C34E7A4B}"/>
  <bookViews>
    <workbookView xWindow="1140" yWindow="114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5" i="2" l="1"/>
  <c r="C94" i="2"/>
  <c r="A11" i="19" l="1"/>
  <c r="A9" i="19"/>
  <c r="B40" i="21"/>
  <c r="B27" i="21"/>
  <c r="A21" i="21"/>
  <c r="A34" i="21" s="1"/>
  <c r="B8" i="21"/>
  <c r="B21" i="21" s="1"/>
  <c r="B34" i="21" s="1"/>
  <c r="C83" i="2" l="1"/>
  <c r="C87" i="2"/>
  <c r="C82" i="2" l="1"/>
  <c r="C89"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<sst xmlns="http://schemas.openxmlformats.org/spreadsheetml/2006/main" count="278" uniqueCount="205">
  <si>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</si>
  <si>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</si>
  <si>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</si>
  <si>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</si>
  <si>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</si>
  <si>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</si>
  <si>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</si>
  <si>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</si>
  <si>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</si>
  <si>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</si>
  <si>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</si>
  <si>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</si>
  <si>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</si>
  <si>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</si>
  <si>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</si>
  <si>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</si>
  <si>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</si>
  <si>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</si>
  <si>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</si>
  <si>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</si>
  <si>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</si>
  <si>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</si>
  <si>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</si>
  <si>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</si>
  <si>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</si>
  <si>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</si>
  <si>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</si>
  <si>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</si>
  <si>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</si>
  <si>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</si>
  <si>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</si>
  <si>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</si>
  <si>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</si>
  <si>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</si>
  <si>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</si>
  <si>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</si>
  <si>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</si>
  <si>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</si>
  <si>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</si>
  <si>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</si>
  <si>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</si>
  <si>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</si>
  <si>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</si>
  <si>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</si>
  <si>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</si>
  <si>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</si>
  <si>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</si>
  <si>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</si>
  <si>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</si>
  <si>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</si>
  <si>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</si>
  <si>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</si>
  <si>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</si>
  <si>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</si>
  <si>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</si>
  <si>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</si>
  <si>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</si>
  <si>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</si>
  <si>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</si>
  <si>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</si>
  <si>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</si>
  <si>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</si>
  <si>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</si>
  <si>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</si>
  <si>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</si>
  <si>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</si>
  <si>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</si>
  <si>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</si>
  <si>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</si>
  <si>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</si>
  <si>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</si>
  <si>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</si>
  <si>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</si>
  <si>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</si>
  <si>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</si>
  <si>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</si>
  <si>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</si>
  <si>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</si>
  <si>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</si>
  <si>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</si>
  <si>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</si>
  <si>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</si>
  <si>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</si>
  <si>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</si>
  <si>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</si>
  <si>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</si>
  <si>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</si>
  <si>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</si>
  <si>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</si>
  <si>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</si>
  <si>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</si>
  <si>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</si>
  <si>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</si>
  <si>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</si>
  <si>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</si>
  <si>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</si>
  <si>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</si>
  <si>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</si>
  <si>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</si>
  <si>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</si>
  <si>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</si>
  <si>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</si>
  <si>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</si>
  <si>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</si>
  <si>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</si>
  <si>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</si>
  <si>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</si>
  <si>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</si>
  <si>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</si>
  <si>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</si>
  <si>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</si>
  <si>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</si>
  <si>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</si>
  <si>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</si>
  <si>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</si>
  <si>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</si>
  <si>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</si>
  <si>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</si>
  <si>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</si>
  <si>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</si>
  <si>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</si>
  <si>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</si>
  <si>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</si>
  <si>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</si>
  <si>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</si>
  <si>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</si>
  <si>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</si>
  <si>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</si>
  <si>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</si>
  <si>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</si>
  <si>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</si>
  <si>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</si>
  <si>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</si>
  <si>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</si>
  <si>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</si>
  <si>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</si>
  <si>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</si>
  <si>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</si>
  <si>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</si>
  <si>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</si>
  <si>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</si>
  <si>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</si>
  <si>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</si>
  <si>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</si>
  <si>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</si>
  <si>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</si>
  <si>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</si>
  <si>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</si>
  <si>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</si>
  <si>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</si>
  <si>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</si>
  <si>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</si>
  <si>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</si>
  <si>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</si>
  <si>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</si>
  <si>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</si>
  <si>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</si>
  <si>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</si>
  <si>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</si>
  <si>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</si>
  <si>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</si>
  <si>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</si>
  <si>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</si>
  <si>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</si>
  <si>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</si>
  <si>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</si>
  <si>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</si>
  <si>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</si>
  <si>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</si>
  <si>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</si>
  <si>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</si>
  <si>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</si>
  <si>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</si>
  <si>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</si>
  <si>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</si>
  <si>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</si>
  <si>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</si>
  <si>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</si>
  <si>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</si>
  <si>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</si>
  <si>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</si>
  <si>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</si>
  <si>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</si>
  <si>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</si>
  <si>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</si>
  <si>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</si>
  <si>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</si>
  <si>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</si>
  <si>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</si>
  <si>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</si>
  <si>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</si>
  <si>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</si>
  <si>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</si>
  <si>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</si>
  <si>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</si>
  <si>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</si>
  <si>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</si>
  <si>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</si>
  <si>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Kaipara Stand-alone Council</t>
  </si>
  <si>
    <t>RFI Table F10; Lines F10.62 + F10.70 -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</si>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</sst>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0" xfId="0" applyAlignment="1">
      <alignment horizontal="lef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212782855</v>
      </c>
      <c r="C6" s="12">
        <f ca="1">B6+Depreciation!C18+'Cash Flow'!C13</f>
        <v>227061740.23406091</v>
      </c>
      <c r="D6" s="1">
        <f ca="1">C6+Depreciation!D18</f>
        <v>259653473.7063379</v>
      </c>
      <c r="E6" s="1">
        <f ca="1">D6+Depreciation!E18</f>
        <v>293979242.40595502</v>
      </c>
      <c r="F6" s="1">
        <f ca="1">E6+Depreciation!F18</f>
        <v>330116650.65238643</v>
      </c>
      <c r="G6" s="1">
        <f ca="1">F6+Depreciation!G18</f>
        <v>368146493.78947979</v>
      </c>
      <c r="H6" s="1">
        <f ca="1">G6+Depreciation!H18</f>
        <v>408152882.94419318</v>
      </c>
      <c r="I6" s="1">
        <f ca="1">H6+Depreciation!I18</f>
        <v>450223374.50228184</v>
      </c>
      <c r="J6" s="1">
        <f ca="1">I6+Depreciation!J18</f>
        <v>494449104.47506738</v>
      </c>
      <c r="K6" s="1">
        <f ca="1">J6+Depreciation!K18</f>
        <v>540924927.93773496</v>
      </c>
      <c r="L6" s="1">
        <f ca="1">K6+Depreciation!L18</f>
        <v>589749563.72614491</v>
      </c>
      <c r="M6" s="1">
        <f ca="1">L6+Depreciation!M18</f>
        <v>641025744.5859189</v>
      </c>
      <c r="N6" s="1">
        <f ca="1">M6+Depreciation!N18</f>
        <v>694860372.97457695</v>
      </c>
      <c r="O6" s="1">
        <f ca="1">N6+Depreciation!O18</f>
        <v>751364682.72476721</v>
      </c>
      <c r="P6" s="1">
        <f ca="1">O6+Depreciation!P18</f>
        <v>810654406.78415763</v>
      </c>
      <c r="Q6" s="1">
        <f ca="1">P6+Depreciation!Q18</f>
        <v>872849951.25535297</v>
      </c>
      <c r="R6" s="1">
        <f ca="1">Q6+Depreciation!R18</f>
        <v>938076575.96727192</v>
      </c>
      <c r="S6" s="1">
        <f ca="1">R6+Depreciation!S18</f>
        <v>1006464581.8177823</v>
      </c>
      <c r="T6" s="1">
        <f ca="1">S6+Depreciation!T18</f>
        <v>1078149505.1360488</v>
      </c>
      <c r="U6" s="1">
        <f ca="1">T6+Depreciation!U18</f>
        <v>1153272319.3220172</v>
      </c>
      <c r="V6" s="1">
        <f ca="1">U6+Depreciation!V18</f>
        <v>1231979644.0297422</v>
      </c>
      <c r="W6" s="1">
        <f ca="1">V6+Depreciation!W18</f>
        <v>1314423962.1708901</v>
      </c>
      <c r="X6" s="1">
        <f ca="1">W6+Depreciation!X18</f>
        <v>1400763845.024699</v>
      </c>
      <c r="Y6" s="1">
        <f ca="1">X6+Depreciation!Y18</f>
        <v>1491164185.7510028</v>
      </c>
      <c r="Z6" s="1">
        <f ca="1">Y6+Depreciation!Z18</f>
        <v>1585796441.6135988</v>
      </c>
      <c r="AA6" s="1">
        <f ca="1">Z6+Depreciation!AA18</f>
        <v>1684838885.232306</v>
      </c>
      <c r="AB6" s="1">
        <f ca="1">AA6+Depreciation!AB18</f>
        <v>1788476865.1935122</v>
      </c>
      <c r="AC6" s="1">
        <f ca="1">AB6+Depreciation!AC18</f>
        <v>1896903076.3608718</v>
      </c>
      <c r="AD6" s="1">
        <f ca="1">AC6+Depreciation!AD18</f>
        <v>2010317840.2400982</v>
      </c>
      <c r="AE6" s="1">
        <f ca="1">AD6+Depreciation!AE18</f>
        <v>2128929395.7645156</v>
      </c>
      <c r="AF6" s="1"/>
      <c r="AG6" s="1"/>
      <c r="AH6" s="1"/>
      <c r="AI6" s="1"/>
      <c r="AJ6" s="1"/>
      <c r="AK6" s="1"/>
      <c r="AL6" s="1"/>
      <c r="AM6" s="1"/>
      <c r="AN6" s="1"/>
      <c r="AO6" s="1"/>
      <c r="AP6" s="1"/>
    </row>
    <row r="7" spans="1:42" x14ac:dyDescent="0.35">
      <c r="A7" t="s">
        <v>12</v>
      </c>
      <c r="B7" s="1">
        <f>Depreciation!C12</f>
        <v>110285936.92985971</v>
      </c>
      <c r="C7" s="1">
        <f>Depreciation!D12</f>
        <v>114974740.9678967</v>
      </c>
      <c r="D7" s="1">
        <f>Depreciation!E12</f>
        <v>120504686.49137813</v>
      </c>
      <c r="E7" s="1">
        <f>Depreciation!F12</f>
        <v>126924805.22003751</v>
      </c>
      <c r="F7" s="1">
        <f>Depreciation!G12</f>
        <v>134286405.57479015</v>
      </c>
      <c r="G7" s="1">
        <f>Depreciation!H12</f>
        <v>142643168.17812788</v>
      </c>
      <c r="H7" s="1">
        <f>Depreciation!I12</f>
        <v>152051245.13519689</v>
      </c>
      <c r="I7" s="1">
        <f>Depreciation!J12</f>
        <v>162569363.23973021</v>
      </c>
      <c r="J7" s="1">
        <f>Depreciation!K12</f>
        <v>174258931.25436142</v>
      </c>
      <c r="K7" s="1">
        <f>Depreciation!L12</f>
        <v>187184151.42039782</v>
      </c>
      <c r="L7" s="1">
        <f>Depreciation!M12</f>
        <v>201412135.35788232</v>
      </c>
      <c r="M7" s="1">
        <f>Depreciation!N12</f>
        <v>217013024.52273759</v>
      </c>
      <c r="N7" s="1">
        <f>Depreciation!O12</f>
        <v>234060115.39396337</v>
      </c>
      <c r="O7" s="1">
        <f>Depreciation!P12</f>
        <v>252629989.57026255</v>
      </c>
      <c r="P7" s="1">
        <f>Depreciation!Q12</f>
        <v>272802648.96210772</v>
      </c>
      <c r="Q7" s="1">
        <f>Depreciation!R12</f>
        <v>294661656.27213728</v>
      </c>
      <c r="R7" s="1">
        <f>Depreciation!S12</f>
        <v>318294280.96389776</v>
      </c>
      <c r="S7" s="1">
        <f>Depreciation!T12</f>
        <v>343791650.9263345</v>
      </c>
      <c r="T7" s="1">
        <f>Depreciation!U12</f>
        <v>371248910.04908645</v>
      </c>
      <c r="U7" s="1">
        <f>Depreciation!V12</f>
        <v>400765381.9315722</v>
      </c>
      <c r="V7" s="1">
        <f>Depreciation!W12</f>
        <v>432444739.95707303</v>
      </c>
      <c r="W7" s="1">
        <f>Depreciation!X12</f>
        <v>466395183.97153419</v>
      </c>
      <c r="X7" s="1">
        <f>Depreciation!Y12</f>
        <v>502729623.81563103</v>
      </c>
      <c r="Y7" s="1">
        <f>Depreciation!Z12</f>
        <v>541565869.96778953</v>
      </c>
      <c r="Z7" s="1">
        <f>Depreciation!AA12</f>
        <v>583026831.56532526</v>
      </c>
      <c r="AA7" s="1">
        <f>Depreciation!AB12</f>
        <v>627240722.0806824</v>
      </c>
      <c r="AB7" s="1">
        <f>Depreciation!AC12</f>
        <v>674341272.93992591</v>
      </c>
      <c r="AC7" s="1">
        <f>Depreciation!AD12</f>
        <v>724467955.38117659</v>
      </c>
      <c r="AD7" s="1">
        <f>Depreciation!AE12</f>
        <v>777766210.86160302</v>
      </c>
      <c r="AE7" s="1">
        <f>Depreciation!AF12</f>
        <v>834387690.33289266</v>
      </c>
      <c r="AF7" s="1"/>
      <c r="AG7" s="1"/>
      <c r="AH7" s="1"/>
      <c r="AI7" s="1"/>
      <c r="AJ7" s="1"/>
      <c r="AK7" s="1"/>
      <c r="AL7" s="1"/>
      <c r="AM7" s="1"/>
      <c r="AN7" s="1"/>
      <c r="AO7" s="1"/>
      <c r="AP7" s="1"/>
    </row>
    <row r="8" spans="1:42" x14ac:dyDescent="0.35">
      <c r="A8" t="s">
        <v>191</v>
      </c>
      <c r="B8" s="1">
        <f t="shared" ref="B8:AE8" si="1">B6-B7</f>
        <v>102496918.07014029</v>
      </c>
      <c r="C8" s="1">
        <f t="shared" ca="1" si="1"/>
        <v>112086999.26616421</v>
      </c>
      <c r="D8" s="1">
        <f ca="1">D6-D7</f>
        <v>139148787.21495977</v>
      </c>
      <c r="E8" s="1">
        <f t="shared" ca="1" si="1"/>
        <v>167054437.1859175</v>
      </c>
      <c r="F8" s="1">
        <f t="shared" ca="1" si="1"/>
        <v>195830245.07759628</v>
      </c>
      <c r="G8" s="1">
        <f t="shared" ca="1" si="1"/>
        <v>225503325.61135191</v>
      </c>
      <c r="H8" s="1">
        <f t="shared" ca="1" si="1"/>
        <v>256101637.80899629</v>
      </c>
      <c r="I8" s="1">
        <f t="shared" ca="1" si="1"/>
        <v>287654011.26255167</v>
      </c>
      <c r="J8" s="1">
        <f t="shared" ca="1" si="1"/>
        <v>320190173.22070599</v>
      </c>
      <c r="K8" s="1">
        <f t="shared" ca="1" si="1"/>
        <v>353740776.51733714</v>
      </c>
      <c r="L8" s="1">
        <f t="shared" ca="1" si="1"/>
        <v>388337428.36826259</v>
      </c>
      <c r="M8" s="1">
        <f t="shared" ca="1" si="1"/>
        <v>424012720.06318128</v>
      </c>
      <c r="N8" s="1">
        <f t="shared" ca="1" si="1"/>
        <v>460800257.58061361</v>
      </c>
      <c r="O8" s="1">
        <f t="shared" ca="1" si="1"/>
        <v>498734693.15450466</v>
      </c>
      <c r="P8" s="1">
        <f t="shared" ca="1" si="1"/>
        <v>537851757.82204986</v>
      </c>
      <c r="Q8" s="1">
        <f t="shared" ca="1" si="1"/>
        <v>578188294.98321569</v>
      </c>
      <c r="R8" s="1">
        <f t="shared" ca="1" si="1"/>
        <v>619782295.0033741</v>
      </c>
      <c r="S8" s="1">
        <f t="shared" ca="1" si="1"/>
        <v>662672930.89144778</v>
      </c>
      <c r="T8" s="1">
        <f t="shared" ca="1" si="1"/>
        <v>706900595.08696234</v>
      </c>
      <c r="U8" s="1">
        <f t="shared" ca="1" si="1"/>
        <v>752506937.39044499</v>
      </c>
      <c r="V8" s="1">
        <f t="shared" ca="1" si="1"/>
        <v>799534904.07266927</v>
      </c>
      <c r="W8" s="1">
        <f t="shared" ca="1" si="1"/>
        <v>848028778.19935584</v>
      </c>
      <c r="X8" s="1">
        <f t="shared" ca="1" si="1"/>
        <v>898034221.20906794</v>
      </c>
      <c r="Y8" s="1">
        <f t="shared" ca="1" si="1"/>
        <v>949598315.78321326</v>
      </c>
      <c r="Z8" s="1">
        <f t="shared" ca="1" si="1"/>
        <v>1002769610.0482736</v>
      </c>
      <c r="AA8" s="1">
        <f t="shared" ca="1" si="1"/>
        <v>1057598163.1516236</v>
      </c>
      <c r="AB8" s="1">
        <f t="shared" ca="1" si="1"/>
        <v>1114135592.2535863</v>
      </c>
      <c r="AC8" s="1">
        <f t="shared" ca="1" si="1"/>
        <v>1172435120.9796953</v>
      </c>
      <c r="AD8" s="1">
        <f t="shared" ca="1" si="1"/>
        <v>1232551629.3784952</v>
      </c>
      <c r="AE8" s="1">
        <f t="shared" ca="1" si="1"/>
        <v>1294541705.431623</v>
      </c>
      <c r="AF8" s="1"/>
      <c r="AG8" s="1"/>
      <c r="AH8" s="1"/>
      <c r="AI8" s="1"/>
      <c r="AJ8" s="1"/>
      <c r="AK8" s="1"/>
      <c r="AL8" s="1"/>
      <c r="AM8" s="1"/>
      <c r="AN8" s="1"/>
      <c r="AO8" s="1"/>
      <c r="AP8" s="1"/>
    </row>
    <row r="10" spans="1:42" x14ac:dyDescent="0.35">
      <c r="A10" t="s">
        <v>17</v>
      </c>
      <c r="B10" s="1">
        <f>B8-B11</f>
        <v>42265918.070140287</v>
      </c>
      <c r="C10" s="1">
        <f ca="1">C8-C11</f>
        <v>35202652.750365406</v>
      </c>
      <c r="D10" s="1">
        <f ca="1">D8-D11</f>
        <v>50214260.692119017</v>
      </c>
      <c r="E10" s="1">
        <f t="shared" ref="E10:AE10" ca="1" si="2">E8-E11</f>
        <v>66569018.355849266</v>
      </c>
      <c r="F10" s="1">
        <f t="shared" ca="1" si="2"/>
        <v>84642451.472889781</v>
      </c>
      <c r="G10" s="1">
        <f ca="1">G8-G11</f>
        <v>104872962.92580611</v>
      </c>
      <c r="H10" s="1">
        <f t="shared" ca="1" si="2"/>
        <v>126359178.31681836</v>
      </c>
      <c r="I10" s="1">
        <f t="shared" ca="1" si="2"/>
        <v>149350737.78067708</v>
      </c>
      <c r="J10" s="1">
        <f t="shared" ca="1" si="2"/>
        <v>173019045.73471132</v>
      </c>
      <c r="K10" s="1">
        <f t="shared" ca="1" si="2"/>
        <v>197473771.90041649</v>
      </c>
      <c r="L10" s="1">
        <f t="shared" ca="1" si="2"/>
        <v>222839014.89293385</v>
      </c>
      <c r="M10" s="1">
        <f t="shared" ca="1" si="2"/>
        <v>248578668.63868964</v>
      </c>
      <c r="N10" s="1">
        <f t="shared" ca="1" si="2"/>
        <v>274741604.97748011</v>
      </c>
      <c r="O10" s="1">
        <f t="shared" ca="1" si="2"/>
        <v>301383966.17081428</v>
      </c>
      <c r="P10" s="1">
        <f t="shared" ca="1" si="2"/>
        <v>328569883.56977457</v>
      </c>
      <c r="Q10" s="1">
        <f t="shared" ca="1" si="2"/>
        <v>356372253.56015122</v>
      </c>
      <c r="R10" s="1">
        <f t="shared" ca="1" si="2"/>
        <v>384873574.83131117</v>
      </c>
      <c r="S10" s="1">
        <f t="shared" ca="1" si="2"/>
        <v>414166851.28100193</v>
      </c>
      <c r="T10" s="1">
        <f t="shared" ca="1" si="2"/>
        <v>444356565.15067244</v>
      </c>
      <c r="U10" s="1">
        <f t="shared" ca="1" si="2"/>
        <v>475559725.28596282</v>
      </c>
      <c r="V10" s="1">
        <f t="shared" ca="1" si="2"/>
        <v>507906995.73580515</v>
      </c>
      <c r="W10" s="1">
        <f t="shared" ca="1" si="2"/>
        <v>541543910.24226761</v>
      </c>
      <c r="X10" s="1">
        <f t="shared" ca="1" si="2"/>
        <v>576632178.5330292</v>
      </c>
      <c r="Y10" s="1">
        <f t="shared" ca="1" si="2"/>
        <v>613351090.71049285</v>
      </c>
      <c r="Z10" s="1">
        <f t="shared" ca="1" si="2"/>
        <v>651899026.43738079</v>
      </c>
      <c r="AA10" s="1">
        <f t="shared" ca="1" si="2"/>
        <v>692495076.04961812</v>
      </c>
      <c r="AB10" s="1">
        <f t="shared" ca="1" si="2"/>
        <v>732586258.61172128</v>
      </c>
      <c r="AC10" s="1">
        <f t="shared" ca="1" si="2"/>
        <v>772069687.96032643</v>
      </c>
      <c r="AD10" s="1">
        <f t="shared" ca="1" si="2"/>
        <v>810836004.92756009</v>
      </c>
      <c r="AE10" s="1">
        <f t="shared" ca="1" si="2"/>
        <v>848769068.7414813</v>
      </c>
      <c r="AF10" s="1"/>
      <c r="AG10" s="1"/>
      <c r="AH10" s="1"/>
      <c r="AI10" s="1"/>
      <c r="AJ10" s="1"/>
      <c r="AK10" s="1"/>
      <c r="AL10" s="1"/>
      <c r="AM10" s="1"/>
      <c r="AN10" s="1"/>
      <c r="AO10" s="1"/>
    </row>
    <row r="11" spans="1:42" x14ac:dyDescent="0.35">
      <c r="A11" t="s">
        <v>9</v>
      </c>
      <c r="B11" s="1">
        <f>Assumptions!$C$20</f>
        <v>60231000</v>
      </c>
      <c r="C11" s="1">
        <f ca="1">'Debt worksheet'!D5</f>
        <v>76884346.515798807</v>
      </c>
      <c r="D11" s="1">
        <f ca="1">'Debt worksheet'!E5</f>
        <v>88934526.522840753</v>
      </c>
      <c r="E11" s="1">
        <f ca="1">'Debt worksheet'!F5</f>
        <v>100485418.83006823</v>
      </c>
      <c r="F11" s="1">
        <f ca="1">'Debt worksheet'!G5</f>
        <v>111187793.6047065</v>
      </c>
      <c r="G11" s="1">
        <f ca="1">'Debt worksheet'!H5</f>
        <v>120630362.6855458</v>
      </c>
      <c r="H11" s="1">
        <f ca="1">'Debt worksheet'!I5</f>
        <v>129742459.49217793</v>
      </c>
      <c r="I11" s="1">
        <f ca="1">'Debt worksheet'!J5</f>
        <v>138303273.48187459</v>
      </c>
      <c r="J11" s="1">
        <f ca="1">'Debt worksheet'!K5</f>
        <v>147171127.48599467</v>
      </c>
      <c r="K11" s="1">
        <f ca="1">'Debt worksheet'!L5</f>
        <v>156267004.61692065</v>
      </c>
      <c r="L11" s="1">
        <f ca="1">'Debt worksheet'!M5</f>
        <v>165498413.47532874</v>
      </c>
      <c r="M11" s="1">
        <f ca="1">'Debt worksheet'!N5</f>
        <v>175434051.42449164</v>
      </c>
      <c r="N11" s="1">
        <f ca="1">'Debt worksheet'!O5</f>
        <v>186058652.6031335</v>
      </c>
      <c r="O11" s="1">
        <f ca="1">'Debt worksheet'!P5</f>
        <v>197350726.98369038</v>
      </c>
      <c r="P11" s="1">
        <f ca="1">'Debt worksheet'!Q5</f>
        <v>209281874.25227529</v>
      </c>
      <c r="Q11" s="1">
        <f ca="1">'Debt worksheet'!R5</f>
        <v>221816041.4230645</v>
      </c>
      <c r="R11" s="1">
        <f ca="1">'Debt worksheet'!S5</f>
        <v>234908720.17206293</v>
      </c>
      <c r="S11" s="1">
        <f ca="1">'Debt worksheet'!T5</f>
        <v>248506079.61044589</v>
      </c>
      <c r="T11" s="1">
        <f ca="1">'Debt worksheet'!U5</f>
        <v>262544029.93628991</v>
      </c>
      <c r="U11" s="1">
        <f ca="1">'Debt worksheet'!V5</f>
        <v>276947212.10448217</v>
      </c>
      <c r="V11" s="1">
        <f ca="1">'Debt worksheet'!W5</f>
        <v>291627908.33686411</v>
      </c>
      <c r="W11" s="1">
        <f ca="1">'Debt worksheet'!X5</f>
        <v>306484867.95708817</v>
      </c>
      <c r="X11" s="1">
        <f ca="1">'Debt worksheet'!Y5</f>
        <v>321402042.67603874</v>
      </c>
      <c r="Y11" s="1">
        <f ca="1">'Debt worksheet'!Z5</f>
        <v>336247225.07272035</v>
      </c>
      <c r="Z11" s="1">
        <f ca="1">'Debt worksheet'!AA5</f>
        <v>350870583.61089283</v>
      </c>
      <c r="AA11" s="1">
        <f ca="1">'Debt worksheet'!AB5</f>
        <v>365103087.10200548</v>
      </c>
      <c r="AB11" s="1">
        <f ca="1">'Debt worksheet'!AC5</f>
        <v>381549333.64186496</v>
      </c>
      <c r="AC11" s="1">
        <f ca="1">'Debt worksheet'!AD5</f>
        <v>400365433.01936889</v>
      </c>
      <c r="AD11" s="1">
        <f ca="1">'Debt worksheet'!AE5</f>
        <v>421715624.45093513</v>
      </c>
      <c r="AE11" s="1">
        <f ca="1">'Debt worksheet'!AF5</f>
        <v>445772636.69014168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10384375.804201193</v>
      </c>
      <c r="D5" s="4">
        <f ca="1">'Profit and Loss'!D9</f>
        <v>15852749.42719806</v>
      </c>
      <c r="E5" s="4">
        <f ca="1">'Profit and Loss'!E9</f>
        <v>17244930.868908212</v>
      </c>
      <c r="F5" s="4">
        <f ca="1">'Profit and Loss'!F9</f>
        <v>19014914.743133754</v>
      </c>
      <c r="G5" s="4">
        <f ca="1">'Profit and Loss'!G9</f>
        <v>21225673.701501437</v>
      </c>
      <c r="H5" s="4">
        <f ca="1">'Profit and Loss'!H9</f>
        <v>22537529.744743492</v>
      </c>
      <c r="I5" s="4">
        <f ca="1">'Profit and Loss'!I9</f>
        <v>24101600.611322988</v>
      </c>
      <c r="J5" s="4">
        <f ca="1">'Profit and Loss'!J9</f>
        <v>24839757.864132196</v>
      </c>
      <c r="K5" s="4">
        <f ca="1">'Profit and Loss'!K9</f>
        <v>25690378.317110382</v>
      </c>
      <c r="L5" s="4">
        <f ca="1">'Profit and Loss'!L9</f>
        <v>26668006.76396542</v>
      </c>
      <c r="M5" s="4">
        <f ca="1">'Profit and Loss'!M9</f>
        <v>27112558.97312656</v>
      </c>
      <c r="N5" s="4">
        <f ca="1">'Profit and Loss'!N9</f>
        <v>27609138.045160878</v>
      </c>
      <c r="O5" s="4">
        <f ca="1">'Profit and Loss'!O9</f>
        <v>28165144.498407524</v>
      </c>
      <c r="P5" s="4">
        <f ca="1">'Profit and Loss'!P9</f>
        <v>28788702.614506386</v>
      </c>
      <c r="Q5" s="4">
        <f ca="1">'Profit and Loss'!Q9</f>
        <v>29488717.908560976</v>
      </c>
      <c r="R5" s="4">
        <f ca="1">'Profit and Loss'!R9</f>
        <v>30274938.65289095</v>
      </c>
      <c r="S5" s="4">
        <f ca="1">'Profit and Loss'!S9</f>
        <v>31158021.720366918</v>
      </c>
      <c r="T5" s="4">
        <f ca="1">'Profit and Loss'!T9</f>
        <v>32149603.02998583</v>
      </c>
      <c r="U5" s="4">
        <f ca="1">'Profit and Loss'!U9</f>
        <v>33262372.895024154</v>
      </c>
      <c r="V5" s="4">
        <f ca="1">'Profit and Loss'!V9</f>
        <v>34510156.592857376</v>
      </c>
      <c r="W5" s="4">
        <f ca="1">'Profit and Loss'!W9</f>
        <v>35908000.495422952</v>
      </c>
      <c r="X5" s="4">
        <f ca="1">'Profit and Loss'!X9</f>
        <v>37472264.120397165</v>
      </c>
      <c r="Y5" s="4">
        <f ca="1">'Profit and Loss'!Y9</f>
        <v>39220718.485525198</v>
      </c>
      <c r="Z5" s="4">
        <f ca="1">'Profit and Loss'!Z9</f>
        <v>41172651.172264971</v>
      </c>
      <c r="AA5" s="4">
        <f ca="1">'Profit and Loss'!AA9</f>
        <v>43348978.530058831</v>
      </c>
      <c r="AB5" s="4">
        <f ca="1">'Profit and Loss'!AB9</f>
        <v>42977842.905989453</v>
      </c>
      <c r="AC5" s="4">
        <f ca="1">'Profit and Loss'!AC9</f>
        <v>42509560.930612147</v>
      </c>
      <c r="AD5" s="4">
        <f ca="1">'Profit and Loss'!AD9</f>
        <v>41937890.0064096</v>
      </c>
      <c r="AE5" s="4">
        <f ca="1">'Profit and Loss'!AE9</f>
        <v>41256287.804784484</v>
      </c>
      <c r="AF5" s="4">
        <f ca="1">'Profit and Loss'!AF9</f>
        <v>40457899.900766447</v>
      </c>
      <c r="AG5" s="4"/>
      <c r="AH5" s="4"/>
      <c r="AI5" s="4"/>
      <c r="AJ5" s="4"/>
      <c r="AK5" s="4"/>
      <c r="AL5" s="4"/>
      <c r="AM5" s="4"/>
      <c r="AN5" s="4"/>
      <c r="AO5" s="4"/>
      <c r="AP5" s="4"/>
    </row>
    <row r="6" spans="1:42" x14ac:dyDescent="0.35">
      <c r="A6" t="s">
        <v>21</v>
      </c>
      <c r="C6" s="4">
        <f>Depreciation!C8+Depreciation!C9</f>
        <v>3894509.4298597211</v>
      </c>
      <c r="D6" s="4">
        <f>Depreciation!D8+Depreciation!D9</f>
        <v>4688804.0380369918</v>
      </c>
      <c r="E6" s="4">
        <f>Depreciation!E8+Depreciation!E9</f>
        <v>5529945.5234814314</v>
      </c>
      <c r="F6" s="4">
        <f>Depreciation!F8+Depreciation!F9</f>
        <v>6420118.7286593653</v>
      </c>
      <c r="G6" s="4">
        <f>Depreciation!G8+Depreciation!G9</f>
        <v>7361600.3547526449</v>
      </c>
      <c r="H6" s="4">
        <f>Depreciation!H8+Depreciation!H9</f>
        <v>8356762.6033377433</v>
      </c>
      <c r="I6" s="4">
        <f>Depreciation!I8+Depreciation!I9</f>
        <v>9408076.9570690207</v>
      </c>
      <c r="J6" s="4">
        <f>Depreciation!J8+Depreciation!J9</f>
        <v>10518118.104533289</v>
      </c>
      <c r="K6" s="4">
        <f>Depreciation!K8+Depreciation!K9</f>
        <v>11689568.014631225</v>
      </c>
      <c r="L6" s="4">
        <f>Depreciation!L8+Depreciation!L9</f>
        <v>12925220.166036386</v>
      </c>
      <c r="M6" s="4">
        <f>Depreciation!M8+Depreciation!M9</f>
        <v>14227983.937484495</v>
      </c>
      <c r="N6" s="4">
        <f>Depreciation!N8+Depreciation!N9</f>
        <v>15600889.164855268</v>
      </c>
      <c r="O6" s="4">
        <f>Depreciation!O8+Depreciation!O9</f>
        <v>17047090.871225785</v>
      </c>
      <c r="P6" s="4">
        <f>Depreciation!P8+Depreciation!P9</f>
        <v>18569874.176299196</v>
      </c>
      <c r="Q6" s="4">
        <f>Depreciation!Q8+Depreciation!Q9</f>
        <v>20172659.39184517</v>
      </c>
      <c r="R6" s="4">
        <f>Depreciation!R8+Depreciation!R9</f>
        <v>21859007.310029563</v>
      </c>
      <c r="S6" s="4">
        <f>Depreciation!S8+Depreciation!S9</f>
        <v>23632624.691760506</v>
      </c>
      <c r="T6" s="4">
        <f>Depreciation!T8+Depreciation!T9</f>
        <v>25497369.962436758</v>
      </c>
      <c r="U6" s="4">
        <f>Depreciation!U8+Depreciation!U9</f>
        <v>27457259.122751925</v>
      </c>
      <c r="V6" s="4">
        <f>Depreciation!V8+Depreciation!V9</f>
        <v>29516471.882485736</v>
      </c>
      <c r="W6" s="4">
        <f>Depreciation!W8+Depreciation!W9</f>
        <v>31679358.025500804</v>
      </c>
      <c r="X6" s="4">
        <f>Depreciation!X8+Depreciation!X9</f>
        <v>33950444.014461175</v>
      </c>
      <c r="Y6" s="4">
        <f>Depreciation!Y8+Depreciation!Y9</f>
        <v>36334439.844096884</v>
      </c>
      <c r="Z6" s="4">
        <f>Depreciation!Z8+Depreciation!Z9</f>
        <v>38836246.152158499</v>
      </c>
      <c r="AA6" s="4">
        <f>Depreciation!AA8+Depreciation!AA9</f>
        <v>41460961.597535692</v>
      </c>
      <c r="AB6" s="4">
        <f>Depreciation!AB8+Depreciation!AB9</f>
        <v>44213890.515357211</v>
      </c>
      <c r="AC6" s="4">
        <f>Depreciation!AC8+Depreciation!AC9</f>
        <v>47100550.859243423</v>
      </c>
      <c r="AD6" s="4">
        <f>Depreciation!AD8+Depreciation!AD9</f>
        <v>50126682.441250637</v>
      </c>
      <c r="AE6" s="4">
        <f>Depreciation!AE8+Depreciation!AE9</f>
        <v>53298255.480426446</v>
      </c>
      <c r="AF6" s="4">
        <f>Depreciation!AF8+Depreciation!AF9</f>
        <v>56621479.471289642</v>
      </c>
      <c r="AG6" s="4"/>
      <c r="AH6" s="4"/>
      <c r="AI6" s="4"/>
      <c r="AJ6" s="4"/>
      <c r="AK6" s="4"/>
      <c r="AL6" s="4"/>
      <c r="AM6" s="4"/>
      <c r="AN6" s="4"/>
      <c r="AO6" s="4"/>
      <c r="AP6" s="4"/>
    </row>
    <row r="7" spans="1:42" x14ac:dyDescent="0.35">
      <c r="A7" t="s">
        <v>23</v>
      </c>
      <c r="C7" s="4">
        <f ca="1">C6+C5</f>
        <v>14278885.234060913</v>
      </c>
      <c r="D7" s="4">
        <f ca="1">D6+D5</f>
        <v>20541553.465235051</v>
      </c>
      <c r="E7" s="4">
        <f t="shared" ref="E7:AF7" ca="1" si="1">E6+E5</f>
        <v>22774876.392389644</v>
      </c>
      <c r="F7" s="4">
        <f t="shared" ca="1" si="1"/>
        <v>25435033.471793119</v>
      </c>
      <c r="G7" s="4">
        <f ca="1">G6+G5</f>
        <v>28587274.056254081</v>
      </c>
      <c r="H7" s="4">
        <f t="shared" ca="1" si="1"/>
        <v>30894292.348081235</v>
      </c>
      <c r="I7" s="4">
        <f t="shared" ca="1" si="1"/>
        <v>33509677.568392009</v>
      </c>
      <c r="J7" s="4">
        <f t="shared" ca="1" si="1"/>
        <v>35357875.968665481</v>
      </c>
      <c r="K7" s="4">
        <f t="shared" ca="1" si="1"/>
        <v>37379946.331741609</v>
      </c>
      <c r="L7" s="4">
        <f t="shared" ca="1" si="1"/>
        <v>39593226.93000181</v>
      </c>
      <c r="M7" s="4">
        <f t="shared" ca="1" si="1"/>
        <v>41340542.910611056</v>
      </c>
      <c r="N7" s="4">
        <f t="shared" ca="1" si="1"/>
        <v>43210027.210016146</v>
      </c>
      <c r="O7" s="4">
        <f t="shared" ca="1" si="1"/>
        <v>45212235.36963331</v>
      </c>
      <c r="P7" s="4">
        <f t="shared" ca="1" si="1"/>
        <v>47358576.790805578</v>
      </c>
      <c r="Q7" s="4">
        <f t="shared" ca="1" si="1"/>
        <v>49661377.300406143</v>
      </c>
      <c r="R7" s="4">
        <f t="shared" ca="1" si="1"/>
        <v>52133945.962920517</v>
      </c>
      <c r="S7" s="4">
        <f t="shared" ca="1" si="1"/>
        <v>54790646.41212742</v>
      </c>
      <c r="T7" s="4">
        <f t="shared" ca="1" si="1"/>
        <v>57646972.992422588</v>
      </c>
      <c r="U7" s="4">
        <f t="shared" ca="1" si="1"/>
        <v>60719632.017776079</v>
      </c>
      <c r="V7" s="4">
        <f t="shared" ca="1" si="1"/>
        <v>64026628.475343108</v>
      </c>
      <c r="W7" s="4">
        <f t="shared" ca="1" si="1"/>
        <v>67587358.520923764</v>
      </c>
      <c r="X7" s="4">
        <f t="shared" ca="1" si="1"/>
        <v>71422708.13485834</v>
      </c>
      <c r="Y7" s="4">
        <f t="shared" ca="1" si="1"/>
        <v>75555158.32962209</v>
      </c>
      <c r="Z7" s="4">
        <f t="shared" ca="1" si="1"/>
        <v>80008897.324423462</v>
      </c>
      <c r="AA7" s="4">
        <f t="shared" ca="1" si="1"/>
        <v>84809940.127594531</v>
      </c>
      <c r="AB7" s="4">
        <f t="shared" ca="1" si="1"/>
        <v>87191733.421346664</v>
      </c>
      <c r="AC7" s="4">
        <f t="shared" ca="1" si="1"/>
        <v>89610111.78985557</v>
      </c>
      <c r="AD7" s="4">
        <f t="shared" ca="1" si="1"/>
        <v>92064572.447660238</v>
      </c>
      <c r="AE7" s="4">
        <f t="shared" ca="1" si="1"/>
        <v>94554543.285210937</v>
      </c>
      <c r="AF7" s="4">
        <f t="shared" ca="1" si="1"/>
        <v>97079379.372056097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30932231.749859724</v>
      </c>
      <c r="D10" s="9">
        <f>Investment!D25</f>
        <v>32591733.472276993</v>
      </c>
      <c r="E10" s="9">
        <f>Investment!E25</f>
        <v>34325768.699617118</v>
      </c>
      <c r="F10" s="9">
        <f>Investment!F25</f>
        <v>36137408.246431388</v>
      </c>
      <c r="G10" s="9">
        <f>Investment!G25</f>
        <v>38029843.13709338</v>
      </c>
      <c r="H10" s="9">
        <f>Investment!H25</f>
        <v>40006389.15471337</v>
      </c>
      <c r="I10" s="9">
        <f>Investment!I25</f>
        <v>42070491.558088668</v>
      </c>
      <c r="J10" s="9">
        <f>Investment!J25</f>
        <v>44225729.972785562</v>
      </c>
      <c r="K10" s="9">
        <f>Investment!K25</f>
        <v>46475823.462667577</v>
      </c>
      <c r="L10" s="9">
        <f>Investment!L25</f>
        <v>48824635.788409904</v>
      </c>
      <c r="M10" s="9">
        <f>Investment!M25</f>
        <v>51276180.859773964</v>
      </c>
      <c r="N10" s="9">
        <f>Investment!N25</f>
        <v>53834628.388658002</v>
      </c>
      <c r="O10" s="9">
        <f>Investment!O25</f>
        <v>56504309.750190206</v>
      </c>
      <c r="P10" s="9">
        <f>Investment!P25</f>
        <v>59289724.059390478</v>
      </c>
      <c r="Q10" s="9">
        <f>Investment!Q25</f>
        <v>62195544.471195355</v>
      </c>
      <c r="R10" s="9">
        <f>Investment!R25</f>
        <v>65226624.711918965</v>
      </c>
      <c r="S10" s="9">
        <f>Investment!S25</f>
        <v>68388005.850510374</v>
      </c>
      <c r="T10" s="9">
        <f>Investment!T25</f>
        <v>71684923.318266615</v>
      </c>
      <c r="U10" s="9">
        <f>Investment!U25</f>
        <v>75122814.185968339</v>
      </c>
      <c r="V10" s="9">
        <f>Investment!V25</f>
        <v>78707324.707725078</v>
      </c>
      <c r="W10" s="9">
        <f>Investment!W25</f>
        <v>82444318.141147807</v>
      </c>
      <c r="X10" s="9">
        <f>Investment!X25</f>
        <v>86339882.85380888</v>
      </c>
      <c r="Y10" s="9">
        <f>Investment!Y25</f>
        <v>90400340.726303712</v>
      </c>
      <c r="Z10" s="9">
        <f>Investment!Z25</f>
        <v>94632255.862595946</v>
      </c>
      <c r="AA10" s="9">
        <f>Investment!AA25</f>
        <v>99042443.61870715</v>
      </c>
      <c r="AB10" s="9">
        <f>Investment!AB25</f>
        <v>103637979.96120614</v>
      </c>
      <c r="AC10" s="9">
        <f>Investment!AC25</f>
        <v>108426211.16735952</v>
      </c>
      <c r="AD10" s="9">
        <f>Investment!AD25</f>
        <v>113414763.87922645</v>
      </c>
      <c r="AE10" s="9">
        <f>Investment!AE25</f>
        <v>118611555.52441747</v>
      </c>
      <c r="AF10" s="9">
        <f>Investment!AF25</f>
        <v>124024805.11668839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-16653346.515798811</v>
      </c>
      <c r="D12" s="1">
        <f t="shared" ref="D12:AF12" ca="1" si="2">D7-D9-D10</f>
        <v>-12050180.007041942</v>
      </c>
      <c r="E12" s="1">
        <f ca="1">E7-E9-E10</f>
        <v>-11550892.307227474</v>
      </c>
      <c r="F12" s="1">
        <f t="shared" ca="1" si="2"/>
        <v>-10702374.774638269</v>
      </c>
      <c r="G12" s="1">
        <f ca="1">G7-G9-G10</f>
        <v>-9442569.0808392987</v>
      </c>
      <c r="H12" s="1">
        <f t="shared" ca="1" si="2"/>
        <v>-9112096.8066321351</v>
      </c>
      <c r="I12" s="1">
        <f t="shared" ca="1" si="2"/>
        <v>-8560813.9896966591</v>
      </c>
      <c r="J12" s="1">
        <f t="shared" ca="1" si="2"/>
        <v>-8867854.0041200817</v>
      </c>
      <c r="K12" s="1">
        <f t="shared" ca="1" si="2"/>
        <v>-9095877.1309259683</v>
      </c>
      <c r="L12" s="1">
        <f t="shared" ca="1" si="2"/>
        <v>-9231408.8584080935</v>
      </c>
      <c r="M12" s="1">
        <f t="shared" ca="1" si="2"/>
        <v>-9935637.9491629079</v>
      </c>
      <c r="N12" s="1">
        <f t="shared" ca="1" si="2"/>
        <v>-10624601.178641856</v>
      </c>
      <c r="O12" s="1">
        <f t="shared" ca="1" si="2"/>
        <v>-11292074.380556896</v>
      </c>
      <c r="P12" s="1">
        <f t="shared" ca="1" si="2"/>
        <v>-11931147.2685849</v>
      </c>
      <c r="Q12" s="1">
        <f t="shared" ca="1" si="2"/>
        <v>-12534167.170789212</v>
      </c>
      <c r="R12" s="1">
        <f t="shared" ca="1" si="2"/>
        <v>-13092678.748998448</v>
      </c>
      <c r="S12" s="1">
        <f t="shared" ca="1" si="2"/>
        <v>-13597359.438382953</v>
      </c>
      <c r="T12" s="1">
        <f t="shared" ca="1" si="2"/>
        <v>-14037950.325844027</v>
      </c>
      <c r="U12" s="1">
        <f t="shared" ca="1" si="2"/>
        <v>-14403182.16819226</v>
      </c>
      <c r="V12" s="1">
        <f t="shared" ca="1" si="2"/>
        <v>-14680696.23238197</v>
      </c>
      <c r="W12" s="1">
        <f t="shared" ca="1" si="2"/>
        <v>-14856959.620224044</v>
      </c>
      <c r="X12" s="1">
        <f t="shared" ca="1" si="2"/>
        <v>-14917174.71895054</v>
      </c>
      <c r="Y12" s="1">
        <f t="shared" ca="1" si="2"/>
        <v>-14845182.396681622</v>
      </c>
      <c r="Z12" s="1">
        <f t="shared" ca="1" si="2"/>
        <v>-14623358.538172483</v>
      </c>
      <c r="AA12" s="1">
        <f t="shared" ca="1" si="2"/>
        <v>-14232503.49111262</v>
      </c>
      <c r="AB12" s="1">
        <f t="shared" ca="1" si="2"/>
        <v>-16446246.539859474</v>
      </c>
      <c r="AC12" s="1">
        <f t="shared" ca="1" si="2"/>
        <v>-18816099.377503946</v>
      </c>
      <c r="AD12" s="1">
        <f t="shared" ca="1" si="2"/>
        <v>-21350191.431566209</v>
      </c>
      <c r="AE12" s="1">
        <f t="shared" ca="1" si="2"/>
        <v>-24057012.239206538</v>
      </c>
      <c r="AF12" s="1">
        <f t="shared" ca="1" si="2"/>
        <v>-26945425.744632289</v>
      </c>
      <c r="AG12" s="1"/>
      <c r="AH12" s="1"/>
      <c r="AI12" s="1"/>
      <c r="AJ12" s="1"/>
      <c r="AK12" s="1"/>
      <c r="AL12" s="1"/>
      <c r="AM12" s="1"/>
      <c r="AN12" s="1"/>
      <c r="AO12" s="1"/>
      <c r="AP12" s="1"/>
    </row>
    <row r="13" spans="1:42" x14ac:dyDescent="0.35">
      <c r="A13" t="s">
        <v>19</v>
      </c>
      <c r="C13" s="1">
        <f ca="1">C12</f>
        <v>-16653346.515798811</v>
      </c>
      <c r="D13" s="1">
        <f ca="1">D12</f>
        <v>-12050180.007041942</v>
      </c>
      <c r="E13" s="1">
        <f ca="1">E12</f>
        <v>-11550892.307227474</v>
      </c>
      <c r="F13" s="1">
        <f t="shared" ref="F13:AF13" ca="1" si="3">F12</f>
        <v>-10702374.774638269</v>
      </c>
      <c r="G13" s="1">
        <f ca="1">G12</f>
        <v>-9442569.0808392987</v>
      </c>
      <c r="H13" s="1">
        <f t="shared" ca="1" si="3"/>
        <v>-9112096.8066321351</v>
      </c>
      <c r="I13" s="1">
        <f t="shared" ca="1" si="3"/>
        <v>-8560813.9896966591</v>
      </c>
      <c r="J13" s="1">
        <f t="shared" ca="1" si="3"/>
        <v>-8867854.0041200817</v>
      </c>
      <c r="K13" s="1">
        <f t="shared" ca="1" si="3"/>
        <v>-9095877.1309259683</v>
      </c>
      <c r="L13" s="1">
        <f t="shared" ca="1" si="3"/>
        <v>-9231408.8584080935</v>
      </c>
      <c r="M13" s="1">
        <f t="shared" ca="1" si="3"/>
        <v>-9935637.9491629079</v>
      </c>
      <c r="N13" s="1">
        <f t="shared" ca="1" si="3"/>
        <v>-10624601.178641856</v>
      </c>
      <c r="O13" s="1">
        <f t="shared" ca="1" si="3"/>
        <v>-11292074.380556896</v>
      </c>
      <c r="P13" s="1">
        <f t="shared" ca="1" si="3"/>
        <v>-11931147.2685849</v>
      </c>
      <c r="Q13" s="1">
        <f t="shared" ca="1" si="3"/>
        <v>-12534167.170789212</v>
      </c>
      <c r="R13" s="1">
        <f t="shared" ca="1" si="3"/>
        <v>-13092678.748998448</v>
      </c>
      <c r="S13" s="1">
        <f t="shared" ca="1" si="3"/>
        <v>-13597359.438382953</v>
      </c>
      <c r="T13" s="1">
        <f t="shared" ca="1" si="3"/>
        <v>-14037950.325844027</v>
      </c>
      <c r="U13" s="1">
        <f t="shared" ca="1" si="3"/>
        <v>-14403182.16819226</v>
      </c>
      <c r="V13" s="1">
        <f t="shared" ca="1" si="3"/>
        <v>-14680696.23238197</v>
      </c>
      <c r="W13" s="1">
        <f t="shared" ca="1" si="3"/>
        <v>-14856959.620224044</v>
      </c>
      <c r="X13" s="1">
        <f t="shared" ca="1" si="3"/>
        <v>-14917174.71895054</v>
      </c>
      <c r="Y13" s="1">
        <f t="shared" ca="1" si="3"/>
        <v>-14845182.396681622</v>
      </c>
      <c r="Z13" s="1">
        <f t="shared" ca="1" si="3"/>
        <v>-14623358.538172483</v>
      </c>
      <c r="AA13" s="1">
        <f t="shared" ca="1" si="3"/>
        <v>-14232503.49111262</v>
      </c>
      <c r="AB13" s="1">
        <f t="shared" ca="1" si="3"/>
        <v>-16446246.539859474</v>
      </c>
      <c r="AC13" s="1">
        <f t="shared" ca="1" si="3"/>
        <v>-18816099.377503946</v>
      </c>
      <c r="AD13" s="1">
        <f t="shared" ca="1" si="3"/>
        <v>-21350191.431566209</v>
      </c>
      <c r="AE13" s="1">
        <f t="shared" ca="1" si="3"/>
        <v>-24057012.239206538</v>
      </c>
      <c r="AF13" s="1">
        <f t="shared" ca="1" si="3"/>
        <v>-26945425.744632289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212782855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106391427.5</v>
      </c>
      <c r="D7" s="9">
        <f>C12</f>
        <v>110285936.92985971</v>
      </c>
      <c r="E7" s="9">
        <f>D12</f>
        <v>114974740.9678967</v>
      </c>
      <c r="F7" s="9">
        <f t="shared" ref="F7:H7" si="1">E12</f>
        <v>120504686.49137813</v>
      </c>
      <c r="G7" s="9">
        <f t="shared" si="1"/>
        <v>126924805.22003751</v>
      </c>
      <c r="H7" s="9">
        <f t="shared" si="1"/>
        <v>134286405.57479015</v>
      </c>
      <c r="I7" s="9">
        <f t="shared" ref="I7" si="2">H12</f>
        <v>142643168.17812788</v>
      </c>
      <c r="J7" s="9">
        <f t="shared" ref="J7" si="3">I12</f>
        <v>152051245.13519689</v>
      </c>
      <c r="K7" s="9">
        <f t="shared" ref="K7" si="4">J12</f>
        <v>162569363.23973021</v>
      </c>
      <c r="L7" s="9">
        <f t="shared" ref="L7" si="5">K12</f>
        <v>174258931.25436142</v>
      </c>
      <c r="M7" s="9">
        <f t="shared" ref="M7" si="6">L12</f>
        <v>187184151.42039782</v>
      </c>
      <c r="N7" s="9">
        <f t="shared" ref="N7" si="7">M12</f>
        <v>201412135.35788232</v>
      </c>
      <c r="O7" s="9">
        <f t="shared" ref="O7" si="8">N12</f>
        <v>217013024.52273759</v>
      </c>
      <c r="P7" s="9">
        <f t="shared" ref="P7" si="9">O12</f>
        <v>234060115.39396337</v>
      </c>
      <c r="Q7" s="9">
        <f t="shared" ref="Q7" si="10">P12</f>
        <v>252629989.57026255</v>
      </c>
      <c r="R7" s="9">
        <f t="shared" ref="R7" si="11">Q12</f>
        <v>272802648.96210772</v>
      </c>
      <c r="S7" s="9">
        <f t="shared" ref="S7" si="12">R12</f>
        <v>294661656.27213728</v>
      </c>
      <c r="T7" s="9">
        <f t="shared" ref="T7" si="13">S12</f>
        <v>318294280.96389776</v>
      </c>
      <c r="U7" s="9">
        <f t="shared" ref="U7" si="14">T12</f>
        <v>343791650.9263345</v>
      </c>
      <c r="V7" s="9">
        <f t="shared" ref="V7" si="15">U12</f>
        <v>371248910.04908645</v>
      </c>
      <c r="W7" s="9">
        <f t="shared" ref="W7" si="16">V12</f>
        <v>400765381.9315722</v>
      </c>
      <c r="X7" s="9">
        <f t="shared" ref="X7" si="17">W12</f>
        <v>432444739.95707303</v>
      </c>
      <c r="Y7" s="9">
        <f t="shared" ref="Y7" si="18">X12</f>
        <v>466395183.97153419</v>
      </c>
      <c r="Z7" s="9">
        <f t="shared" ref="Z7" si="19">Y12</f>
        <v>502729623.81563103</v>
      </c>
      <c r="AA7" s="9">
        <f t="shared" ref="AA7" si="20">Z12</f>
        <v>541565869.96778953</v>
      </c>
      <c r="AB7" s="9">
        <f t="shared" ref="AB7" si="21">AA12</f>
        <v>583026831.56532526</v>
      </c>
      <c r="AC7" s="9">
        <f t="shared" ref="AC7" si="22">AB12</f>
        <v>627240722.0806824</v>
      </c>
      <c r="AD7" s="9">
        <f t="shared" ref="AD7" si="23">AC12</f>
        <v>674341272.93992591</v>
      </c>
      <c r="AE7" s="9">
        <f t="shared" ref="AE7" si="24">AD12</f>
        <v>724467955.38117659</v>
      </c>
      <c r="AF7" s="9">
        <f t="shared" ref="AF7" si="25">AE12</f>
        <v>777766210.86160302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3245604.0941797211</v>
      </c>
      <c r="D8" s="9">
        <f>Assumptions!E111*Assumptions!E11</f>
        <v>3349463.4251934718</v>
      </c>
      <c r="E8" s="9">
        <f>Assumptions!F111*Assumptions!F11</f>
        <v>3456646.2547996626</v>
      </c>
      <c r="F8" s="9">
        <f>Assumptions!G111*Assumptions!G11</f>
        <v>3567258.9349532519</v>
      </c>
      <c r="G8" s="9">
        <f>Assumptions!H111*Assumptions!H11</f>
        <v>3681411.2208717563</v>
      </c>
      <c r="H8" s="9">
        <f>Assumptions!I111*Assumptions!I11</f>
        <v>3799216.379939652</v>
      </c>
      <c r="I8" s="9">
        <f>Assumptions!J111*Assumptions!J11</f>
        <v>3920791.3040977204</v>
      </c>
      <c r="J8" s="9">
        <f>Assumptions!K111*Assumptions!K11</f>
        <v>4046256.6258288482</v>
      </c>
      <c r="K8" s="9">
        <f>Assumptions!L111*Assumptions!L11</f>
        <v>4175736.8378553716</v>
      </c>
      <c r="L8" s="9">
        <f>Assumptions!M111*Assumptions!M11</f>
        <v>4309360.4166667433</v>
      </c>
      <c r="M8" s="9">
        <f>Assumptions!N111*Assumptions!N11</f>
        <v>4447259.9500000784</v>
      </c>
      <c r="N8" s="9">
        <f>Assumptions!O111*Assumptions!O11</f>
        <v>4589572.2684000814</v>
      </c>
      <c r="O8" s="9">
        <f>Assumptions!P111*Assumptions!P11</f>
        <v>4736438.5809888849</v>
      </c>
      <c r="P8" s="9">
        <f>Assumptions!Q111*Assumptions!Q11</f>
        <v>4888004.615580528</v>
      </c>
      <c r="Q8" s="9">
        <f>Assumptions!R111*Assumptions!R11</f>
        <v>5044420.7632791037</v>
      </c>
      <c r="R8" s="9">
        <f>Assumptions!S111*Assumptions!S11</f>
        <v>5205842.227704036</v>
      </c>
      <c r="S8" s="9">
        <f>Assumptions!T111*Assumptions!T11</f>
        <v>5372429.1789905662</v>
      </c>
      <c r="T8" s="9">
        <f>Assumptions!U111*Assumptions!U11</f>
        <v>5544346.9127182635</v>
      </c>
      <c r="U8" s="9">
        <f>Assumptions!V111*Assumptions!V11</f>
        <v>5721766.0139252469</v>
      </c>
      <c r="V8" s="9">
        <f>Assumptions!W111*Assumptions!W11</f>
        <v>5904862.526370856</v>
      </c>
      <c r="W8" s="9">
        <f>Assumptions!X111*Assumptions!X11</f>
        <v>6093818.1272147242</v>
      </c>
      <c r="X8" s="9">
        <f>Assumptions!Y111*Assumptions!Y11</f>
        <v>6288820.3072855948</v>
      </c>
      <c r="Y8" s="9">
        <f>Assumptions!Z111*Assumptions!Z11</f>
        <v>6490062.5571187325</v>
      </c>
      <c r="Z8" s="9">
        <f>Assumptions!AA111*Assumptions!AA11</f>
        <v>6697744.5589465322</v>
      </c>
      <c r="AA8" s="9">
        <f>Assumptions!AB111*Assumptions!AB11</f>
        <v>6912072.3848328227</v>
      </c>
      <c r="AB8" s="9">
        <f>Assumptions!AC111*Assumptions!AC11</f>
        <v>7133258.7011474716</v>
      </c>
      <c r="AC8" s="9">
        <f>Assumptions!AD111*Assumptions!AD11</f>
        <v>7361522.9795841901</v>
      </c>
      <c r="AD8" s="9">
        <f>Assumptions!AE111*Assumptions!AE11</f>
        <v>7597091.7149308855</v>
      </c>
      <c r="AE8" s="9">
        <f>Assumptions!AF111*Assumptions!AF11</f>
        <v>7840198.6498086741</v>
      </c>
      <c r="AF8" s="9">
        <f>Assumptions!AG111*Assumptions!AG11</f>
        <v>8091085.0066025499</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648905.33568000002</v>
      </c>
      <c r="D9" s="9">
        <f>Assumptions!E120*Assumptions!E11</f>
        <v>1339340.61284352</v>
      </c>
      <c r="E9" s="9">
        <f>Assumptions!F120*Assumptions!F11</f>
        <v>2073299.268681769</v>
      </c>
      <c r="F9" s="9">
        <f>Assumptions!G120*Assumptions!G11</f>
        <v>2852859.7937061139</v>
      </c>
      <c r="G9" s="9">
        <f>Assumptions!H120*Assumptions!H11</f>
        <v>3680189.1338808881</v>
      </c>
      <c r="H9" s="9">
        <f>Assumptions!I120*Assumptions!I11</f>
        <v>4557546.2233980913</v>
      </c>
      <c r="I9" s="9">
        <f>Assumptions!J120*Assumptions!J11</f>
        <v>5487285.6529713003</v>
      </c>
      <c r="J9" s="9">
        <f>Assumptions!K120*Assumptions!K11</f>
        <v>6471861.4787044395</v>
      </c>
      <c r="K9" s="9">
        <f>Assumptions!L120*Assumptions!L11</f>
        <v>7513831.1767758531</v>
      </c>
      <c r="L9" s="9">
        <f>Assumptions!M120*Assumptions!M11</f>
        <v>8615859.7493696436</v>
      </c>
      <c r="M9" s="9">
        <f>Assumptions!N120*Assumptions!N11</f>
        <v>9780723.9874844179</v>
      </c>
      <c r="N9" s="9">
        <f>Assumptions!O120*Assumptions!O11</f>
        <v>11011316.896455187</v>
      </c>
      <c r="O9" s="9">
        <f>Assumptions!P120*Assumptions!P11</f>
        <v>12310652.2902369</v>
      </c>
      <c r="P9" s="9">
        <f>Assumptions!Q120*Assumptions!Q11</f>
        <v>13681869.560718669</v>
      </c>
      <c r="Q9" s="9">
        <f>Assumptions!R120*Assumptions!R11</f>
        <v>15128238.628566066</v>
      </c>
      <c r="R9" s="9">
        <f>Assumptions!S120*Assumptions!S11</f>
        <v>16653165.082325527</v>
      </c>
      <c r="S9" s="9">
        <f>Assumptions!T120*Assumptions!T11</f>
        <v>18260195.512769941</v>
      </c>
      <c r="T9" s="9">
        <f>Assumptions!U120*Assumptions!U11</f>
        <v>19953023.049718495</v>
      </c>
      <c r="U9" s="9">
        <f>Assumptions!V120*Assumptions!V11</f>
        <v>21735493.108826678</v>
      </c>
      <c r="V9" s="9">
        <f>Assumptions!W120*Assumptions!W11</f>
        <v>23611609.356114879</v>
      </c>
      <c r="W9" s="9">
        <f>Assumptions!X120*Assumptions!X11</f>
        <v>25585539.898286082</v>
      </c>
      <c r="X9" s="9">
        <f>Assumptions!Y120*Assumptions!Y11</f>
        <v>27661623.707175579</v>
      </c>
      <c r="Y9" s="9">
        <f>Assumptions!Z120*Assumptions!Z11</f>
        <v>29844377.286978155</v>
      </c>
      <c r="Z9" s="9">
        <f>Assumptions!AA120*Assumptions!AA11</f>
        <v>32138501.593211967</v>
      </c>
      <c r="AA9" s="9">
        <f>Assumptions!AB120*Assumptions!AB11</f>
        <v>34548889.21270287</v>
      </c>
      <c r="AB9" s="9">
        <f>Assumptions!AC120*Assumptions!AC11</f>
        <v>37080631.814209737</v>
      </c>
      <c r="AC9" s="9">
        <f>Assumptions!AD120*Assumptions!AD11</f>
        <v>39739027.879659235</v>
      </c>
      <c r="AD9" s="9">
        <f>Assumptions!AE120*Assumptions!AE11</f>
        <v>42529590.726319753</v>
      </c>
      <c r="AE9" s="9">
        <f>Assumptions!AF120*Assumptions!AF11</f>
        <v>45458056.830617771</v>
      </c>
      <c r="AF9" s="9">
        <f>Assumptions!AG120*Assumptions!AG11</f>
        <v>48530394.464687094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3894509.4298597211</v>
      </c>
      <c r="D10" s="9">
        <f>SUM($C$8:D9)</f>
        <v>8583313.4678967148</v>
      </c>
      <c r="E10" s="9">
        <f>SUM($C$8:E9)</f>
        <v>14113258.991378143</v>
      </c>
      <c r="F10" s="9">
        <f>SUM($C$8:F9)</f>
        <v>20533377.720037512</v>
      </c>
      <c r="G10" s="9">
        <f>SUM($C$8:G9)</f>
        <v>27894978.074790157</v>
      </c>
      <c r="H10" s="9">
        <f>SUM($C$8:H9)</f>
        <v>36251740.6781279</v>
      </c>
      <c r="I10" s="9">
        <f>SUM($C$8:I9)</f>
        <v>45659817.635196917</v>
      </c>
      <c r="J10" s="9">
        <f>SUM($C$8:J9)</f>
        <v>56177935.739730202</v>
      </c>
      <c r="K10" s="9">
        <f>SUM($C$8:K9)</f>
        <v>67867503.754361436</v>
      </c>
      <c r="L10" s="9">
        <f>SUM($C$8:L9)</f>
        <v>80792723.920397818</v>
      </c>
      <c r="M10" s="9">
        <f>SUM($C$8:M9)</f>
        <v>95020707.857882321</v>
      </c>
      <c r="N10" s="9">
        <f>SUM($C$8:N9)</f>
        <v>110621597.02273761</v>
      </c>
      <c r="O10" s="9">
        <f>SUM($C$8:O9)</f>
        <v>127668687.8939634</v>
      </c>
      <c r="P10" s="9">
        <f>SUM($C$8:P9)</f>
        <v>146238562.07026258</v>
      </c>
      <c r="Q10" s="9">
        <f>SUM($C$8:Q9)</f>
        <v>166411221.46210772</v>
      </c>
      <c r="R10" s="9">
        <f>SUM($C$8:R9)</f>
        <v>188270228.77213725</v>
      </c>
      <c r="S10" s="9">
        <f>SUM($C$8:S9)</f>
        <v>211902853.46389776</v>
      </c>
      <c r="T10" s="9">
        <f>SUM($C$8:T9)</f>
        <v>237400223.42633453</v>
      </c>
      <c r="U10" s="9">
        <f>SUM($C$8:U9)</f>
        <v>264857482.54908642</v>
      </c>
      <c r="V10" s="9">
        <f>SUM($C$8:V9)</f>
        <v>294373954.43157214</v>
      </c>
      <c r="W10" s="9">
        <f>SUM($C$8:W9)</f>
        <v>326053312.45707297</v>
      </c>
      <c r="X10" s="9">
        <f>SUM($C$8:X9)</f>
        <v>360003756.47153413</v>
      </c>
      <c r="Y10" s="9">
        <f>SUM($C$8:Y9)</f>
        <v>396338196.31563103</v>
      </c>
      <c r="Z10" s="9">
        <f>SUM($C$8:Z9)</f>
        <v>435174442.46778947</v>
      </c>
      <c r="AA10" s="9">
        <f>SUM($C$8:AA9)</f>
        <v>476635404.0653252</v>
      </c>
      <c r="AB10" s="9">
        <f>SUM($C$8:AB9)</f>
        <v>520849294.58068252</v>
      </c>
      <c r="AC10" s="9">
        <f>SUM($C$8:AC9)</f>
        <v>567949845.43992591</v>
      </c>
      <c r="AD10" s="9">
        <f>SUM($C$8:AD9)</f>
        <v>618076527.88117671</v>
      </c>
      <c r="AE10" s="9">
        <f>SUM($C$8:AE9)</f>
        <v>671374783.36160314</v>
      </c>
      <c r="AF10" s="9">
        <f>SUM($C$8:AF9)</f>
        <v>727996262.83289278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110285936.92985971</v>
      </c>
      <c r="D12" s="9">
        <f>D7+D8+D9</f>
        <v>114974740.9678967</v>
      </c>
      <c r="E12" s="9">
        <f>E7+E8+E9</f>
        <v>120504686.49137813</v>
      </c>
      <c r="F12" s="9">
        <f t="shared" ref="F12:H12" si="26">F7+F8+F9</f>
        <v>126924805.22003751</v>
      </c>
      <c r="G12" s="9">
        <f t="shared" si="26"/>
        <v>134286405.57479015</v>
      </c>
      <c r="H12" s="9">
        <f t="shared" si="26"/>
        <v>142643168.17812788</v>
      </c>
      <c r="I12" s="9">
        <f t="shared" ref="I12:AF12" si="27">I7+I8+I9</f>
        <v>152051245.13519689</v>
      </c>
      <c r="J12" s="9">
        <f t="shared" si="27"/>
        <v>162569363.23973021</v>
      </c>
      <c r="K12" s="9">
        <f t="shared" si="27"/>
        <v>174258931.25436142</v>
      </c>
      <c r="L12" s="9">
        <f t="shared" si="27"/>
        <v>187184151.42039782</v>
      </c>
      <c r="M12" s="9">
        <f t="shared" si="27"/>
        <v>201412135.35788232</v>
      </c>
      <c r="N12" s="9">
        <f t="shared" si="27"/>
        <v>217013024.52273759</v>
      </c>
      <c r="O12" s="9">
        <f t="shared" si="27"/>
        <v>234060115.39396337</v>
      </c>
      <c r="P12" s="9">
        <f t="shared" si="27"/>
        <v>252629989.57026255</v>
      </c>
      <c r="Q12" s="9">
        <f t="shared" si="27"/>
        <v>272802648.96210772</v>
      </c>
      <c r="R12" s="9">
        <f t="shared" si="27"/>
        <v>294661656.27213728</v>
      </c>
      <c r="S12" s="9">
        <f t="shared" si="27"/>
        <v>318294280.96389776</v>
      </c>
      <c r="T12" s="9">
        <f t="shared" si="27"/>
        <v>343791650.9263345</v>
      </c>
      <c r="U12" s="9">
        <f t="shared" si="27"/>
        <v>371248910.04908645</v>
      </c>
      <c r="V12" s="9">
        <f t="shared" si="27"/>
        <v>400765381.9315722</v>
      </c>
      <c r="W12" s="9">
        <f t="shared" si="27"/>
        <v>432444739.95707303</v>
      </c>
      <c r="X12" s="9">
        <f t="shared" si="27"/>
        <v>466395183.97153419</v>
      </c>
      <c r="Y12" s="9">
        <f t="shared" si="27"/>
        <v>502729623.81563103</v>
      </c>
      <c r="Z12" s="9">
        <f t="shared" si="27"/>
        <v>541565869.96778953</v>
      </c>
      <c r="AA12" s="9">
        <f t="shared" si="27"/>
        <v>583026831.56532526</v>
      </c>
      <c r="AB12" s="9">
        <f t="shared" si="27"/>
        <v>627240722.0806824</v>
      </c>
      <c r="AC12" s="9">
        <f t="shared" si="27"/>
        <v>674341272.93992591</v>
      </c>
      <c r="AD12" s="9">
        <f t="shared" si="27"/>
        <v>724467955.38117659</v>
      </c>
      <c r="AE12" s="9">
        <f t="shared" si="27"/>
        <v>777766210.86160302</v>
      </c>
      <c r="AF12" s="9">
        <f t="shared" si="27"/>
        <v>834387690.33289266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30932231.749859724</v>
      </c>
      <c r="D18" s="9">
        <f>Investment!D25</f>
        <v>32591733.472276993</v>
      </c>
      <c r="E18" s="9">
        <f>Investment!E25</f>
        <v>34325768.699617118</v>
      </c>
      <c r="F18" s="9">
        <f>Investment!F25</f>
        <v>36137408.246431388</v>
      </c>
      <c r="G18" s="9">
        <f>Investment!G25</f>
        <v>38029843.13709338</v>
      </c>
      <c r="H18" s="9">
        <f>Investment!H25</f>
        <v>40006389.15471337</v>
      </c>
      <c r="I18" s="9">
        <f>Investment!I25</f>
        <v>42070491.558088668</v>
      </c>
      <c r="J18" s="9">
        <f>Investment!J25</f>
        <v>44225729.972785562</v>
      </c>
      <c r="K18" s="9">
        <f>Investment!K25</f>
        <v>46475823.462667577</v>
      </c>
      <c r="L18" s="9">
        <f>Investment!L25</f>
        <v>48824635.788409904</v>
      </c>
      <c r="M18" s="9">
        <f>Investment!M25</f>
        <v>51276180.859773964</v>
      </c>
      <c r="N18" s="9">
        <f>Investment!N25</f>
        <v>53834628.388658002</v>
      </c>
      <c r="O18" s="9">
        <f>Investment!O25</f>
        <v>56504309.750190206</v>
      </c>
      <c r="P18" s="9">
        <f>Investment!P25</f>
        <v>59289724.059390478</v>
      </c>
      <c r="Q18" s="9">
        <f>Investment!Q25</f>
        <v>62195544.471195355</v>
      </c>
      <c r="R18" s="9">
        <f>Investment!R25</f>
        <v>65226624.711918965</v>
      </c>
      <c r="S18" s="9">
        <f>Investment!S25</f>
        <v>68388005.850510374</v>
      </c>
      <c r="T18" s="9">
        <f>Investment!T25</f>
        <v>71684923.318266615</v>
      </c>
      <c r="U18" s="9">
        <f>Investment!U25</f>
        <v>75122814.185968339</v>
      </c>
      <c r="V18" s="9">
        <f>Investment!V25</f>
        <v>78707324.707725078</v>
      </c>
      <c r="W18" s="9">
        <f>Investment!W25</f>
        <v>82444318.141147807</v>
      </c>
      <c r="X18" s="9">
        <f>Investment!X25</f>
        <v>86339882.85380888</v>
      </c>
      <c r="Y18" s="9">
        <f>Investment!Y25</f>
        <v>90400340.726303712</v>
      </c>
      <c r="Z18" s="9">
        <f>Investment!Z25</f>
        <v>94632255.862595946</v>
      </c>
      <c r="AA18" s="9">
        <f>Investment!AA25</f>
        <v>99042443.61870715</v>
      </c>
      <c r="AB18" s="9">
        <f>Investment!AB25</f>
        <v>103637979.96120614</v>
      </c>
      <c r="AC18" s="9">
        <f>Investment!AC25</f>
        <v>108426211.16735952</v>
      </c>
      <c r="AD18" s="9">
        <f>Investment!AD25</f>
        <v>113414763.87922645</v>
      </c>
      <c r="AE18" s="9">
        <f>Investment!AE25</f>
        <v>118611555.52441747</v>
      </c>
      <c r="AF18" s="9">
        <f>Investment!AF25</f>
        <v>124024805.11668839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137323659.24985972</v>
      </c>
      <c r="D19" s="9">
        <f>D18+C20</f>
        <v>166020883.29227701</v>
      </c>
      <c r="E19" s="9">
        <f>E18+D20</f>
        <v>195657847.95385715</v>
      </c>
      <c r="F19" s="9">
        <f t="shared" ref="F19:AF19" si="28">F18+E20</f>
        <v>226265310.67680711</v>
      </c>
      <c r="G19" s="9">
        <f t="shared" si="28"/>
        <v>257875035.08524114</v>
      </c>
      <c r="H19" s="9">
        <f t="shared" si="28"/>
        <v>290519823.88520187</v>
      </c>
      <c r="I19" s="9">
        <f t="shared" si="28"/>
        <v>324233552.83995277</v>
      </c>
      <c r="J19" s="9">
        <f t="shared" si="28"/>
        <v>359051205.85566926</v>
      </c>
      <c r="K19" s="9">
        <f t="shared" si="28"/>
        <v>395008911.21380353</v>
      </c>
      <c r="L19" s="9">
        <f t="shared" si="28"/>
        <v>432143978.98758215</v>
      </c>
      <c r="M19" s="9">
        <f t="shared" si="28"/>
        <v>470494939.68131971</v>
      </c>
      <c r="N19" s="9">
        <f t="shared" si="28"/>
        <v>510101584.1324932</v>
      </c>
      <c r="O19" s="9">
        <f t="shared" si="28"/>
        <v>551005004.71782815</v>
      </c>
      <c r="P19" s="9">
        <f t="shared" si="28"/>
        <v>593247637.90599287</v>
      </c>
      <c r="Q19" s="9">
        <f t="shared" si="28"/>
        <v>636873308.20088899</v>
      </c>
      <c r="R19" s="9">
        <f t="shared" si="28"/>
        <v>681927273.52096283</v>
      </c>
      <c r="S19" s="9">
        <f t="shared" si="28"/>
        <v>728456272.06144357</v>
      </c>
      <c r="T19" s="9">
        <f t="shared" si="28"/>
        <v>776508570.68794966</v>
      </c>
      <c r="U19" s="9">
        <f t="shared" si="28"/>
        <v>826134014.91148114</v>
      </c>
      <c r="V19" s="9">
        <f t="shared" si="28"/>
        <v>877384080.49645436</v>
      </c>
      <c r="W19" s="9">
        <f t="shared" si="28"/>
        <v>930311926.75511646</v>
      </c>
      <c r="X19" s="9">
        <f t="shared" si="28"/>
        <v>984972451.58342457</v>
      </c>
      <c r="Y19" s="9">
        <f t="shared" si="28"/>
        <v>1041422348.2952671</v>
      </c>
      <c r="Z19" s="9">
        <f t="shared" si="28"/>
        <v>1099720164.3137662</v>
      </c>
      <c r="AA19" s="9">
        <f t="shared" si="28"/>
        <v>1159926361.7803147</v>
      </c>
      <c r="AB19" s="9">
        <f t="shared" si="28"/>
        <v>1222103380.143985</v>
      </c>
      <c r="AC19" s="9">
        <f t="shared" si="28"/>
        <v>1286315700.7959874</v>
      </c>
      <c r="AD19" s="9">
        <f t="shared" si="28"/>
        <v>1352629913.8159704</v>
      </c>
      <c r="AE19" s="9">
        <f t="shared" si="28"/>
        <v>1421114786.8991373</v>
      </c>
      <c r="AF19" s="9">
        <f t="shared" si="28"/>
        <v>1491841336.5353994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133429149.82000001</v>
      </c>
      <c r="D20" s="9">
        <f>D19-D8-D9</f>
        <v>161332079.25424004</v>
      </c>
      <c r="E20" s="9">
        <f t="shared" ref="E20:AF20" si="29">E19-E8-E9</f>
        <v>190127902.43037573</v>
      </c>
      <c r="F20" s="9">
        <f t="shared" si="29"/>
        <v>219845191.94814774</v>
      </c>
      <c r="G20" s="9">
        <f t="shared" si="29"/>
        <v>250513434.73048851</v>
      </c>
      <c r="H20" s="9">
        <f t="shared" si="29"/>
        <v>282163061.28186411</v>
      </c>
      <c r="I20" s="9">
        <f t="shared" si="29"/>
        <v>314825475.88288373</v>
      </c>
      <c r="J20" s="9">
        <f t="shared" si="29"/>
        <v>348533087.75113595</v>
      </c>
      <c r="K20" s="9">
        <f t="shared" si="29"/>
        <v>383319343.19917226</v>
      </c>
      <c r="L20" s="9">
        <f t="shared" si="29"/>
        <v>419218758.82154578</v>
      </c>
      <c r="M20" s="9">
        <f t="shared" si="29"/>
        <v>456266955.74383521</v>
      </c>
      <c r="N20" s="9">
        <f t="shared" si="29"/>
        <v>494500694.96763796</v>
      </c>
      <c r="O20" s="9">
        <f t="shared" si="29"/>
        <v>533957913.84660238</v>
      </c>
      <c r="P20" s="9">
        <f t="shared" si="29"/>
        <v>574677763.72969365</v>
      </c>
      <c r="Q20" s="9">
        <f t="shared" si="29"/>
        <v>616700648.80904388</v>
      </c>
      <c r="R20" s="9">
        <f t="shared" si="29"/>
        <v>660068266.21093321</v>
      </c>
      <c r="S20" s="9">
        <f t="shared" si="29"/>
        <v>704823647.36968303</v>
      </c>
      <c r="T20" s="9">
        <f t="shared" si="29"/>
        <v>751011200.72551286</v>
      </c>
      <c r="U20" s="9">
        <f t="shared" si="29"/>
        <v>798676755.78872931</v>
      </c>
      <c r="V20" s="9">
        <f t="shared" si="29"/>
        <v>847867608.61396861</v>
      </c>
      <c r="W20" s="9">
        <f t="shared" si="29"/>
        <v>898632568.72961569</v>
      </c>
      <c r="X20" s="9">
        <f t="shared" si="29"/>
        <v>951022007.56896341</v>
      </c>
      <c r="Y20" s="9">
        <f t="shared" si="29"/>
        <v>1005087908.4511702</v>
      </c>
      <c r="Z20" s="9">
        <f t="shared" si="29"/>
        <v>1060883918.1616076</v>
      </c>
      <c r="AA20" s="9">
        <f t="shared" si="29"/>
        <v>1118465400.1827788</v>
      </c>
      <c r="AB20" s="9">
        <f t="shared" si="29"/>
        <v>1177889489.6286278</v>
      </c>
      <c r="AC20" s="9">
        <f t="shared" si="29"/>
        <v>1239215149.936744</v>
      </c>
      <c r="AD20" s="9">
        <f t="shared" si="29"/>
        <v>1302503231.3747199</v>
      </c>
      <c r="AE20" s="9">
        <f t="shared" si="29"/>
        <v>1367816531.4187109</v>
      </c>
      <c r="AF20" s="9">
        <f t="shared" si="29"/>
        <v>1435219857.0641098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60231000</v>
      </c>
      <c r="D22" s="9">
        <f ca="1">'Balance Sheet'!C11</f>
        <v>76884346.515798807</v>
      </c>
      <c r="E22" s="9">
        <f ca="1">'Balance Sheet'!D11</f>
        <v>88934526.522840753</v>
      </c>
      <c r="F22" s="9">
        <f ca="1">'Balance Sheet'!E11</f>
        <v>100485418.83006823</v>
      </c>
      <c r="G22" s="9">
        <f ca="1">'Balance Sheet'!F11</f>
        <v>111187793.6047065</v>
      </c>
      <c r="H22" s="9">
        <f ca="1">'Balance Sheet'!G11</f>
        <v>120630362.6855458</v>
      </c>
      <c r="I22" s="9">
        <f ca="1">'Balance Sheet'!H11</f>
        <v>129742459.49217793</v>
      </c>
      <c r="J22" s="9">
        <f ca="1">'Balance Sheet'!I11</f>
        <v>138303273.48187459</v>
      </c>
      <c r="K22" s="9">
        <f ca="1">'Balance Sheet'!J11</f>
        <v>147171127.48599467</v>
      </c>
      <c r="L22" s="9">
        <f ca="1">'Balance Sheet'!K11</f>
        <v>156267004.61692065</v>
      </c>
      <c r="M22" s="9">
        <f ca="1">'Balance Sheet'!L11</f>
        <v>165498413.47532874</v>
      </c>
      <c r="N22" s="9">
        <f ca="1">'Balance Sheet'!M11</f>
        <v>175434051.42449164</v>
      </c>
      <c r="O22" s="9">
        <f ca="1">'Balance Sheet'!N11</f>
        <v>186058652.6031335</v>
      </c>
      <c r="P22" s="9">
        <f ca="1">'Balance Sheet'!O11</f>
        <v>197350726.98369038</v>
      </c>
      <c r="Q22" s="9">
        <f ca="1">'Balance Sheet'!P11</f>
        <v>209281874.25227529</v>
      </c>
      <c r="R22" s="9">
        <f ca="1">'Balance Sheet'!Q11</f>
        <v>221816041.4230645</v>
      </c>
      <c r="S22" s="9">
        <f ca="1">'Balance Sheet'!R11</f>
        <v>234908720.17206293</v>
      </c>
      <c r="T22" s="9">
        <f ca="1">'Balance Sheet'!S11</f>
        <v>248506079.61044589</v>
      </c>
      <c r="U22" s="9">
        <f ca="1">'Balance Sheet'!T11</f>
        <v>262544029.93628991</v>
      </c>
      <c r="V22" s="9">
        <f ca="1">'Balance Sheet'!U11</f>
        <v>276947212.10448217</v>
      </c>
      <c r="W22" s="9">
        <f ca="1">'Balance Sheet'!V11</f>
        <v>291627908.33686411</v>
      </c>
      <c r="X22" s="9">
        <f ca="1">'Balance Sheet'!W11</f>
        <v>306484867.95708817</v>
      </c>
      <c r="Y22" s="9">
        <f ca="1">'Balance Sheet'!X11</f>
        <v>321402042.67603874</v>
      </c>
      <c r="Z22" s="9">
        <f ca="1">'Balance Sheet'!Y11</f>
        <v>336247225.07272035</v>
      </c>
      <c r="AA22" s="9">
        <f ca="1">'Balance Sheet'!Z11</f>
        <v>350870583.61089283</v>
      </c>
      <c r="AB22" s="9">
        <f ca="1">'Balance Sheet'!AA11</f>
        <v>365103087.10200548</v>
      </c>
      <c r="AC22" s="9">
        <f ca="1">'Balance Sheet'!AB11</f>
        <v>381549333.64186496</v>
      </c>
      <c r="AD22" s="9">
        <f ca="1">'Balance Sheet'!AC11</f>
        <v>400365433.01936889</v>
      </c>
      <c r="AE22" s="9">
        <f ca="1">'Balance Sheet'!AD11</f>
        <v>421715624.45093513</v>
      </c>
      <c r="AF22" s="9">
        <f ca="1">'Balance Sheet'!AE11</f>
        <v>445772636.69014168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73198149.820000008</v>
      </c>
      <c r="D23" s="9">
        <f t="shared" ref="D23:AF23" ca="1" si="30">D20-D22</f>
        <v>84447732.738441229</v>
      </c>
      <c r="E23" s="9">
        <f t="shared" ca="1" si="30"/>
        <v>101193375.90753497</v>
      </c>
      <c r="F23" s="9">
        <f t="shared" ca="1" si="30"/>
        <v>119359773.11807951</v>
      </c>
      <c r="G23" s="9">
        <f t="shared" ca="1" si="30"/>
        <v>139325641.12578201</v>
      </c>
      <c r="H23" s="9">
        <f t="shared" ca="1" si="30"/>
        <v>161532698.5963183</v>
      </c>
      <c r="I23" s="9">
        <f t="shared" ca="1" si="30"/>
        <v>185083016.39070579</v>
      </c>
      <c r="J23" s="9">
        <f ca="1">J20-J22</f>
        <v>210229814.26926136</v>
      </c>
      <c r="K23" s="9">
        <f t="shared" ca="1" si="30"/>
        <v>236148215.71317759</v>
      </c>
      <c r="L23" s="9">
        <f t="shared" ca="1" si="30"/>
        <v>262951754.20462513</v>
      </c>
      <c r="M23" s="9">
        <f t="shared" ca="1" si="30"/>
        <v>290768542.26850647</v>
      </c>
      <c r="N23" s="9">
        <f t="shared" ca="1" si="30"/>
        <v>319066643.54314631</v>
      </c>
      <c r="O23" s="9">
        <f t="shared" ca="1" si="30"/>
        <v>347899261.24346888</v>
      </c>
      <c r="P23" s="9">
        <f t="shared" ca="1" si="30"/>
        <v>377327036.74600327</v>
      </c>
      <c r="Q23" s="9">
        <f t="shared" ca="1" si="30"/>
        <v>407418774.5567686</v>
      </c>
      <c r="R23" s="9">
        <f t="shared" ca="1" si="30"/>
        <v>438252224.78786874</v>
      </c>
      <c r="S23" s="9">
        <f t="shared" ca="1" si="30"/>
        <v>469914927.19762009</v>
      </c>
      <c r="T23" s="9">
        <f t="shared" ca="1" si="30"/>
        <v>502505121.11506701</v>
      </c>
      <c r="U23" s="9">
        <f t="shared" ca="1" si="30"/>
        <v>536132725.8524394</v>
      </c>
      <c r="V23" s="9">
        <f t="shared" ca="1" si="30"/>
        <v>570920396.50948644</v>
      </c>
      <c r="W23" s="9">
        <f t="shared" ca="1" si="30"/>
        <v>607004660.39275157</v>
      </c>
      <c r="X23" s="9">
        <f t="shared" ca="1" si="30"/>
        <v>644537139.6118753</v>
      </c>
      <c r="Y23" s="9">
        <f t="shared" ca="1" si="30"/>
        <v>683685865.77513146</v>
      </c>
      <c r="Z23" s="9">
        <f t="shared" ca="1" si="30"/>
        <v>724636693.08888721</v>
      </c>
      <c r="AA23" s="9">
        <f t="shared" ca="1" si="30"/>
        <v>767594816.57188606</v>
      </c>
      <c r="AB23" s="9">
        <f t="shared" ca="1" si="30"/>
        <v>812786402.5266223</v>
      </c>
      <c r="AC23" s="9">
        <f t="shared" ca="1" si="30"/>
        <v>857665816.29487896</v>
      </c>
      <c r="AD23" s="9">
        <f t="shared" ca="1" si="30"/>
        <v>902137798.35535097</v>
      </c>
      <c r="AE23" s="9">
        <f t="shared" ca="1" si="30"/>
        <v>946100906.96777582</v>
      </c>
      <c r="AF23" s="9">
        <f t="shared" ca="1" si="30"/>
        <v>989447220.37396812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60231000</v>
      </c>
      <c r="D5" s="1">
        <f ca="1">C5+C6</f>
        <v>76884346.515798807</v>
      </c>
      <c r="E5" s="1">
        <f t="shared" ref="E5:AF5" ca="1" si="1">D5+D6</f>
        <v>88934526.522840753</v>
      </c>
      <c r="F5" s="1">
        <f t="shared" ca="1" si="1"/>
        <v>100485418.83006823</v>
      </c>
      <c r="G5" s="1">
        <f t="shared" ca="1" si="1"/>
        <v>111187793.6047065</v>
      </c>
      <c r="H5" s="1">
        <f t="shared" ca="1" si="1"/>
        <v>120630362.6855458</v>
      </c>
      <c r="I5" s="1">
        <f t="shared" ca="1" si="1"/>
        <v>129742459.49217793</v>
      </c>
      <c r="J5" s="1">
        <f t="shared" ca="1" si="1"/>
        <v>138303273.48187459</v>
      </c>
      <c r="K5" s="1">
        <f t="shared" ca="1" si="1"/>
        <v>147171127.48599467</v>
      </c>
      <c r="L5" s="1">
        <f t="shared" ca="1" si="1"/>
        <v>156267004.61692065</v>
      </c>
      <c r="M5" s="1">
        <f t="shared" ca="1" si="1"/>
        <v>165498413.47532874</v>
      </c>
      <c r="N5" s="1">
        <f t="shared" ca="1" si="1"/>
        <v>175434051.42449164</v>
      </c>
      <c r="O5" s="1">
        <f t="shared" ca="1" si="1"/>
        <v>186058652.6031335</v>
      </c>
      <c r="P5" s="1">
        <f t="shared" ca="1" si="1"/>
        <v>197350726.98369038</v>
      </c>
      <c r="Q5" s="1">
        <f t="shared" ca="1" si="1"/>
        <v>209281874.25227529</v>
      </c>
      <c r="R5" s="1">
        <f t="shared" ca="1" si="1"/>
        <v>221816041.4230645</v>
      </c>
      <c r="S5" s="1">
        <f t="shared" ca="1" si="1"/>
        <v>234908720.17206293</v>
      </c>
      <c r="T5" s="1">
        <f t="shared" ca="1" si="1"/>
        <v>248506079.61044589</v>
      </c>
      <c r="U5" s="1">
        <f t="shared" ca="1" si="1"/>
        <v>262544029.93628991</v>
      </c>
      <c r="V5" s="1">
        <f t="shared" ca="1" si="1"/>
        <v>276947212.10448217</v>
      </c>
      <c r="W5" s="1">
        <f t="shared" ca="1" si="1"/>
        <v>291627908.33686411</v>
      </c>
      <c r="X5" s="1">
        <f t="shared" ca="1" si="1"/>
        <v>306484867.95708817</v>
      </c>
      <c r="Y5" s="1">
        <f t="shared" ca="1" si="1"/>
        <v>321402042.67603874</v>
      </c>
      <c r="Z5" s="1">
        <f t="shared" ca="1" si="1"/>
        <v>336247225.07272035</v>
      </c>
      <c r="AA5" s="1">
        <f t="shared" ca="1" si="1"/>
        <v>350870583.61089283</v>
      </c>
      <c r="AB5" s="1">
        <f t="shared" ca="1" si="1"/>
        <v>365103087.10200548</v>
      </c>
      <c r="AC5" s="1">
        <f t="shared" ca="1" si="1"/>
        <v>381549333.64186496</v>
      </c>
      <c r="AD5" s="1">
        <f t="shared" ca="1" si="1"/>
        <v>400365433.01936889</v>
      </c>
      <c r="AE5" s="1">
        <f t="shared" ca="1" si="1"/>
        <v>421715624.45093513</v>
      </c>
      <c r="AF5" s="1">
        <f t="shared" ca="1" si="1"/>
        <v>445772636.69014168</v>
      </c>
      <c r="AG5" s="1"/>
      <c r="AH5" s="1"/>
      <c r="AI5" s="1"/>
      <c r="AJ5" s="1"/>
      <c r="AK5" s="1"/>
      <c r="AL5" s="1"/>
      <c r="AM5" s="1"/>
      <c r="AN5" s="1"/>
      <c r="AO5" s="1"/>
      <c r="AP5" s="1"/>
    </row>
    <row r="6" spans="1:42" x14ac:dyDescent="0.35">
      <c r="A6" s="63" t="s">
        <v>3</v>
      </c>
      <c r="C6" s="1">
        <f ca="1">-'Cash Flow'!C13</f>
        <v>16653346.515798811</v>
      </c>
      <c r="D6" s="1">
        <f ca="1">-'Cash Flow'!D13</f>
        <v>12050180.007041942</v>
      </c>
      <c r="E6" s="1">
        <f ca="1">-'Cash Flow'!E13</f>
        <v>11550892.307227474</v>
      </c>
      <c r="F6" s="1">
        <f ca="1">-'Cash Flow'!F13</f>
        <v>10702374.774638269</v>
      </c>
      <c r="G6" s="1">
        <f ca="1">-'Cash Flow'!G13</f>
        <v>9442569.0808392987</v>
      </c>
      <c r="H6" s="1">
        <f ca="1">-'Cash Flow'!H13</f>
        <v>9112096.8066321351</v>
      </c>
      <c r="I6" s="1">
        <f ca="1">-'Cash Flow'!I13</f>
        <v>8560813.9896966591</v>
      </c>
      <c r="J6" s="1">
        <f ca="1">-'Cash Flow'!J13</f>
        <v>8867854.0041200817</v>
      </c>
      <c r="K6" s="1">
        <f ca="1">-'Cash Flow'!K13</f>
        <v>9095877.1309259683</v>
      </c>
      <c r="L6" s="1">
        <f ca="1">-'Cash Flow'!L13</f>
        <v>9231408.8584080935</v>
      </c>
      <c r="M6" s="1">
        <f ca="1">-'Cash Flow'!M13</f>
        <v>9935637.9491629079</v>
      </c>
      <c r="N6" s="1">
        <f ca="1">-'Cash Flow'!N13</f>
        <v>10624601.178641856</v>
      </c>
      <c r="O6" s="1">
        <f ca="1">-'Cash Flow'!O13</f>
        <v>11292074.380556896</v>
      </c>
      <c r="P6" s="1">
        <f ca="1">-'Cash Flow'!P13</f>
        <v>11931147.2685849</v>
      </c>
      <c r="Q6" s="1">
        <f ca="1">-'Cash Flow'!Q13</f>
        <v>12534167.170789212</v>
      </c>
      <c r="R6" s="1">
        <f ca="1">-'Cash Flow'!R13</f>
        <v>13092678.748998448</v>
      </c>
      <c r="S6" s="1">
        <f ca="1">-'Cash Flow'!S13</f>
        <v>13597359.438382953</v>
      </c>
      <c r="T6" s="1">
        <f ca="1">-'Cash Flow'!T13</f>
        <v>14037950.325844027</v>
      </c>
      <c r="U6" s="1">
        <f ca="1">-'Cash Flow'!U13</f>
        <v>14403182.16819226</v>
      </c>
      <c r="V6" s="1">
        <f ca="1">-'Cash Flow'!V13</f>
        <v>14680696.23238197</v>
      </c>
      <c r="W6" s="1">
        <f ca="1">-'Cash Flow'!W13</f>
        <v>14856959.620224044</v>
      </c>
      <c r="X6" s="1">
        <f ca="1">-'Cash Flow'!X13</f>
        <v>14917174.71895054</v>
      </c>
      <c r="Y6" s="1">
        <f ca="1">-'Cash Flow'!Y13</f>
        <v>14845182.396681622</v>
      </c>
      <c r="Z6" s="1">
        <f ca="1">-'Cash Flow'!Z13</f>
        <v>14623358.538172483</v>
      </c>
      <c r="AA6" s="1">
        <f ca="1">-'Cash Flow'!AA13</f>
        <v>14232503.49111262</v>
      </c>
      <c r="AB6" s="1">
        <f ca="1">-'Cash Flow'!AB13</f>
        <v>16446246.539859474</v>
      </c>
      <c r="AC6" s="1">
        <f ca="1">-'Cash Flow'!AC13</f>
        <v>18816099.377503946</v>
      </c>
      <c r="AD6" s="1">
        <f ca="1">-'Cash Flow'!AD13</f>
        <v>21350191.431566209</v>
      </c>
      <c r="AE6" s="1">
        <f ca="1">-'Cash Flow'!AE13</f>
        <v>24057012.239206538</v>
      </c>
      <c r="AF6" s="1">
        <f ca="1">-'Cash Flow'!AF13</f>
        <v>26945425.744632289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2690952.1280529583</v>
      </c>
      <c r="D8" s="1">
        <f ca="1">IF(SUM(D5:D6)&gt;0,Assumptions!$C$26*SUM(D5:D6),Assumptions!$C$27*(SUM(D5:D6)))</f>
        <v>3112708.4282994266</v>
      </c>
      <c r="E8" s="1">
        <f ca="1">IF(SUM(E5:E6)&gt;0,Assumptions!$C$26*SUM(E5:E6),Assumptions!$C$27*(SUM(E5:E6)))</f>
        <v>3516989.6590523883</v>
      </c>
      <c r="F8" s="1">
        <f ca="1">IF(SUM(F5:F6)&gt;0,Assumptions!$C$26*SUM(F5:F6),Assumptions!$C$27*(SUM(F5:F6)))</f>
        <v>3891572.7761647278</v>
      </c>
      <c r="G8" s="1">
        <f ca="1">IF(SUM(G5:G6)&gt;0,Assumptions!$C$26*SUM(G5:G6),Assumptions!$C$27*(SUM(G5:G6)))</f>
        <v>4222062.6939941039</v>
      </c>
      <c r="H8" s="1">
        <f ca="1">IF(SUM(H5:H6)&gt;0,Assumptions!$C$26*SUM(H5:H6),Assumptions!$C$27*(SUM(H5:H6)))</f>
        <v>4540986.082226228</v>
      </c>
      <c r="I8" s="1">
        <f ca="1">IF(SUM(I5:I6)&gt;0,Assumptions!$C$26*SUM(I5:I6),Assumptions!$C$27*(SUM(I5:I6)))</f>
        <v>4840614.5718656108</v>
      </c>
      <c r="J8" s="1">
        <f ca="1">IF(SUM(J5:J6)&gt;0,Assumptions!$C$26*SUM(J5:J6),Assumptions!$C$27*(SUM(J5:J6)))</f>
        <v>5150989.4620098136</v>
      </c>
      <c r="K8" s="1">
        <f ca="1">IF(SUM(K5:K6)&gt;0,Assumptions!$C$26*SUM(K5:K6),Assumptions!$C$27*(SUM(K5:K6)))</f>
        <v>5469345.1615922237</v>
      </c>
      <c r="L8" s="1">
        <f ca="1">IF(SUM(L5:L6)&gt;0,Assumptions!$C$26*SUM(L5:L6),Assumptions!$C$27*(SUM(L5:L6)))</f>
        <v>5792444.4716365067</v>
      </c>
      <c r="M8" s="1">
        <f ca="1">IF(SUM(M5:M6)&gt;0,Assumptions!$C$26*SUM(M5:M6),Assumptions!$C$27*(SUM(M5:M6)))</f>
        <v>6140191.7998572085</v>
      </c>
      <c r="N8" s="1">
        <f ca="1">IF(SUM(N5:N6)&gt;0,Assumptions!$C$26*SUM(N5:N6),Assumptions!$C$27*(SUM(N5:N6)))</f>
        <v>6512052.8411096735</v>
      </c>
      <c r="O8" s="1">
        <f ca="1">IF(SUM(O5:O6)&gt;0,Assumptions!$C$26*SUM(O5:O6),Assumptions!$C$27*(SUM(O5:O6)))</f>
        <v>6907275.4444291638</v>
      </c>
      <c r="P8" s="1">
        <f ca="1">IF(SUM(P5:P6)&gt;0,Assumptions!$C$26*SUM(P5:P6),Assumptions!$C$27*(SUM(P5:P6)))</f>
        <v>7324865.5988296354</v>
      </c>
      <c r="Q8" s="1">
        <f ca="1">IF(SUM(Q5:Q6)&gt;0,Assumptions!$C$26*SUM(Q5:Q6),Assumptions!$C$27*(SUM(Q5:Q6)))</f>
        <v>7763561.4498072583</v>
      </c>
      <c r="R8" s="1">
        <f ca="1">IF(SUM(R5:R6)&gt;0,Assumptions!$C$26*SUM(R5:R6),Assumptions!$C$27*(SUM(R5:R6)))</f>
        <v>8221805.2060222039</v>
      </c>
      <c r="S8" s="1">
        <f ca="1">IF(SUM(S5:S6)&gt;0,Assumptions!$C$26*SUM(S5:S6),Assumptions!$C$27*(SUM(S5:S6)))</f>
        <v>8697712.7863656078</v>
      </c>
      <c r="T8" s="1">
        <f ca="1">IF(SUM(T5:T6)&gt;0,Assumptions!$C$26*SUM(T5:T6),Assumptions!$C$27*(SUM(T5:T6)))</f>
        <v>9189041.0477701481</v>
      </c>
      <c r="U8" s="1">
        <f ca="1">IF(SUM(U5:U6)&gt;0,Assumptions!$C$26*SUM(U5:U6),Assumptions!$C$27*(SUM(U5:U6)))</f>
        <v>9693152.4236568771</v>
      </c>
      <c r="V8" s="1">
        <f ca="1">IF(SUM(V5:V6)&gt;0,Assumptions!$C$26*SUM(V5:V6),Assumptions!$C$27*(SUM(V5:V6)))</f>
        <v>10206976.791790245</v>
      </c>
      <c r="W8" s="1">
        <f ca="1">IF(SUM(W5:W6)&gt;0,Assumptions!$C$26*SUM(W5:W6),Assumptions!$C$27*(SUM(W5:W6)))</f>
        <v>10726970.378498087</v>
      </c>
      <c r="X8" s="1">
        <f ca="1">IF(SUM(X5:X6)&gt;0,Assumptions!$C$26*SUM(X5:X6),Assumptions!$C$27*(SUM(X5:X6)))</f>
        <v>11249071.493661357</v>
      </c>
      <c r="Y8" s="1">
        <f ca="1">IF(SUM(Y5:Y6)&gt;0,Assumptions!$C$26*SUM(Y5:Y6),Assumptions!$C$27*(SUM(Y5:Y6)))</f>
        <v>11768652.877545213</v>
      </c>
      <c r="Z8" s="1">
        <f ca="1">IF(SUM(Z5:Z6)&gt;0,Assumptions!$C$26*SUM(Z5:Z6),Assumptions!$C$27*(SUM(Z5:Z6)))</f>
        <v>12280470.426381251</v>
      </c>
      <c r="AA8" s="1">
        <f ca="1">IF(SUM(AA5:AA6)&gt;0,Assumptions!$C$26*SUM(AA5:AA6),Assumptions!$C$27*(SUM(AA5:AA6)))</f>
        <v>12778608.048570193</v>
      </c>
      <c r="AB8" s="1">
        <f ca="1">IF(SUM(AB5:AB6)&gt;0,Assumptions!$C$26*SUM(AB5:AB6),Assumptions!$C$27*(SUM(AB5:AB6)))</f>
        <v>13354226.677465275</v>
      </c>
      <c r="AC8" s="1">
        <f ca="1">IF(SUM(AC5:AC6)&gt;0,Assumptions!$C$26*SUM(AC5:AC6),Assumptions!$C$27*(SUM(AC5:AC6)))</f>
        <v>14012790.155677913</v>
      </c>
      <c r="AD8" s="1">
        <f ca="1">IF(SUM(AD5:AD6)&gt;0,Assumptions!$C$26*SUM(AD5:AD6),Assumptions!$C$27*(SUM(AD5:AD6)))</f>
        <v>14760046.855782731</v>
      </c>
      <c r="AE8" s="1">
        <f ca="1">IF(SUM(AE5:AE6)&gt;0,Assumptions!$C$26*SUM(AE5:AE6),Assumptions!$C$27*(SUM(AE5:AE6)))</f>
        <v>15602042.284154961</v>
      </c>
      <c r="AF8" s="1">
        <f ca="1">IF(SUM(AF5:AF6)&gt;0,Assumptions!$C$26*SUM(AF5:AF6),Assumptions!$C$27*(SUM(AF5:AF6)))</f>
        <v>16545132.185217092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40" zoomScaleNormal="40" workbookViewId="0">
      <selection sqref="A1:XFD1048576"/>
    </sheetView>
  </sheetViews>
  <sheetFormatPr defaultRowHeight="15.5" x14ac:dyDescent="0.35"/>
  <cols>
    <col min="1" max="1" width="107.9140625" style="63" customWidth="1"/>
    <col min="2" max="2" width="18.1640625" style="63" bestFit="1" customWidth="1"/>
    <col min="3" max="3" width="62.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97</v>
      </c>
      <c r="B7" s="91">
        <f>Assumptions!C24</f>
        <v>14002000</v>
      </c>
      <c r="C7" s="180" t="s">
        <v>199</v>
      </c>
    </row>
    <row r="8" spans="1:3" ht="34" x14ac:dyDescent="0.45">
      <c r="A8" s="90" t="s">
        <v>174</v>
      </c>
      <c r="B8" s="92">
        <f>Assumptions!$C$133</f>
        <v>0.7</v>
      </c>
      <c r="C8" s="180" t="s">
        <v>200</v>
      </c>
    </row>
    <row r="9" spans="1:3" ht="18.5" x14ac:dyDescent="0.45">
      <c r="A9" s="90"/>
      <c r="B9" s="93"/>
      <c r="C9" s="180"/>
    </row>
    <row r="10" spans="1:3" ht="51" x14ac:dyDescent="0.45">
      <c r="A10" s="94" t="s">
        <v>103</v>
      </c>
      <c r="B10" s="95">
        <f>Assumptions!C135</f>
        <v>4158.6259259259259</v>
      </c>
      <c r="C10" s="180" t="s">
        <v>201</v>
      </c>
    </row>
    <row r="11" spans="1:3" ht="18.5" x14ac:dyDescent="0.45">
      <c r="A11" s="94"/>
      <c r="B11" s="94"/>
      <c r="C11" s="180"/>
    </row>
    <row r="12" spans="1:3" ht="18.5" x14ac:dyDescent="0.45">
      <c r="A12" s="94" t="s">
        <v>184</v>
      </c>
      <c r="B12" s="91">
        <f>(B7*B8)/B10</f>
        <v>2356.8842628752909</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179</v>
      </c>
      <c r="B16" s="100">
        <f>B12/B14</f>
        <v>2356.8842628752909</v>
      </c>
      <c r="C16" s="180"/>
    </row>
    <row r="17" spans="1:3" ht="18.5" x14ac:dyDescent="0.45">
      <c r="A17" s="94"/>
      <c r="B17" s="101"/>
      <c r="C17" s="180"/>
    </row>
    <row r="18" spans="1:3" ht="18.5" x14ac:dyDescent="0.45">
      <c r="A18" s="102" t="s">
        <v>178</v>
      </c>
      <c r="B18" s="101"/>
      <c r="C18" s="180"/>
    </row>
    <row r="19" spans="1:3" ht="18.5" x14ac:dyDescent="0.45">
      <c r="A19" s="94"/>
      <c r="B19" s="101"/>
      <c r="C19" s="180"/>
    </row>
    <row r="20" spans="1:3" ht="34" x14ac:dyDescent="0.45">
      <c r="A20" s="94" t="s">
        <v>66</v>
      </c>
      <c r="B20" s="91">
        <f>'Profit and Loss'!L5</f>
        <v>64190030.249694146</v>
      </c>
      <c r="C20" s="180" t="s">
        <v>202</v>
      </c>
    </row>
    <row r="21" spans="1:3" ht="34" x14ac:dyDescent="0.45">
      <c r="A21" s="94" t="str">
        <f>A8</f>
        <v>Assumed revenue from households</v>
      </c>
      <c r="B21" s="92">
        <f>B8</f>
        <v>0.7</v>
      </c>
      <c r="C21" s="180" t="s">
        <v>200</v>
      </c>
    </row>
    <row r="22" spans="1:3" ht="18.5" x14ac:dyDescent="0.45">
      <c r="A22" s="94"/>
      <c r="B22" s="94"/>
      <c r="C22" s="180"/>
    </row>
    <row r="23" spans="1:3" ht="34" x14ac:dyDescent="0.45">
      <c r="A23" s="94" t="s">
        <v>102</v>
      </c>
      <c r="B23" s="95">
        <f>Assumptions!M135</f>
        <v>4890.1432574743403</v>
      </c>
      <c r="C23" s="180" t="s">
        <v>203</v>
      </c>
    </row>
    <row r="24" spans="1:3" ht="18.5" x14ac:dyDescent="0.45">
      <c r="A24" s="94"/>
      <c r="B24" s="94"/>
      <c r="C24" s="180"/>
    </row>
    <row r="25" spans="1:3" ht="18.5" x14ac:dyDescent="0.45">
      <c r="A25" s="94" t="s">
        <v>183</v>
      </c>
      <c r="B25" s="91">
        <f>(B20*B21)/B23</f>
        <v>9188.4877004590835</v>
      </c>
      <c r="C25" s="180"/>
    </row>
    <row r="26" spans="1:3" ht="18.5" x14ac:dyDescent="0.45">
      <c r="A26" s="94"/>
      <c r="B26" s="91"/>
      <c r="C26" s="180"/>
    </row>
    <row r="27" spans="1:3" ht="34" x14ac:dyDescent="0.45">
      <c r="A27" s="94" t="s">
        <v>104</v>
      </c>
      <c r="B27" s="103">
        <f>1.022^11</f>
        <v>1.2704566586717592</v>
      </c>
      <c r="C27" s="180" t="s">
        <v>204</v>
      </c>
    </row>
    <row r="28" spans="1:3" ht="18.5" x14ac:dyDescent="0.45">
      <c r="A28" s="96"/>
      <c r="B28" s="97"/>
      <c r="C28" s="180"/>
    </row>
    <row r="29" spans="1:3" ht="18.5" x14ac:dyDescent="0.45">
      <c r="A29" s="96" t="s">
        <v>180</v>
      </c>
      <c r="B29" s="91">
        <f>B25/B27</f>
        <v>7232.4290936972939</v>
      </c>
      <c r="C29" s="180"/>
    </row>
    <row r="30" spans="1:3" ht="18.5" x14ac:dyDescent="0.45">
      <c r="A30" s="96"/>
      <c r="B30" s="97"/>
      <c r="C30" s="180"/>
    </row>
    <row r="31" spans="1:3" ht="18.5" x14ac:dyDescent="0.45">
      <c r="A31" s="102" t="s">
        <v>186</v>
      </c>
      <c r="B31" s="96"/>
      <c r="C31" s="180"/>
    </row>
    <row r="32" spans="1:3" ht="18.5" x14ac:dyDescent="0.45">
      <c r="A32" s="94"/>
      <c r="B32" s="91"/>
      <c r="C32" s="180"/>
    </row>
    <row r="33" spans="1:3" ht="34" x14ac:dyDescent="0.45">
      <c r="A33" s="94" t="s">
        <v>67</v>
      </c>
      <c r="B33" s="91">
        <f>'Profit and Loss'!AF5</f>
        <v>178223759.02792358</v>
      </c>
      <c r="C33" s="180" t="s">
        <v>202</v>
      </c>
    </row>
    <row r="34" spans="1:3" ht="34" x14ac:dyDescent="0.45">
      <c r="A34" s="94" t="str">
        <f>A21</f>
        <v>Assumed revenue from households</v>
      </c>
      <c r="B34" s="92">
        <f>B21</f>
        <v>0.7</v>
      </c>
      <c r="C34" s="180" t="s">
        <v>200</v>
      </c>
    </row>
    <row r="35" spans="1:3" ht="18.5" x14ac:dyDescent="0.45">
      <c r="A35" s="94"/>
      <c r="B35" s="94"/>
      <c r="C35" s="180"/>
    </row>
    <row r="36" spans="1:3" ht="34" x14ac:dyDescent="0.45">
      <c r="A36" s="94" t="s">
        <v>101</v>
      </c>
      <c r="B36" s="95">
        <f>Assumptions!AG135</f>
        <v>6761.8422174943753</v>
      </c>
      <c r="C36" s="180" t="s">
        <v>203</v>
      </c>
    </row>
    <row r="37" spans="1:3" ht="18.5" x14ac:dyDescent="0.45">
      <c r="A37" s="94"/>
      <c r="B37" s="94"/>
      <c r="C37" s="180"/>
    </row>
    <row r="38" spans="1:3" ht="18.5" x14ac:dyDescent="0.45">
      <c r="A38" s="94" t="s">
        <v>182</v>
      </c>
      <c r="B38" s="91">
        <f>(B33*B34)/B36</f>
        <v>18450.095004697629</v>
      </c>
      <c r="C38" s="180"/>
    </row>
    <row r="39" spans="1:3" ht="18.5" x14ac:dyDescent="0.45">
      <c r="A39" s="94"/>
      <c r="B39" s="94"/>
      <c r="C39" s="180"/>
    </row>
    <row r="40" spans="1:3" ht="34" x14ac:dyDescent="0.45">
      <c r="A40" s="94" t="s">
        <v>104</v>
      </c>
      <c r="B40" s="103">
        <f>1.022^31</f>
        <v>1.9632597808456462</v>
      </c>
      <c r="C40" s="180" t="s">
        <v>204</v>
      </c>
    </row>
    <row r="41" spans="1:3" ht="18.5" x14ac:dyDescent="0.45">
      <c r="A41" s="96"/>
      <c r="B41" s="97"/>
      <c r="C41" s="181"/>
    </row>
    <row r="42" spans="1:3" ht="18.5" x14ac:dyDescent="0.45">
      <c r="A42" s="96" t="s">
        <v>181</v>
      </c>
      <c r="B42" s="91">
        <f>B38/B40</f>
        <v>9397.6839869609685</v>
      </c>
      <c r="C42" s="18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70" zoomScaleNormal="7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2" t="s">
        <v>28</v>
      </c>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1.6335680277609121E-2</v>
      </c>
      <c r="D13" s="128">
        <f t="shared" ref="D13:AG13" si="3">(1+$C$13)^D8</f>
        <v>1.0163356802776091</v>
      </c>
      <c r="E13" s="128">
        <f t="shared" si="3"/>
        <v>1.0329382150053505</v>
      </c>
      <c r="F13" s="128">
        <f t="shared" si="3"/>
        <v>1.0498119634322023</v>
      </c>
      <c r="G13" s="128">
        <f t="shared" si="3"/>
        <v>1.0669613560184399</v>
      </c>
      <c r="H13" s="128">
        <f t="shared" si="3"/>
        <v>1.0843908955989214</v>
      </c>
      <c r="I13" s="128">
        <f t="shared" si="3"/>
        <v>1.1021051585653756</v>
      </c>
      <c r="J13" s="128">
        <f t="shared" si="3"/>
        <v>1.1201087960680034</v>
      </c>
      <c r="K13" s="128">
        <f t="shared" si="3"/>
        <v>1.1384065352367081</v>
      </c>
      <c r="L13" s="128">
        <f t="shared" si="3"/>
        <v>1.1570031804222758</v>
      </c>
      <c r="M13" s="128">
        <f t="shared" si="3"/>
        <v>1.175903614457831</v>
      </c>
      <c r="N13" s="128">
        <f t="shared" si="3"/>
        <v>1.195112799940899</v>
      </c>
      <c r="O13" s="128">
        <f t="shared" si="3"/>
        <v>1.2146357805364119</v>
      </c>
      <c r="P13" s="128">
        <f t="shared" si="3"/>
        <v>1.2344776823009991</v>
      </c>
      <c r="Q13" s="128">
        <f t="shared" si="3"/>
        <v>1.254643715028912</v>
      </c>
      <c r="R13" s="128">
        <f t="shared" si="3"/>
        <v>1.2751391736199362</v>
      </c>
      <c r="S13" s="128">
        <f t="shared" si="3"/>
        <v>1.2959694394696464</v>
      </c>
      <c r="T13" s="128">
        <f t="shared" si="3"/>
        <v>1.3171399818823748</v>
      </c>
      <c r="U13" s="128">
        <f t="shared" si="3"/>
        <v>1.3386563595072611</v>
      </c>
      <c r="V13" s="128">
        <f t="shared" si="3"/>
        <v>1.36052422179776</v>
      </c>
      <c r="W13" s="128">
        <f t="shared" si="3"/>
        <v>1.3827493104949913</v>
      </c>
      <c r="X13" s="128">
        <f t="shared" si="3"/>
        <v>1.405337461135322</v>
      </c>
      <c r="Y13" s="128">
        <f t="shared" si="3"/>
        <v>1.4282946045825755</v>
      </c>
      <c r="Z13" s="128">
        <f t="shared" si="3"/>
        <v>1.4516267685852708</v>
      </c>
      <c r="AA13" s="128">
        <f t="shared" si="3"/>
        <v>1.4753400793592988</v>
      </c>
      <c r="AB13" s="128">
        <f t="shared" si="3"/>
        <v>1.4994407631964548</v>
      </c>
      <c r="AC13" s="128">
        <f t="shared" si="3"/>
        <v>1.5239351480992465</v>
      </c>
      <c r="AD13" s="128">
        <f t="shared" si="3"/>
        <v>1.5488296654424065</v>
      </c>
      <c r="AE13" s="128">
        <f t="shared" si="3"/>
        <v>1.57413085166155</v>
      </c>
      <c r="AF13" s="128">
        <f t="shared" si="3"/>
        <v>1.5998453499694141</v>
      </c>
      <c r="AG13" s="128">
        <f t="shared" si="3"/>
        <v>1.6259799121001339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170</v>
      </c>
      <c r="C17" s="136">
        <f>AVERAGE(C49:C50)</f>
        <v>212782855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106391427.5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60231000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199</v>
      </c>
      <c r="C24" s="136">
        <v>14002000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6180000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165584501</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136</v>
      </c>
      <c r="C50" s="71">
        <v>259981208.99999997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489061.09452124039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1085984.1048663999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787522.59969382011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1333044.0328915697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2784918.1724526086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2058981.1026720891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3144965.2075384893</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79" t="s">
        <v>176</v>
      </c>
      <c r="C77" s="87">
        <v>162822599.99999997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708824399.57786584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699178615.84271502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871646999.57786584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862001215.84271502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8630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13826.58</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11228.29</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77629.541059045121</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76770.480263932885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785980300.00000012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785980300.00000012</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785980300.00000012</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785980300.00000012</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26199343.333333336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3144965.2075384893</v>
      </c>
      <c r="E111" s="149">
        <f t="shared" si="9"/>
        <v>3144965.2075384893</v>
      </c>
      <c r="F111" s="149">
        <f t="shared" si="9"/>
        <v>3144965.2075384893</v>
      </c>
      <c r="G111" s="149">
        <f t="shared" si="9"/>
        <v>3144965.2075384893</v>
      </c>
      <c r="H111" s="149">
        <f t="shared" si="9"/>
        <v>3144965.2075384893</v>
      </c>
      <c r="I111" s="149">
        <f t="shared" si="9"/>
        <v>3144965.2075384893</v>
      </c>
      <c r="J111" s="149">
        <f t="shared" si="9"/>
        <v>3144965.2075384893</v>
      </c>
      <c r="K111" s="149">
        <f t="shared" si="9"/>
        <v>3144965.2075384893</v>
      </c>
      <c r="L111" s="149">
        <f t="shared" si="9"/>
        <v>3144965.2075384893</v>
      </c>
      <c r="M111" s="149">
        <f t="shared" si="9"/>
        <v>3144965.2075384893</v>
      </c>
      <c r="N111" s="149">
        <f t="shared" si="9"/>
        <v>3144965.2075384893</v>
      </c>
      <c r="O111" s="149">
        <f t="shared" si="9"/>
        <v>3144965.2075384893</v>
      </c>
      <c r="P111" s="149">
        <f t="shared" si="9"/>
        <v>3144965.2075384893</v>
      </c>
      <c r="Q111" s="149">
        <f t="shared" si="9"/>
        <v>3144965.2075384893</v>
      </c>
      <c r="R111" s="149">
        <f t="shared" si="9"/>
        <v>3144965.2075384893</v>
      </c>
      <c r="S111" s="149">
        <f t="shared" si="9"/>
        <v>3144965.2075384893</v>
      </c>
      <c r="T111" s="149">
        <f t="shared" si="9"/>
        <v>3144965.2075384893</v>
      </c>
      <c r="U111" s="149">
        <f t="shared" si="9"/>
        <v>3144965.2075384893</v>
      </c>
      <c r="V111" s="149">
        <f t="shared" si="9"/>
        <v>3144965.2075384893</v>
      </c>
      <c r="W111" s="149">
        <f t="shared" si="9"/>
        <v>3144965.2075384893</v>
      </c>
      <c r="X111" s="149">
        <f t="shared" si="9"/>
        <v>3144965.2075384893</v>
      </c>
      <c r="Y111" s="149">
        <f t="shared" si="9"/>
        <v>3144965.2075384893</v>
      </c>
      <c r="Z111" s="149">
        <f t="shared" si="9"/>
        <v>3144965.2075384893</v>
      </c>
      <c r="AA111" s="149">
        <f t="shared" si="9"/>
        <v>3144965.2075384893</v>
      </c>
      <c r="AB111" s="149">
        <f t="shared" si="9"/>
        <v>3144965.2075384893</v>
      </c>
      <c r="AC111" s="149">
        <f t="shared" si="9"/>
        <v>3144965.2075384893</v>
      </c>
      <c r="AD111" s="149">
        <f t="shared" si="9"/>
        <v>3144965.2075384893</v>
      </c>
      <c r="AE111" s="149">
        <f t="shared" si="9"/>
        <v>3144965.2075384893</v>
      </c>
      <c r="AF111" s="149">
        <f t="shared" si="9"/>
        <v>3144965.2075384893</v>
      </c>
      <c r="AG111" s="149">
        <f t="shared" si="9"/>
        <v>3144965.2075384893</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785980300.00000024</v>
      </c>
      <c r="D113" s="149">
        <f t="shared" ref="D113:AG113" si="10">$C$102</f>
        <v>26199343.333333336</v>
      </c>
      <c r="E113" s="149">
        <f t="shared" si="10"/>
        <v>26199343.333333336</v>
      </c>
      <c r="F113" s="149">
        <f t="shared" si="10"/>
        <v>26199343.333333336</v>
      </c>
      <c r="G113" s="149">
        <f t="shared" si="10"/>
        <v>26199343.333333336</v>
      </c>
      <c r="H113" s="149">
        <f t="shared" si="10"/>
        <v>26199343.333333336</v>
      </c>
      <c r="I113" s="149">
        <f t="shared" si="10"/>
        <v>26199343.333333336</v>
      </c>
      <c r="J113" s="149">
        <f t="shared" si="10"/>
        <v>26199343.333333336</v>
      </c>
      <c r="K113" s="149">
        <f t="shared" si="10"/>
        <v>26199343.333333336</v>
      </c>
      <c r="L113" s="149">
        <f t="shared" si="10"/>
        <v>26199343.333333336</v>
      </c>
      <c r="M113" s="149">
        <f t="shared" si="10"/>
        <v>26199343.333333336</v>
      </c>
      <c r="N113" s="149">
        <f t="shared" si="10"/>
        <v>26199343.333333336</v>
      </c>
      <c r="O113" s="149">
        <f t="shared" si="10"/>
        <v>26199343.333333336</v>
      </c>
      <c r="P113" s="149">
        <f t="shared" si="10"/>
        <v>26199343.333333336</v>
      </c>
      <c r="Q113" s="149">
        <f t="shared" si="10"/>
        <v>26199343.333333336</v>
      </c>
      <c r="R113" s="149">
        <f t="shared" si="10"/>
        <v>26199343.333333336</v>
      </c>
      <c r="S113" s="149">
        <f t="shared" si="10"/>
        <v>26199343.333333336</v>
      </c>
      <c r="T113" s="149">
        <f t="shared" si="10"/>
        <v>26199343.333333336</v>
      </c>
      <c r="U113" s="149">
        <f t="shared" si="10"/>
        <v>26199343.333333336</v>
      </c>
      <c r="V113" s="149">
        <f t="shared" si="10"/>
        <v>26199343.333333336</v>
      </c>
      <c r="W113" s="149">
        <f t="shared" si="10"/>
        <v>26199343.333333336</v>
      </c>
      <c r="X113" s="149">
        <f t="shared" si="10"/>
        <v>26199343.333333336</v>
      </c>
      <c r="Y113" s="149">
        <f t="shared" si="10"/>
        <v>26199343.333333336</v>
      </c>
      <c r="Z113" s="149">
        <f t="shared" si="10"/>
        <v>26199343.333333336</v>
      </c>
      <c r="AA113" s="149">
        <f t="shared" si="10"/>
        <v>26199343.333333336</v>
      </c>
      <c r="AB113" s="149">
        <f t="shared" si="10"/>
        <v>26199343.333333336</v>
      </c>
      <c r="AC113" s="149">
        <f t="shared" si="10"/>
        <v>26199343.333333336</v>
      </c>
      <c r="AD113" s="149">
        <f t="shared" si="10"/>
        <v>26199343.333333336</v>
      </c>
      <c r="AE113" s="149">
        <f t="shared" si="10"/>
        <v>26199343.333333336</v>
      </c>
      <c r="AF113" s="149">
        <f t="shared" si="10"/>
        <v>26199343.333333336</v>
      </c>
      <c r="AG113" s="149">
        <f t="shared" si="10"/>
        <v>26199343.333333336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26199343.333333336</v>
      </c>
      <c r="E118" s="149">
        <f t="shared" ref="E118:AG118" si="13">E113+E115+E116</f>
        <v>26199343.333333336</v>
      </c>
      <c r="F118" s="149">
        <f>F113+F115+F116</f>
        <v>26199343.333333336</v>
      </c>
      <c r="G118" s="149">
        <f t="shared" si="13"/>
        <v>26199343.333333336</v>
      </c>
      <c r="H118" s="149">
        <f t="shared" si="13"/>
        <v>26199343.333333336</v>
      </c>
      <c r="I118" s="149">
        <f t="shared" si="13"/>
        <v>26199343.333333336</v>
      </c>
      <c r="J118" s="149">
        <f t="shared" si="13"/>
        <v>26199343.333333336</v>
      </c>
      <c r="K118" s="149">
        <f t="shared" si="13"/>
        <v>26199343.333333336</v>
      </c>
      <c r="L118" s="149">
        <f t="shared" si="13"/>
        <v>26199343.333333336</v>
      </c>
      <c r="M118" s="149">
        <f t="shared" si="13"/>
        <v>26199343.333333336</v>
      </c>
      <c r="N118" s="149">
        <f t="shared" si="13"/>
        <v>26199343.333333336</v>
      </c>
      <c r="O118" s="149">
        <f t="shared" si="13"/>
        <v>26199343.333333336</v>
      </c>
      <c r="P118" s="149">
        <f t="shared" si="13"/>
        <v>26199343.333333336</v>
      </c>
      <c r="Q118" s="149">
        <f t="shared" si="13"/>
        <v>26199343.333333336</v>
      </c>
      <c r="R118" s="149">
        <f t="shared" si="13"/>
        <v>26199343.333333336</v>
      </c>
      <c r="S118" s="149">
        <f t="shared" si="13"/>
        <v>26199343.333333336</v>
      </c>
      <c r="T118" s="149">
        <f t="shared" si="13"/>
        <v>26199343.333333336</v>
      </c>
      <c r="U118" s="149">
        <f t="shared" si="13"/>
        <v>26199343.333333336</v>
      </c>
      <c r="V118" s="149">
        <f t="shared" si="13"/>
        <v>26199343.333333336</v>
      </c>
      <c r="W118" s="149">
        <f t="shared" si="13"/>
        <v>26199343.333333336</v>
      </c>
      <c r="X118" s="149">
        <f t="shared" si="13"/>
        <v>26199343.333333336</v>
      </c>
      <c r="Y118" s="149">
        <f t="shared" si="13"/>
        <v>26199343.333333336</v>
      </c>
      <c r="Z118" s="149">
        <f t="shared" si="13"/>
        <v>26199343.333333336</v>
      </c>
      <c r="AA118" s="149">
        <f t="shared" si="13"/>
        <v>26199343.333333336</v>
      </c>
      <c r="AB118" s="149">
        <f t="shared" si="13"/>
        <v>26199343.333333336</v>
      </c>
      <c r="AC118" s="149">
        <f t="shared" si="13"/>
        <v>26199343.333333336</v>
      </c>
      <c r="AD118" s="149">
        <f t="shared" si="13"/>
        <v>26199343.333333336</v>
      </c>
      <c r="AE118" s="149">
        <f t="shared" si="13"/>
        <v>26199343.333333336</v>
      </c>
      <c r="AF118" s="149">
        <f t="shared" si="13"/>
        <v>26199343.333333336</v>
      </c>
      <c r="AG118" s="149">
        <f t="shared" si="13"/>
        <v>26199343.333333336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628784.24</v>
      </c>
      <c r="E120" s="149">
        <f>(SUM($D$118:E118)*$C$104/$C$106)+(SUM($D$118:E118)*$C$105/$C$107)</f>
        <v>1257568.48</v>
      </c>
      <c r="F120" s="149">
        <f>(SUM($D$118:F118)*$C$104/$C$106)+(SUM($D$118:F118)*$C$105/$C$107)</f>
        <v>1886352.7200000002</v>
      </c>
      <c r="G120" s="149">
        <f>(SUM($D$118:G118)*$C$104/$C$106)+(SUM($D$118:G118)*$C$105/$C$107)</f>
        <v>2515136.96</v>
      </c>
      <c r="H120" s="149">
        <f>(SUM($D$118:H118)*$C$104/$C$106)+(SUM($D$118:H118)*$C$105/$C$107)</f>
        <v>3143921.2000000007</v>
      </c>
      <c r="I120" s="149">
        <f>(SUM($D$118:I118)*$C$104/$C$106)+(SUM($D$118:I118)*$C$105/$C$107)</f>
        <v>3772705.4400000009</v>
      </c>
      <c r="J120" s="149">
        <f>(SUM($D$118:J118)*$C$104/$C$106)+(SUM($D$118:J118)*$C$105/$C$107)</f>
        <v>4401489.6800000006</v>
      </c>
      <c r="K120" s="149">
        <f>(SUM($D$118:K118)*$C$104/$C$106)+(SUM($D$118:K118)*$C$105/$C$107)</f>
        <v>5030273.9200000018</v>
      </c>
      <c r="L120" s="149">
        <f>(SUM($D$118:L118)*$C$104/$C$106)+(SUM($D$118:L118)*$C$105/$C$107)</f>
        <v>5659058.1600000011</v>
      </c>
      <c r="M120" s="149">
        <f>(SUM($D$118:M118)*$C$104/$C$106)+(SUM($D$118:M118)*$C$105/$C$107)</f>
        <v>6287842.4000000013</v>
      </c>
      <c r="N120" s="149">
        <f>(SUM($D$118:N118)*$C$104/$C$106)+(SUM($D$118:N118)*$C$105/$C$107)</f>
        <v>6916626.6400000006</v>
      </c>
      <c r="O120" s="149">
        <f>(SUM($D$118:O118)*$C$104/$C$106)+(SUM($D$118:O118)*$C$105/$C$107)</f>
        <v>7545410.8800000018</v>
      </c>
      <c r="P120" s="149">
        <f>(SUM($D$118:P118)*$C$104/$C$106)+(SUM($D$118:P118)*$C$105/$C$107)</f>
        <v>8174195.120000001</v>
      </c>
      <c r="Q120" s="149">
        <f>(SUM($D$118:Q118)*$C$104/$C$106)+(SUM($D$118:Q118)*$C$105/$C$107)</f>
        <v>8802979.3600000013</v>
      </c>
      <c r="R120" s="149">
        <f>(SUM($D$118:R118)*$C$104/$C$106)+(SUM($D$118:R118)*$C$105/$C$107)</f>
        <v>9431763.5999999996</v>
      </c>
      <c r="S120" s="149">
        <f>(SUM($D$118:S118)*$C$104/$C$106)+(SUM($D$118:S118)*$C$105/$C$107)</f>
        <v>10060547.839999998</v>
      </c>
      <c r="T120" s="149">
        <f>(SUM($D$118:T118)*$C$104/$C$106)+(SUM($D$118:T118)*$C$105/$C$107)</f>
        <v>10689332.079999998</v>
      </c>
      <c r="U120" s="149">
        <f>(SUM($D$118:U118)*$C$104/$C$106)+(SUM($D$118:U118)*$C$105/$C$107)</f>
        <v>11318116.319999998</v>
      </c>
      <c r="V120" s="149">
        <f>(SUM($D$118:V118)*$C$104/$C$106)+(SUM($D$118:V118)*$C$105/$C$107)</f>
        <v>11946900.559999999</v>
      </c>
      <c r="W120" s="149">
        <f>(SUM($D$118:W118)*$C$104/$C$106)+(SUM($D$118:W118)*$C$105/$C$107)</f>
        <v>12575684.799999999</v>
      </c>
      <c r="X120" s="149">
        <f>(SUM($D$118:X118)*$C$104/$C$106)+(SUM($D$118:X118)*$C$105/$C$107)</f>
        <v>13204469.039999997</v>
      </c>
      <c r="Y120" s="149">
        <f>(SUM($D$118:Y118)*$C$104/$C$106)+(SUM($D$118:Y118)*$C$105/$C$107)</f>
        <v>13833253.279999997</v>
      </c>
      <c r="Z120" s="149">
        <f>(SUM($D$118:Z118)*$C$104/$C$106)+(SUM($D$118:Z118)*$C$105/$C$107)</f>
        <v>14462037.519999998</v>
      </c>
      <c r="AA120" s="149">
        <f>(SUM($D$118:AA118)*$C$104/$C$106)+(SUM($D$118:AA118)*$C$105/$C$107)</f>
        <v>15090821.760000002</v>
      </c>
      <c r="AB120" s="149">
        <f>(SUM($D$118:AB118)*$C$104/$C$106)+(SUM($D$118:AB118)*$C$105/$C$107)</f>
        <v>15719606</v>
      </c>
      <c r="AC120" s="149">
        <f>(SUM($D$118:AC118)*$C$104/$C$106)+(SUM($D$118:AC118)*$C$105/$C$107)</f>
        <v>16348390.240000002</v>
      </c>
      <c r="AD120" s="149">
        <f>(SUM($D$118:AD118)*$C$104/$C$106)+(SUM($D$118:AD118)*$C$105/$C$107)</f>
        <v>16977174.480000004</v>
      </c>
      <c r="AE120" s="149">
        <f>(SUM($D$118:AE118)*$C$104/$C$106)+(SUM($D$118:AE118)*$C$105/$C$107)</f>
        <v>17605958.720000003</v>
      </c>
      <c r="AF120" s="149">
        <f>(SUM($D$118:AF118)*$C$104/$C$106)+(SUM($D$118:AF118)*$C$105/$C$107)</f>
        <v>18234742.960000005</v>
      </c>
      <c r="AG120" s="149">
        <f>(SUM($D$118:AG118)*$C$104/$C$106)+(SUM($D$118:AG118)*$C$105/$C$107)</f>
        <v>18863527.200000003</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785980.3</v>
      </c>
      <c r="E122" s="72">
        <f>(SUM($D$118:E118)*$C$109)</f>
        <v>1571960.6</v>
      </c>
      <c r="F122" s="72">
        <f>(SUM($D$118:F118)*$C$109)</f>
        <v>2357940.9</v>
      </c>
      <c r="G122" s="72">
        <f>(SUM($D$118:G118)*$C$109)</f>
        <v>3143921.2</v>
      </c>
      <c r="H122" s="72">
        <f>(SUM($D$118:H118)*$C$109)</f>
        <v>3929901.5000000005</v>
      </c>
      <c r="I122" s="72">
        <f>(SUM($D$118:I118)*$C$109)</f>
        <v>4715881.8000000007</v>
      </c>
      <c r="J122" s="72">
        <f>(SUM($D$118:J118)*$C$109)</f>
        <v>5501862.1000000006</v>
      </c>
      <c r="K122" s="72">
        <f>(SUM($D$118:K118)*$C$109)</f>
        <v>6287842.4000000013</v>
      </c>
      <c r="L122" s="72">
        <f>(SUM($D$118:L118)*$C$109)</f>
        <v>7073822.7000000011</v>
      </c>
      <c r="M122" s="72">
        <f>(SUM($D$118:M118)*$C$109)</f>
        <v>7859803.0000000019</v>
      </c>
      <c r="N122" s="72">
        <f>(SUM($D$118:N118)*$C$109)</f>
        <v>8645783.3000000026</v>
      </c>
      <c r="O122" s="72">
        <f>(SUM($D$118:O118)*$C$109)</f>
        <v>9431763.6000000015</v>
      </c>
      <c r="P122" s="72">
        <f>(SUM($D$118:P118)*$C$109)</f>
        <v>10217743.9</v>
      </c>
      <c r="Q122" s="72">
        <f>(SUM($D$118:Q118)*$C$109)</f>
        <v>11003724.200000001</v>
      </c>
      <c r="R122" s="72">
        <f>(SUM($D$118:R118)*$C$109)</f>
        <v>11789704.5</v>
      </c>
      <c r="S122" s="72">
        <f>(SUM($D$118:S118)*$C$109)</f>
        <v>12575684.799999999</v>
      </c>
      <c r="T122" s="72">
        <f>(SUM($D$118:T118)*$C$109)</f>
        <v>13361665.099999998</v>
      </c>
      <c r="U122" s="72">
        <f>(SUM($D$118:U118)*$C$109)</f>
        <v>14147645.399999999</v>
      </c>
      <c r="V122" s="72">
        <f>(SUM($D$118:V118)*$C$109)</f>
        <v>14933625.699999997</v>
      </c>
      <c r="W122" s="72">
        <f>(SUM($D$118:W118)*$C$109)</f>
        <v>15719605.999999996</v>
      </c>
      <c r="X122" s="72">
        <f>(SUM($D$118:X118)*$C$109)</f>
        <v>16505586.299999995</v>
      </c>
      <c r="Y122" s="72">
        <f>(SUM($D$118:Y118)*$C$109)</f>
        <v>17291566.599999998</v>
      </c>
      <c r="Z122" s="72">
        <f>(SUM($D$118:Z118)*$C$109)</f>
        <v>18077546.899999999</v>
      </c>
      <c r="AA122" s="72">
        <f>(SUM($D$118:AA118)*$C$109)</f>
        <v>18863527.199999999</v>
      </c>
      <c r="AB122" s="72">
        <f>(SUM($D$118:AB118)*$C$109)</f>
        <v>19649507.5</v>
      </c>
      <c r="AC122" s="72">
        <f>(SUM($D$118:AC118)*$C$109)</f>
        <v>20435487.800000001</v>
      </c>
      <c r="AD122" s="72">
        <f>(SUM($D$118:AD118)*$C$109)</f>
        <v>21221468.100000001</v>
      </c>
      <c r="AE122" s="72">
        <f>(SUM($D$118:AE118)*$C$109)</f>
        <v>22007448.400000002</v>
      </c>
      <c r="AF122" s="72">
        <f>(SUM($D$118:AF118)*$C$109)</f>
        <v>22793428.700000007</v>
      </c>
      <c r="AG122" s="72">
        <f>(SUM($D$118:AG118)*$C$109)</f>
        <v>23579409.000000007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8630</v>
      </c>
      <c r="D126" s="140"/>
    </row>
    <row r="127" spans="1:33" x14ac:dyDescent="0.35">
      <c r="A127" s="77" t="s">
        <v>151</v>
      </c>
      <c r="B127" s="77" t="s">
        <v>134</v>
      </c>
      <c r="C127" s="126">
        <v>13826.58</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11228.29</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4158.6259259259259</v>
      </c>
      <c r="D135" s="157">
        <f t="shared" ref="D135:AG135" si="14">$C$135*D13</f>
        <v>4226.5599094460276</v>
      </c>
      <c r="E135" s="157">
        <f t="shared" si="14"/>
        <v>4295.6036408008995</v>
      </c>
      <c r="F135" s="157">
        <f t="shared" si="14"/>
        <v>4365.7752484763569</v>
      </c>
      <c r="G135" s="157">
        <f t="shared" si="14"/>
        <v>4437.0931570993662</v>
      </c>
      <c r="H135" s="157">
        <f t="shared" si="14"/>
        <v>4509.576092275709</v>
      </c>
      <c r="I135" s="157">
        <f t="shared" si="14"/>
        <v>4583.2430855066741</v>
      </c>
      <c r="J135" s="157">
        <f t="shared" si="14"/>
        <v>4658.113479186075</v>
      </c>
      <c r="K135" s="157">
        <f t="shared" si="14"/>
        <v>4734.2069316788802</v>
      </c>
      <c r="L135" s="157">
        <f t="shared" si="14"/>
        <v>4811.5434224828277</v>
      </c>
      <c r="M135" s="157">
        <f t="shared" si="14"/>
        <v>4890.1432574743403</v>
      </c>
      <c r="N135" s="157">
        <f t="shared" si="14"/>
        <v>4970.0270742401472</v>
      </c>
      <c r="O135" s="157">
        <f t="shared" si="14"/>
        <v>5051.2158474959951</v>
      </c>
      <c r="P135" s="157">
        <f t="shared" si="14"/>
        <v>5133.730894593883</v>
      </c>
      <c r="Q135" s="157">
        <f t="shared" si="14"/>
        <v>5217.5938811192527</v>
      </c>
      <c r="R135" s="157">
        <f t="shared" si="14"/>
        <v>5302.8268265796269</v>
      </c>
      <c r="S135" s="157">
        <f t="shared" si="14"/>
        <v>5389.452110186161</v>
      </c>
      <c r="T135" s="157">
        <f t="shared" si="14"/>
        <v>5477.4924767296479</v>
      </c>
      <c r="U135" s="157">
        <f t="shared" si="14"/>
        <v>5566.9710425525127</v>
      </c>
      <c r="V135" s="157">
        <f t="shared" si="14"/>
        <v>5657.9113016183592</v>
      </c>
      <c r="W135" s="157">
        <f t="shared" si="14"/>
        <v>5750.3371316806688</v>
      </c>
      <c r="X135" s="157">
        <f t="shared" si="14"/>
        <v>5844.2728005522686</v>
      </c>
      <c r="Y135" s="157">
        <f t="shared" si="14"/>
        <v>5939.7429724772173</v>
      </c>
      <c r="Z135" s="157">
        <f t="shared" si="14"/>
        <v>6036.7727146067818</v>
      </c>
      <c r="AA135" s="157">
        <f t="shared" si="14"/>
        <v>6135.3875035811925</v>
      </c>
      <c r="AB135" s="157">
        <f t="shared" si="14"/>
        <v>6235.6132322189342</v>
      </c>
      <c r="AC135" s="157">
        <f t="shared" si="14"/>
        <v>6337.4762163152918</v>
      </c>
      <c r="AD135" s="157">
        <f t="shared" si="14"/>
        <v>6441.0032015519701</v>
      </c>
      <c r="AE135" s="157">
        <f t="shared" si="14"/>
        <v>6546.22137051958</v>
      </c>
      <c r="AF135" s="157">
        <f t="shared" si="14"/>
        <v>6653.1583498548416</v>
      </c>
      <c r="AG135" s="157">
        <f t="shared" si="14"/>
        <v>6761.8422174943753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40" zoomScaleNormal="4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0.7</v>
      </c>
      <c r="F4" s="65">
        <v>0.3</v>
      </c>
      <c r="G4" s="65">
        <v>0.1</v>
      </c>
      <c r="H4" s="65">
        <v>0.1</v>
      </c>
      <c r="I4" s="65">
        <v>0.1</v>
      </c>
      <c r="J4" s="65">
        <v>7.0000000000000007E-2</v>
      </c>
      <c r="K4" s="65">
        <v>7.0000000000000007E-2</v>
      </c>
      <c r="L4" s="65">
        <v>0.05</v>
      </c>
      <c r="M4" s="65">
        <v>0.05</v>
      </c>
      <c r="N4" s="65">
        <v>0.05</v>
      </c>
      <c r="O4" s="65">
        <v>0.04</v>
      </c>
      <c r="P4" s="65">
        <v>0.04</v>
      </c>
      <c r="Q4" s="65">
        <v>0.04</v>
      </c>
      <c r="R4" s="65">
        <v>0.04</v>
      </c>
      <c r="S4" s="65">
        <v>0.04</v>
      </c>
      <c r="T4" s="65">
        <v>0.04</v>
      </c>
      <c r="U4" s="65">
        <v>0.04</v>
      </c>
      <c r="V4" s="65">
        <v>0.04</v>
      </c>
      <c r="W4" s="65">
        <v>0.04</v>
      </c>
      <c r="X4" s="65">
        <v>0.04</v>
      </c>
      <c r="Y4" s="65">
        <v>0.04</v>
      </c>
      <c r="Z4" s="65">
        <v>0.04</v>
      </c>
      <c r="AA4" s="65">
        <v>0.04</v>
      </c>
      <c r="AB4" s="65">
        <v>0.04</v>
      </c>
      <c r="AC4" s="65">
        <v>0.04</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2.5152817491266188</v>
      </c>
      <c r="C6" s="25"/>
      <c r="D6" s="25"/>
      <c r="E6" s="27">
        <f>'Debt worksheet'!C5/'Profit and Loss'!C5</f>
        <v>2.4896821550639014</v>
      </c>
      <c r="F6" s="28">
        <f ca="1">'Debt worksheet'!D5/'Profit and Loss'!D5</f>
        <v>2.4053663735275177</v>
      </c>
      <c r="G6" s="28">
        <f ca="1">'Debt worksheet'!E5/'Profit and Loss'!E5</f>
        <v>2.4887647533163535</v>
      </c>
      <c r="H6" s="28">
        <f ca="1">'Debt worksheet'!F5/'Profit and Loss'!F5</f>
        <v>2.5152817491266188</v>
      </c>
      <c r="I6" s="28">
        <f ca="1">'Debt worksheet'!G5/'Profit and Loss'!G5</f>
        <v>2.4894926426434676</v>
      </c>
      <c r="J6" s="28">
        <f ca="1">'Debt worksheet'!H5/'Profit and Loss'!H5</f>
        <v>2.4836444178798658</v>
      </c>
      <c r="K6" s="28">
        <f ca="1">'Debt worksheet'!I5/'Profit and Loss'!I5</f>
        <v>2.4563709970533325</v>
      </c>
      <c r="L6" s="28">
        <f ca="1">'Debt worksheet'!J5/'Profit and Loss'!J5</f>
        <v>2.4536794314034567</v>
      </c>
      <c r="M6" s="28">
        <f ca="1">'Debt worksheet'!K5/'Profit and Loss'!K5</f>
        <v>2.4467044299295142</v>
      </c>
      <c r="N6" s="28">
        <f ca="1">'Debt worksheet'!L5/'Profit and Loss'!L5</f>
        <v>2.4344435422300683</v>
      </c>
      <c r="O6" s="28">
        <f ca="1">'Debt worksheet'!M5/'Profit and Loss'!M5</f>
        <v>2.4392467929296635</v>
      </c>
      <c r="P6" s="28">
        <f ca="1">'Debt worksheet'!N5/'Profit and Loss'!N5</f>
        <v>2.4462750673180205</v>
      </c>
      <c r="Q6" s="28">
        <f ca="1">'Debt worksheet'!O5/'Profit and Loss'!O5</f>
        <v>2.4545436275113772</v>
      </c>
      <c r="R6" s="28">
        <f ca="1">'Debt worksheet'!P5/'Profit and Loss'!P5</f>
        <v>2.4631400335437568</v>
      </c>
      <c r="S6" s="28">
        <f ca="1">'Debt worksheet'!Q5/'Profit and Loss'!Q5</f>
        <v>2.471220378016846</v>
      </c>
      <c r="T6" s="28">
        <f ca="1">'Debt worksheet'!R5/'Profit and Loss'!R5</f>
        <v>2.4780056896034348</v>
      </c>
      <c r="U6" s="28">
        <f ca="1">'Debt worksheet'!S5/'Profit and Loss'!S5</f>
        <v>2.4827784984142611</v>
      </c>
      <c r="V6" s="28">
        <f ca="1">'Debt worksheet'!T5/'Profit and Loss'!T5</f>
        <v>2.4848795565140569</v>
      </c>
      <c r="W6" s="28">
        <f ca="1">'Debt worksheet'!U5/'Profit and Loss'!U5</f>
        <v>2.4837047071380352</v>
      </c>
      <c r="X6" s="28">
        <f ca="1">'Debt worksheet'!V5/'Profit and Loss'!V5</f>
        <v>2.4787018964152616</v>
      </c>
      <c r="Y6" s="28">
        <f ca="1">'Debt worksheet'!W5/'Profit and Loss'!W5</f>
        <v>2.4693683216508076</v>
      </c>
      <c r="Z6" s="28">
        <f ca="1">'Debt worksheet'!X5/'Profit and Loss'!X5</f>
        <v>2.4552477104545929</v>
      </c>
      <c r="AA6" s="28">
        <f ca="1">'Debt worksheet'!Y5/'Profit and Loss'!Y5</f>
        <v>2.4359277252317719</v>
      </c>
      <c r="AB6" s="28">
        <f ca="1">'Debt worksheet'!Z5/'Profit and Loss'!Z5</f>
        <v>2.4110374877677208</v>
      </c>
      <c r="AC6" s="28">
        <f ca="1">'Debt worksheet'!AA5/'Profit and Loss'!AA5</f>
        <v>2.3802452188505092</v>
      </c>
      <c r="AD6" s="28">
        <f ca="1">'Debt worksheet'!AB5/'Profit and Loss'!AB5</f>
        <v>2.3845266414857784</v>
      </c>
      <c r="AE6" s="28">
        <f ca="1">'Debt worksheet'!AC5/'Profit and Loss'!AC5</f>
        <v>2.3991052714606931</v>
      </c>
      <c r="AF6" s="28">
        <f ca="1">'Debt worksheet'!AD5/'Profit and Loss'!AD5</f>
        <v>2.4236344181878446</v>
      </c>
      <c r="AG6" s="28">
        <f ca="1">'Debt worksheet'!AE5/'Profit and Loss'!AE5</f>
        <v>2.4577752171904801</v>
      </c>
      <c r="AH6" s="28">
        <f ca="1">'Debt worksheet'!AF5/'Profit and Loss'!AF5</f>
        <v>2.5011964685376169</v>
      </c>
      <c r="AI6" s="31"/>
    </row>
    <row r="7" spans="1:35" ht="21" x14ac:dyDescent="0.5">
      <c r="A7" s="19" t="s">
        <v>39</v>
      </c>
      <c r="B7" s="26">
        <f ca="1">MIN('Price and Financial ratios'!E7:AH7)</f>
        <v>0.21777778935214537</v>
      </c>
      <c r="C7" s="26"/>
      <c r="D7" s="26"/>
      <c r="E7" s="56">
        <f ca="1">'Cash Flow'!C7/'Debt worksheet'!C5</f>
        <v>0.23706870604939173</v>
      </c>
      <c r="F7" s="32">
        <f ca="1">'Cash Flow'!D7/'Debt worksheet'!D5</f>
        <v>0.26717471626053307</v>
      </c>
      <c r="G7" s="32">
        <f ca="1">'Cash Flow'!E7/'Debt worksheet'!E5</f>
        <v>0.25608587893634821</v>
      </c>
      <c r="H7" s="32">
        <f ca="1">'Cash Flow'!F7/'Debt worksheet'!F5</f>
        <v>0.25312163464041015</v>
      </c>
      <c r="I7" s="32">
        <f ca="1">'Cash Flow'!G7/'Debt worksheet'!G5</f>
        <v>0.25710802534572469</v>
      </c>
      <c r="J7" s="32">
        <f ca="1">'Cash Flow'!H7/'Debt worksheet'!H5</f>
        <v>0.25610709990663949</v>
      </c>
      <c r="K7" s="32">
        <f ca="1">'Cash Flow'!I7/'Debt worksheet'!I5</f>
        <v>0.25827842095449316</v>
      </c>
      <c r="L7" s="32">
        <f ca="1">'Cash Flow'!J7/'Debt worksheet'!J5</f>
        <v>0.25565465717844582</v>
      </c>
      <c r="M7" s="17">
        <f ca="1">'Cash Flow'!K7/'Debt worksheet'!K5</f>
        <v>0.25398967154952873</v>
      </c>
      <c r="N7" s="17">
        <f ca="1">'Cash Flow'!L7/'Debt worksheet'!L5</f>
        <v>0.25336907830966793</v>
      </c>
      <c r="O7" s="17">
        <f ca="1">'Cash Flow'!M7/'Debt worksheet'!M5</f>
        <v>0.24979419465416081</v>
      </c>
      <c r="P7" s="17">
        <f ca="1">'Cash Flow'!N7/'Debt worksheet'!N5</f>
        <v>0.24630353605334207</v>
      </c>
      <c r="Q7" s="17">
        <f ca="1">'Cash Flow'!O7/'Debt worksheet'!O5</f>
        <v>0.24299990748654851</v>
      </c>
      <c r="R7" s="17">
        <f ca="1">'Cash Flow'!P7/'Debt worksheet'!P5</f>
        <v>0.23997163585173631</v>
      </c>
      <c r="S7" s="17">
        <f ca="1">'Cash Flow'!Q7/'Debt worksheet'!Q5</f>
        <v>0.2372942113493435</v>
      </c>
      <c r="T7" s="17">
        <f ca="1">'Cash Flow'!R7/'Debt worksheet'!R5</f>
        <v>0.23503235216197313</v>
      </c>
      <c r="U7" s="17">
        <f ca="1">'Cash Flow'!S7/'Debt worksheet'!S5</f>
        <v>0.23324228394754809</v>
      </c>
      <c r="V7" s="17">
        <f ca="1">'Cash Flow'!T7/'Debt worksheet'!T5</f>
        <v>0.23197409529291618</v>
      </c>
      <c r="W7" s="17">
        <f ca="1">'Cash Flow'!U7/'Debt worksheet'!U5</f>
        <v>0.23127409155908277</v>
      </c>
      <c r="X7" s="17">
        <f ca="1">'Cash Flow'!V7/'Debt worksheet'!V5</f>
        <v>0.23118712042202533</v>
      </c>
      <c r="Y7" s="17">
        <f ca="1">'Cash Flow'!W7/'Debt worksheet'!W5</f>
        <v>0.23175888379946308</v>
      </c>
      <c r="Z7" s="17">
        <f ca="1">'Cash Flow'!X7/'Debt worksheet'!X5</f>
        <v>0.23303828541661784</v>
      </c>
      <c r="AA7" s="17">
        <f ca="1">'Cash Flow'!Y7/'Debt worksheet'!Y5</f>
        <v>0.23507989464080309</v>
      </c>
      <c r="AB7" s="17">
        <f ca="1">'Cash Flow'!Z7/'Debt worksheet'!Z5</f>
        <v>0.23794663972950231</v>
      </c>
      <c r="AC7" s="17">
        <f ca="1">'Cash Flow'!AA7/'Debt worksheet'!AA5</f>
        <v>0.24171288243886169</v>
      </c>
      <c r="AD7" s="17">
        <f ca="1">'Cash Flow'!AB7/'Debt worksheet'!AB5</f>
        <v>0.23881401308717592</v>
      </c>
      <c r="AE7" s="17">
        <f ca="1">'Cash Flow'!AC7/'Debt worksheet'!AC5</f>
        <v>0.2348585199573868</v>
      </c>
      <c r="AF7" s="17">
        <f ca="1">'Cash Flow'!AD7/'Debt worksheet'!AD5</f>
        <v>0.22995135157736341</v>
      </c>
      <c r="AG7" s="17">
        <f ca="1">'Cash Flow'!AE7/'Debt worksheet'!AE5</f>
        <v>0.2242139911422987</v>
      </c>
      <c r="AH7" s="17">
        <f ca="1">'Cash Flow'!AF7/'Debt worksheet'!AF5</f>
        <v>0.21777778935214537</v>
      </c>
      <c r="AI7" s="29"/>
    </row>
    <row r="8" spans="1:35" ht="21" x14ac:dyDescent="0.5">
      <c r="A8" s="19" t="s">
        <v>34</v>
      </c>
      <c r="B8" s="26">
        <f ca="1">MAX('Price and Financial ratios'!E8:AH8)</f>
        <v>0.68593455993257146</v>
      </c>
      <c r="C8" s="26"/>
      <c r="D8" s="176"/>
      <c r="E8" s="17">
        <f>'Balance Sheet'!B11/'Balance Sheet'!B8</f>
        <v>0.58763718103975537</v>
      </c>
      <c r="F8" s="17">
        <f ca="1">'Balance Sheet'!C11/'Balance Sheet'!C8</f>
        <v>0.68593455993257146</v>
      </c>
      <c r="G8" s="17">
        <f ca="1">'Balance Sheet'!D11/'Balance Sheet'!D8</f>
        <v>0.63913260261085103</v>
      </c>
      <c r="H8" s="17">
        <f ca="1">'Balance Sheet'!E11/'Balance Sheet'!E8</f>
        <v>0.60151301888639108</v>
      </c>
      <c r="I8" s="17">
        <f ca="1">'Balance Sheet'!F11/'Balance Sheet'!F8</f>
        <v>0.56777641043470661</v>
      </c>
      <c r="J8" s="17">
        <f ca="1">'Balance Sheet'!G11/'Balance Sheet'!G8</f>
        <v>0.5349382868678777</v>
      </c>
      <c r="K8" s="17">
        <f ca="1">'Balance Sheet'!H11/'Balance Sheet'!H8</f>
        <v>0.5066053485723564</v>
      </c>
      <c r="L8" s="17">
        <f ca="1">'Balance Sheet'!I11/'Balance Sheet'!I8</f>
        <v>0.48079730532817239</v>
      </c>
      <c r="M8" s="17">
        <f ca="1">'Balance Sheet'!J11/'Balance Sheet'!J8</f>
        <v>0.45963661534531264</v>
      </c>
      <c r="N8" s="17">
        <f ca="1">'Balance Sheet'!K11/'Balance Sheet'!K8</f>
        <v>0.44175570075750614</v>
      </c>
      <c r="O8" s="17">
        <f ca="1">'Balance Sheet'!L11/'Balance Sheet'!L8</f>
        <v>0.42617167799336009</v>
      </c>
      <c r="P8" s="17">
        <f ca="1">'Balance Sheet'!M11/'Balance Sheet'!M8</f>
        <v>0.41374714277050595</v>
      </c>
      <c r="Q8" s="17">
        <f ca="1">'Balance Sheet'!N11/'Balance Sheet'!N8</f>
        <v>0.40377289192505261</v>
      </c>
      <c r="R8" s="17">
        <f ca="1">'Balance Sheet'!O11/'Balance Sheet'!O8</f>
        <v>0.39570282495377246</v>
      </c>
      <c r="S8" s="17">
        <f ca="1">'Balance Sheet'!P11/'Balance Sheet'!P8</f>
        <v>0.38910698200509913</v>
      </c>
      <c r="T8" s="17">
        <f ca="1">'Balance Sheet'!Q11/'Balance Sheet'!Q8</f>
        <v>0.38363979926211345</v>
      </c>
      <c r="U8" s="17">
        <f ca="1">'Balance Sheet'!R11/'Balance Sheet'!R8</f>
        <v>0.37901811985575368</v>
      </c>
      <c r="V8" s="17">
        <f ca="1">'Balance Sheet'!S11/'Balance Sheet'!S8</f>
        <v>0.37500562951341315</v>
      </c>
      <c r="W8" s="17">
        <f ca="1">'Balance Sheet'!T11/'Balance Sheet'!T8</f>
        <v>0.3714016252935704</v>
      </c>
      <c r="X8" s="17">
        <f ca="1">'Balance Sheet'!U11/'Balance Sheet'!U8</f>
        <v>0.36803276932553464</v>
      </c>
      <c r="Y8" s="17">
        <f ca="1">'Balance Sheet'!V11/'Balance Sheet'!V8</f>
        <v>0.36474693831547622</v>
      </c>
      <c r="Z8" s="17">
        <f ca="1">'Balance Sheet'!W11/'Balance Sheet'!W8</f>
        <v>0.36140856989294207</v>
      </c>
      <c r="AA8" s="17">
        <f ca="1">'Balance Sheet'!X11/'Balance Sheet'!X8</f>
        <v>0.35789509473627773</v>
      </c>
      <c r="AB8" s="17">
        <f ca="1">'Balance Sheet'!Y11/'Balance Sheet'!Y8</f>
        <v>0.35409416748532152</v>
      </c>
      <c r="AC8" s="17">
        <f ca="1">'Balance Sheet'!Z11/'Balance Sheet'!Z8</f>
        <v>0.34990149292019512</v>
      </c>
      <c r="AD8" s="17">
        <f ca="1">'Balance Sheet'!AA11/'Balance Sheet'!AA8</f>
        <v>0.34521910099957515</v>
      </c>
      <c r="AE8" s="17">
        <f ca="1">'Balance Sheet'!AB11/'Balance Sheet'!AB8</f>
        <v>0.34246220683974093</v>
      </c>
      <c r="AF8" s="17">
        <f ca="1">'Balance Sheet'!AC11/'Balance Sheet'!AC8</f>
        <v>0.34148195141477905</v>
      </c>
      <c r="AG8" s="17">
        <f ca="1">'Balance Sheet'!AD11/'Balance Sheet'!AD8</f>
        <v>0.34214844587368892</v>
      </c>
      <c r="AH8" s="17">
        <f ca="1">'Balance Sheet'!AE11/'Balance Sheet'!AE8</f>
        <v>0.34434783740050556</v>
      </c>
      <c r="AI8" s="29"/>
    </row>
    <row r="9" spans="1:35" ht="21.5" thickBot="1" x14ac:dyDescent="0.55000000000000004">
      <c r="A9" s="20" t="s">
        <v>33</v>
      </c>
      <c r="B9" s="21">
        <f ca="1">MIN('Price and Financial ratios'!E9:AH9)</f>
        <v>6.3062576198233664</v>
      </c>
      <c r="C9" s="21"/>
      <c r="D9" s="177"/>
      <c r="E9" s="21">
        <f ca="1">('Cash Flow'!C7+'Profit and Loss'!C8)/('Profit and Loss'!C8)</f>
        <v>6.3062576198233664</v>
      </c>
      <c r="F9" s="21">
        <f ca="1">('Cash Flow'!D7+'Profit and Loss'!D8)/('Profit and Loss'!D8)</f>
        <v>7.5992539739604092</v>
      </c>
      <c r="G9" s="21">
        <f ca="1">('Cash Flow'!E7+'Profit and Loss'!E8)/('Profit and Loss'!E8)</f>
        <v>7.4756734026127525</v>
      </c>
      <c r="H9" s="21">
        <f ca="1">('Cash Flow'!F7+'Profit and Loss'!F8)/('Profit and Loss'!F8)</f>
        <v>7.5359264582121419</v>
      </c>
      <c r="I9" s="21">
        <f ca="1">('Cash Flow'!G7+'Profit and Loss'!G8)/('Profit and Loss'!G8)</f>
        <v>7.7709259971244764</v>
      </c>
      <c r="J9" s="21">
        <f ca="1">('Cash Flow'!H7+'Profit and Loss'!H8)/('Profit and Loss'!H8)</f>
        <v>7.8034325119391781</v>
      </c>
      <c r="K9" s="21">
        <f ca="1">('Cash Flow'!I7+'Profit and Loss'!I8)/('Profit and Loss'!I8)</f>
        <v>7.9226080843443638</v>
      </c>
      <c r="L9" s="21">
        <f ca="1">('Cash Flow'!J7+'Profit and Loss'!J8)/('Profit and Loss'!J8)</f>
        <v>7.8642881585064526</v>
      </c>
      <c r="M9" s="21">
        <f ca="1">('Cash Flow'!K7+'Profit and Loss'!K8)/('Profit and Loss'!K8)</f>
        <v>7.8344463966614315</v>
      </c>
      <c r="N9" s="21">
        <f ca="1">('Cash Flow'!L7+'Profit and Loss'!L8)/('Profit and Loss'!L8)</f>
        <v>7.835322655896908</v>
      </c>
      <c r="O9" s="21">
        <f ca="1">('Cash Flow'!M7+'Profit and Loss'!M8)/('Profit and Loss'!M8)</f>
        <v>7.7327771278370223</v>
      </c>
      <c r="P9" s="21">
        <f ca="1">('Cash Flow'!N7+'Profit and Loss'!N8)/('Profit and Loss'!N8)</f>
        <v>7.6353925965153904</v>
      </c>
      <c r="Q9" s="21">
        <f ca="1">('Cash Flow'!O7+'Profit and Loss'!O8)/('Profit and Loss'!O8)</f>
        <v>7.5455961230122588</v>
      </c>
      <c r="R9" s="21">
        <f ca="1">('Cash Flow'!P7+'Profit and Loss'!P8)/('Profit and Loss'!P8)</f>
        <v>7.4654533454337395</v>
      </c>
      <c r="S9" s="21">
        <f ca="1">('Cash Flow'!Q7+'Profit and Loss'!Q8)/('Profit and Loss'!Q8)</f>
        <v>7.3967262475444251</v>
      </c>
      <c r="T9" s="21">
        <f ca="1">('Cash Flow'!R7+'Profit and Loss'!R8)/('Profit and Loss'!R8)</f>
        <v>7.3409366503519324</v>
      </c>
      <c r="U9" s="21">
        <f ca="1">('Cash Flow'!S7+'Profit and Loss'!S8)/('Profit and Loss'!S8)</f>
        <v>7.2994315583766278</v>
      </c>
      <c r="V9" s="21">
        <f ca="1">('Cash Flow'!T7+'Profit and Loss'!T8)/('Profit and Loss'!T8)</f>
        <v>7.273448196905318</v>
      </c>
      <c r="W9" s="21">
        <f ca="1">('Cash Flow'!U7+'Profit and Loss'!U8)/('Profit and Loss'!U8)</f>
        <v>7.2641779850263353</v>
      </c>
      <c r="X9" s="21">
        <f ca="1">('Cash Flow'!V7+'Profit and Loss'!V8)/('Profit and Loss'!V8)</f>
        <v>7.2728298282054977</v>
      </c>
      <c r="Y9" s="21">
        <f ca="1">('Cash Flow'!W7+'Profit and Loss'!W8)/('Profit and Loss'!W8)</f>
        <v>7.3006940576997161</v>
      </c>
      <c r="Z9" s="21">
        <f ca="1">('Cash Flow'!X7+'Profit and Loss'!X8)/('Profit and Loss'!X8)</f>
        <v>7.3492091925190195</v>
      </c>
      <c r="AA9" s="21">
        <f ca="1">('Cash Flow'!Y7+'Profit and Loss'!Y8)/('Profit and Loss'!Y8)</f>
        <v>7.4200345711430229</v>
      </c>
      <c r="AB9" s="21">
        <f ca="1">('Cash Flow'!Z7+'Profit and Loss'!Z8)/('Profit and Loss'!Z8)</f>
        <v>7.5151329343659423</v>
      </c>
      <c r="AC9" s="21">
        <f ca="1">('Cash Flow'!AA7+'Profit and Loss'!AA8)/('Profit and Loss'!AA8)</f>
        <v>7.6368684136206806</v>
      </c>
      <c r="AD9" s="21">
        <f ca="1">('Cash Flow'!AB7+'Profit and Loss'!AB8)/('Profit and Loss'!AB8)</f>
        <v>7.5291488251041327</v>
      </c>
      <c r="AE9" s="21">
        <f ca="1">('Cash Flow'!AC7+'Profit and Loss'!AC8)/('Profit and Loss'!AC8)</f>
        <v>7.3948800199185172</v>
      </c>
      <c r="AF9" s="21">
        <f ca="1">('Cash Flow'!AD7+'Profit and Loss'!AD8)/('Profit and Loss'!AD8)</f>
        <v>7.2374173569503908</v>
      </c>
      <c r="AG9" s="21">
        <f ca="1">('Cash Flow'!AE7+'Profit and Loss'!AE8)/('Profit and Loss'!AE8)</f>
        <v>7.0603952715368647</v>
      </c>
      <c r="AH9" s="21">
        <f ca="1">('Cash Flow'!AF7+'Profit and Loss'!AF8)/('Profit and Loss'!AF8)</f>
        <v>6.8675493362812503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3144965.2075384893</v>
      </c>
      <c r="D5" s="1">
        <f>Assumptions!E111</f>
        <v>3144965.2075384893</v>
      </c>
      <c r="E5" s="1">
        <f>Assumptions!F111</f>
        <v>3144965.2075384893</v>
      </c>
      <c r="F5" s="1">
        <f>Assumptions!G111</f>
        <v>3144965.2075384893</v>
      </c>
      <c r="G5" s="1">
        <f>Assumptions!H111</f>
        <v>3144965.2075384893</v>
      </c>
      <c r="H5" s="1">
        <f>Assumptions!I111</f>
        <v>3144965.2075384893</v>
      </c>
      <c r="I5" s="1">
        <f>Assumptions!J111</f>
        <v>3144965.2075384893</v>
      </c>
      <c r="J5" s="1">
        <f>Assumptions!K111</f>
        <v>3144965.2075384893</v>
      </c>
      <c r="K5" s="1">
        <f>Assumptions!L111</f>
        <v>3144965.2075384893</v>
      </c>
      <c r="L5" s="1">
        <f>Assumptions!M111</f>
        <v>3144965.2075384893</v>
      </c>
      <c r="M5" s="1">
        <f>Assumptions!N111</f>
        <v>3144965.2075384893</v>
      </c>
      <c r="N5" s="1">
        <f>Assumptions!O111</f>
        <v>3144965.2075384893</v>
      </c>
      <c r="O5" s="1">
        <f>Assumptions!P111</f>
        <v>3144965.2075384893</v>
      </c>
      <c r="P5" s="1">
        <f>Assumptions!Q111</f>
        <v>3144965.2075384893</v>
      </c>
      <c r="Q5" s="1">
        <f>Assumptions!R111</f>
        <v>3144965.2075384893</v>
      </c>
      <c r="R5" s="1">
        <f>Assumptions!S111</f>
        <v>3144965.2075384893</v>
      </c>
      <c r="S5" s="1">
        <f>Assumptions!T111</f>
        <v>3144965.2075384893</v>
      </c>
      <c r="T5" s="1">
        <f>Assumptions!U111</f>
        <v>3144965.2075384893</v>
      </c>
      <c r="U5" s="1">
        <f>Assumptions!V111</f>
        <v>3144965.2075384893</v>
      </c>
      <c r="V5" s="1">
        <f>Assumptions!W111</f>
        <v>3144965.2075384893</v>
      </c>
      <c r="W5" s="1">
        <f>Assumptions!X111</f>
        <v>3144965.2075384893</v>
      </c>
      <c r="X5" s="1">
        <f>Assumptions!Y111</f>
        <v>3144965.2075384893</v>
      </c>
      <c r="Y5" s="1">
        <f>Assumptions!Z111</f>
        <v>3144965.2075384893</v>
      </c>
      <c r="Z5" s="1">
        <f>Assumptions!AA111</f>
        <v>3144965.2075384893</v>
      </c>
      <c r="AA5" s="1">
        <f>Assumptions!AB111</f>
        <v>3144965.2075384893</v>
      </c>
      <c r="AB5" s="1">
        <f>Assumptions!AC111</f>
        <v>3144965.2075384893</v>
      </c>
      <c r="AC5" s="1">
        <f>Assumptions!AD111</f>
        <v>3144965.2075384893</v>
      </c>
      <c r="AD5" s="1">
        <f>Assumptions!AE111</f>
        <v>3144965.2075384893</v>
      </c>
      <c r="AE5" s="1">
        <f>Assumptions!AF111</f>
        <v>3144965.2075384893</v>
      </c>
      <c r="AF5" s="1">
        <f>Assumptions!AG111</f>
        <v>3144965.2075384893</v>
      </c>
    </row>
    <row r="6" spans="1:32" x14ac:dyDescent="0.35">
      <c r="A6" t="s">
        <v>69</v>
      </c>
      <c r="C6" s="1">
        <f>Assumptions!D113</f>
        <v>26199343.333333336</v>
      </c>
      <c r="D6" s="1">
        <f>Assumptions!E113</f>
        <v>26199343.333333336</v>
      </c>
      <c r="E6" s="1">
        <f>Assumptions!F113</f>
        <v>26199343.333333336</v>
      </c>
      <c r="F6" s="1">
        <f>Assumptions!G113</f>
        <v>26199343.333333336</v>
      </c>
      <c r="G6" s="1">
        <f>Assumptions!H113</f>
        <v>26199343.333333336</v>
      </c>
      <c r="H6" s="1">
        <f>Assumptions!I113</f>
        <v>26199343.333333336</v>
      </c>
      <c r="I6" s="1">
        <f>Assumptions!J113</f>
        <v>26199343.333333336</v>
      </c>
      <c r="J6" s="1">
        <f>Assumptions!K113</f>
        <v>26199343.333333336</v>
      </c>
      <c r="K6" s="1">
        <f>Assumptions!L113</f>
        <v>26199343.333333336</v>
      </c>
      <c r="L6" s="1">
        <f>Assumptions!M113</f>
        <v>26199343.333333336</v>
      </c>
      <c r="M6" s="1">
        <f>Assumptions!N113</f>
        <v>26199343.333333336</v>
      </c>
      <c r="N6" s="1">
        <f>Assumptions!O113</f>
        <v>26199343.333333336</v>
      </c>
      <c r="O6" s="1">
        <f>Assumptions!P113</f>
        <v>26199343.333333336</v>
      </c>
      <c r="P6" s="1">
        <f>Assumptions!Q113</f>
        <v>26199343.333333336</v>
      </c>
      <c r="Q6" s="1">
        <f>Assumptions!R113</f>
        <v>26199343.333333336</v>
      </c>
      <c r="R6" s="1">
        <f>Assumptions!S113</f>
        <v>26199343.333333336</v>
      </c>
      <c r="S6" s="1">
        <f>Assumptions!T113</f>
        <v>26199343.333333336</v>
      </c>
      <c r="T6" s="1">
        <f>Assumptions!U113</f>
        <v>26199343.333333336</v>
      </c>
      <c r="U6" s="1">
        <f>Assumptions!V113</f>
        <v>26199343.333333336</v>
      </c>
      <c r="V6" s="1">
        <f>Assumptions!W113</f>
        <v>26199343.333333336</v>
      </c>
      <c r="W6" s="1">
        <f>Assumptions!X113</f>
        <v>26199343.333333336</v>
      </c>
      <c r="X6" s="1">
        <f>Assumptions!Y113</f>
        <v>26199343.333333336</v>
      </c>
      <c r="Y6" s="1">
        <f>Assumptions!Z113</f>
        <v>26199343.333333336</v>
      </c>
      <c r="Z6" s="1">
        <f>Assumptions!AA113</f>
        <v>26199343.333333336</v>
      </c>
      <c r="AA6" s="1">
        <f>Assumptions!AB113</f>
        <v>26199343.333333336</v>
      </c>
      <c r="AB6" s="1">
        <f>Assumptions!AC113</f>
        <v>26199343.333333336</v>
      </c>
      <c r="AC6" s="1">
        <f>Assumptions!AD113</f>
        <v>26199343.333333336</v>
      </c>
      <c r="AD6" s="1">
        <f>Assumptions!AE113</f>
        <v>26199343.333333336</v>
      </c>
      <c r="AE6" s="1">
        <f>Assumptions!AF113</f>
        <v>26199343.333333336</v>
      </c>
      <c r="AF6" s="1">
        <f>Assumptions!AG113</f>
        <v>26199343.333333336</v>
      </c>
    </row>
    <row r="7" spans="1:32" x14ac:dyDescent="0.35">
      <c r="A7" t="s">
        <v>74</v>
      </c>
      <c r="C7" s="1">
        <f>Assumptions!D120</f>
        <v>628784.24</v>
      </c>
      <c r="D7" s="1">
        <f>Assumptions!E120</f>
        <v>1257568.48</v>
      </c>
      <c r="E7" s="1">
        <f>Assumptions!F120</f>
        <v>1886352.7200000002</v>
      </c>
      <c r="F7" s="1">
        <f>Assumptions!G120</f>
        <v>2515136.96</v>
      </c>
      <c r="G7" s="1">
        <f>Assumptions!H120</f>
        <v>3143921.2000000007</v>
      </c>
      <c r="H7" s="1">
        <f>Assumptions!I120</f>
        <v>3772705.4400000009</v>
      </c>
      <c r="I7" s="1">
        <f>Assumptions!J120</f>
        <v>4401489.6800000006</v>
      </c>
      <c r="J7" s="1">
        <f>Assumptions!K120</f>
        <v>5030273.9200000018</v>
      </c>
      <c r="K7" s="1">
        <f>Assumptions!L120</f>
        <v>5659058.1600000011</v>
      </c>
      <c r="L7" s="1">
        <f>Assumptions!M120</f>
        <v>6287842.4000000013</v>
      </c>
      <c r="M7" s="1">
        <f>Assumptions!N120</f>
        <v>6916626.6400000006</v>
      </c>
      <c r="N7" s="1">
        <f>Assumptions!O120</f>
        <v>7545410.8800000018</v>
      </c>
      <c r="O7" s="1">
        <f>Assumptions!P120</f>
        <v>8174195.120000001</v>
      </c>
      <c r="P7" s="1">
        <f>Assumptions!Q120</f>
        <v>8802979.3600000013</v>
      </c>
      <c r="Q7" s="1">
        <f>Assumptions!R120</f>
        <v>9431763.5999999996</v>
      </c>
      <c r="R7" s="1">
        <f>Assumptions!S120</f>
        <v>10060547.839999998</v>
      </c>
      <c r="S7" s="1">
        <f>Assumptions!T120</f>
        <v>10689332.079999998</v>
      </c>
      <c r="T7" s="1">
        <f>Assumptions!U120</f>
        <v>11318116.319999998</v>
      </c>
      <c r="U7" s="1">
        <f>Assumptions!V120</f>
        <v>11946900.559999999</v>
      </c>
      <c r="V7" s="1">
        <f>Assumptions!W120</f>
        <v>12575684.799999999</v>
      </c>
      <c r="W7" s="1">
        <f>Assumptions!X120</f>
        <v>13204469.039999997</v>
      </c>
      <c r="X7" s="1">
        <f>Assumptions!Y120</f>
        <v>13833253.279999997</v>
      </c>
      <c r="Y7" s="1">
        <f>Assumptions!Z120</f>
        <v>14462037.519999998</v>
      </c>
      <c r="Z7" s="1">
        <f>Assumptions!AA120</f>
        <v>15090821.760000002</v>
      </c>
      <c r="AA7" s="1">
        <f>Assumptions!AB120</f>
        <v>15719606</v>
      </c>
      <c r="AB7" s="1">
        <f>Assumptions!AC120</f>
        <v>16348390.240000002</v>
      </c>
      <c r="AC7" s="1">
        <f>Assumptions!AD120</f>
        <v>16977174.480000004</v>
      </c>
      <c r="AD7" s="1">
        <f>Assumptions!AE120</f>
        <v>17605958.720000003</v>
      </c>
      <c r="AE7" s="1">
        <f>Assumptions!AF120</f>
        <v>18234742.960000005</v>
      </c>
      <c r="AF7" s="1">
        <f>Assumptions!AG120</f>
        <v>18863527.200000003</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3245604.0941797211</v>
      </c>
      <c r="D11" s="1">
        <f>D5*D$9</f>
        <v>3349463.4251934718</v>
      </c>
      <c r="E11" s="1">
        <f t="shared" ref="D11:AF13" si="1">E5*E$9</f>
        <v>3456646.2547996626</v>
      </c>
      <c r="F11" s="1">
        <f t="shared" si="1"/>
        <v>3567258.9349532519</v>
      </c>
      <c r="G11" s="1">
        <f t="shared" si="1"/>
        <v>3681411.2208717563</v>
      </c>
      <c r="H11" s="1">
        <f t="shared" si="1"/>
        <v>3799216.379939652</v>
      </c>
      <c r="I11" s="1">
        <f t="shared" si="1"/>
        <v>3920791.3040977204</v>
      </c>
      <c r="J11" s="1">
        <f t="shared" si="1"/>
        <v>4046256.6258288482</v>
      </c>
      <c r="K11" s="1">
        <f t="shared" si="1"/>
        <v>4175736.8378553716</v>
      </c>
      <c r="L11" s="1">
        <f t="shared" si="1"/>
        <v>4309360.4166667433</v>
      </c>
      <c r="M11" s="1">
        <f t="shared" si="1"/>
        <v>4447259.9500000784</v>
      </c>
      <c r="N11" s="1">
        <f t="shared" si="1"/>
        <v>4589572.2684000814</v>
      </c>
      <c r="O11" s="1">
        <f t="shared" si="1"/>
        <v>4736438.5809888849</v>
      </c>
      <c r="P11" s="1">
        <f t="shared" si="1"/>
        <v>4888004.615580528</v>
      </c>
      <c r="Q11" s="1">
        <f t="shared" si="1"/>
        <v>5044420.7632791037</v>
      </c>
      <c r="R11" s="1">
        <f t="shared" si="1"/>
        <v>5205842.227704036</v>
      </c>
      <c r="S11" s="1">
        <f t="shared" si="1"/>
        <v>5372429.1789905662</v>
      </c>
      <c r="T11" s="1">
        <f t="shared" si="1"/>
        <v>5544346.9127182635</v>
      </c>
      <c r="U11" s="1">
        <f t="shared" si="1"/>
        <v>5721766.0139252469</v>
      </c>
      <c r="V11" s="1">
        <f t="shared" si="1"/>
        <v>5904862.526370856</v>
      </c>
      <c r="W11" s="1">
        <f t="shared" si="1"/>
        <v>6093818.1272147242</v>
      </c>
      <c r="X11" s="1">
        <f t="shared" si="1"/>
        <v>6288820.3072855948</v>
      </c>
      <c r="Y11" s="1">
        <f t="shared" si="1"/>
        <v>6490062.5571187325</v>
      </c>
      <c r="Z11" s="1">
        <f t="shared" si="1"/>
        <v>6697744.5589465322</v>
      </c>
      <c r="AA11" s="1">
        <f t="shared" si="1"/>
        <v>6912072.3848328227</v>
      </c>
      <c r="AB11" s="1">
        <f t="shared" si="1"/>
        <v>7133258.7011474716</v>
      </c>
      <c r="AC11" s="1">
        <f t="shared" si="1"/>
        <v>7361522.9795841901</v>
      </c>
      <c r="AD11" s="1">
        <f t="shared" si="1"/>
        <v>7597091.7149308855</v>
      </c>
      <c r="AE11" s="1">
        <f t="shared" si="1"/>
        <v>7840198.6498086741</v>
      </c>
      <c r="AF11" s="1">
        <f t="shared" si="1"/>
        <v>8091085.0066025499</v>
      </c>
    </row>
    <row r="12" spans="1:32" x14ac:dyDescent="0.35">
      <c r="A12" t="s">
        <v>72</v>
      </c>
      <c r="C12" s="1">
        <f t="shared" ref="C12:R12" si="2">C6*C$9</f>
        <v>27037722.320000004</v>
      </c>
      <c r="D12" s="1">
        <f t="shared" si="2"/>
        <v>27902929.434240002</v>
      </c>
      <c r="E12" s="1">
        <f t="shared" si="2"/>
        <v>28795823.176135682</v>
      </c>
      <c r="F12" s="1">
        <f t="shared" si="2"/>
        <v>29717289.517772023</v>
      </c>
      <c r="G12" s="1">
        <f t="shared" si="2"/>
        <v>30668242.782340731</v>
      </c>
      <c r="H12" s="1">
        <f t="shared" si="2"/>
        <v>31649626.551375628</v>
      </c>
      <c r="I12" s="1">
        <f t="shared" si="2"/>
        <v>32662414.601019647</v>
      </c>
      <c r="J12" s="1">
        <f t="shared" si="2"/>
        <v>33707611.868252277</v>
      </c>
      <c r="K12" s="1">
        <f t="shared" si="2"/>
        <v>34786255.448036358</v>
      </c>
      <c r="L12" s="1">
        <f t="shared" si="2"/>
        <v>35899415.622373514</v>
      </c>
      <c r="M12" s="1">
        <f t="shared" si="2"/>
        <v>37048196.922289468</v>
      </c>
      <c r="N12" s="1">
        <f t="shared" si="2"/>
        <v>38233739.22380273</v>
      </c>
      <c r="O12" s="1">
        <f t="shared" si="2"/>
        <v>39457218.878964424</v>
      </c>
      <c r="P12" s="1">
        <f t="shared" si="2"/>
        <v>40719849.883091278</v>
      </c>
      <c r="Q12" s="1">
        <f t="shared" si="2"/>
        <v>42022885.079350188</v>
      </c>
      <c r="R12" s="1">
        <f t="shared" si="2"/>
        <v>43367617.401889406</v>
      </c>
      <c r="S12" s="1">
        <f t="shared" si="1"/>
        <v>44755381.158749871</v>
      </c>
      <c r="T12" s="1">
        <f t="shared" si="1"/>
        <v>46187553.355829857</v>
      </c>
      <c r="U12" s="1">
        <f t="shared" si="1"/>
        <v>47665555.063216411</v>
      </c>
      <c r="V12" s="1">
        <f t="shared" si="1"/>
        <v>49190852.825239338</v>
      </c>
      <c r="W12" s="1">
        <f t="shared" si="1"/>
        <v>50764960.115647003</v>
      </c>
      <c r="X12" s="1">
        <f t="shared" si="1"/>
        <v>52389438.839347705</v>
      </c>
      <c r="Y12" s="1">
        <f t="shared" si="1"/>
        <v>54065900.88220682</v>
      </c>
      <c r="Z12" s="1">
        <f t="shared" si="1"/>
        <v>55796009.710437439</v>
      </c>
      <c r="AA12" s="1">
        <f t="shared" si="1"/>
        <v>57581482.021171451</v>
      </c>
      <c r="AB12" s="1">
        <f t="shared" si="1"/>
        <v>59424089.445848927</v>
      </c>
      <c r="AC12" s="1">
        <f t="shared" si="1"/>
        <v>61325660.308116093</v>
      </c>
      <c r="AD12" s="1">
        <f t="shared" si="1"/>
        <v>63288081.437975816</v>
      </c>
      <c r="AE12" s="1">
        <f t="shared" si="1"/>
        <v>65313300.043991037</v>
      </c>
      <c r="AF12" s="1">
        <f t="shared" si="1"/>
        <v>67403325.645398736</v>
      </c>
    </row>
    <row r="13" spans="1:32" x14ac:dyDescent="0.35">
      <c r="A13" t="s">
        <v>75</v>
      </c>
      <c r="C13" s="1">
        <f>C7*C$9</f>
        <v>648905.33568000002</v>
      </c>
      <c r="D13" s="1">
        <f t="shared" si="1"/>
        <v>1339340.61284352</v>
      </c>
      <c r="E13" s="1">
        <f t="shared" si="1"/>
        <v>2073299.268681769</v>
      </c>
      <c r="F13" s="1">
        <f t="shared" si="1"/>
        <v>2852859.7937061139</v>
      </c>
      <c r="G13" s="1">
        <f t="shared" si="1"/>
        <v>3680189.1338808881</v>
      </c>
      <c r="H13" s="1">
        <f t="shared" si="1"/>
        <v>4557546.2233980913</v>
      </c>
      <c r="I13" s="1">
        <f t="shared" si="1"/>
        <v>5487285.6529713003</v>
      </c>
      <c r="J13" s="1">
        <f t="shared" si="1"/>
        <v>6471861.4787044395</v>
      </c>
      <c r="K13" s="1">
        <f t="shared" si="1"/>
        <v>7513831.1767758531</v>
      </c>
      <c r="L13" s="1">
        <f t="shared" si="1"/>
        <v>8615859.7493696436</v>
      </c>
      <c r="M13" s="1">
        <f t="shared" si="1"/>
        <v>9780723.9874844179</v>
      </c>
      <c r="N13" s="1">
        <f t="shared" si="1"/>
        <v>11011316.896455187</v>
      </c>
      <c r="O13" s="1">
        <f t="shared" si="1"/>
        <v>12310652.2902369</v>
      </c>
      <c r="P13" s="1">
        <f t="shared" si="1"/>
        <v>13681869.560718669</v>
      </c>
      <c r="Q13" s="1">
        <f t="shared" si="1"/>
        <v>15128238.628566066</v>
      </c>
      <c r="R13" s="1">
        <f t="shared" si="1"/>
        <v>16653165.082325527</v>
      </c>
      <c r="S13" s="1">
        <f t="shared" si="1"/>
        <v>18260195.512769941</v>
      </c>
      <c r="T13" s="1">
        <f t="shared" si="1"/>
        <v>19953023.049718495</v>
      </c>
      <c r="U13" s="1">
        <f t="shared" si="1"/>
        <v>21735493.108826678</v>
      </c>
      <c r="V13" s="1">
        <f t="shared" si="1"/>
        <v>23611609.356114879</v>
      </c>
      <c r="W13" s="1">
        <f t="shared" si="1"/>
        <v>25585539.898286082</v>
      </c>
      <c r="X13" s="1">
        <f t="shared" si="1"/>
        <v>27661623.707175579</v>
      </c>
      <c r="Y13" s="1">
        <f t="shared" si="1"/>
        <v>29844377.286978155</v>
      </c>
      <c r="Z13" s="1">
        <f t="shared" si="1"/>
        <v>32138501.593211967</v>
      </c>
      <c r="AA13" s="1">
        <f t="shared" si="1"/>
        <v>34548889.21270287</v>
      </c>
      <c r="AB13" s="1">
        <f t="shared" si="1"/>
        <v>37080631.814209737</v>
      </c>
      <c r="AC13" s="1">
        <f t="shared" si="1"/>
        <v>39739027.879659235</v>
      </c>
      <c r="AD13" s="1">
        <f t="shared" si="1"/>
        <v>42529590.726319753</v>
      </c>
      <c r="AE13" s="1">
        <f t="shared" si="1"/>
        <v>45458056.830617771</v>
      </c>
      <c r="AF13" s="1">
        <f t="shared" si="1"/>
        <v>48530394.464687094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30932231.749859724</v>
      </c>
      <c r="D25" s="40">
        <f>SUM(D11:D13,D18:D23)</f>
        <v>32591733.472276993</v>
      </c>
      <c r="E25" s="40">
        <f t="shared" ref="E25:AF25" si="7">SUM(E11:E13,E18:E23)</f>
        <v>34325768.699617118</v>
      </c>
      <c r="F25" s="40">
        <f t="shared" si="7"/>
        <v>36137408.246431388</v>
      </c>
      <c r="G25" s="40">
        <f t="shared" si="7"/>
        <v>38029843.13709338</v>
      </c>
      <c r="H25" s="40">
        <f t="shared" si="7"/>
        <v>40006389.15471337</v>
      </c>
      <c r="I25" s="40">
        <f t="shared" si="7"/>
        <v>42070491.558088668</v>
      </c>
      <c r="J25" s="40">
        <f t="shared" si="7"/>
        <v>44225729.972785562</v>
      </c>
      <c r="K25" s="40">
        <f t="shared" si="7"/>
        <v>46475823.462667577</v>
      </c>
      <c r="L25" s="40">
        <f t="shared" si="7"/>
        <v>48824635.788409904</v>
      </c>
      <c r="M25" s="40">
        <f t="shared" si="7"/>
        <v>51276180.859773964</v>
      </c>
      <c r="N25" s="40">
        <f t="shared" si="7"/>
        <v>53834628.388658002</v>
      </c>
      <c r="O25" s="40">
        <f t="shared" si="7"/>
        <v>56504309.750190206</v>
      </c>
      <c r="P25" s="40">
        <f t="shared" si="7"/>
        <v>59289724.059390478</v>
      </c>
      <c r="Q25" s="40">
        <f t="shared" si="7"/>
        <v>62195544.471195355</v>
      </c>
      <c r="R25" s="40">
        <f t="shared" si="7"/>
        <v>65226624.711918965</v>
      </c>
      <c r="S25" s="40">
        <f t="shared" si="7"/>
        <v>68388005.850510374</v>
      </c>
      <c r="T25" s="40">
        <f t="shared" si="7"/>
        <v>71684923.318266615</v>
      </c>
      <c r="U25" s="40">
        <f t="shared" si="7"/>
        <v>75122814.185968339</v>
      </c>
      <c r="V25" s="40">
        <f t="shared" si="7"/>
        <v>78707324.707725078</v>
      </c>
      <c r="W25" s="40">
        <f t="shared" si="7"/>
        <v>82444318.141147807</v>
      </c>
      <c r="X25" s="40">
        <f t="shared" si="7"/>
        <v>86339882.85380888</v>
      </c>
      <c r="Y25" s="40">
        <f t="shared" si="7"/>
        <v>90400340.726303712</v>
      </c>
      <c r="Z25" s="40">
        <f t="shared" si="7"/>
        <v>94632255.862595946</v>
      </c>
      <c r="AA25" s="40">
        <f t="shared" si="7"/>
        <v>99042443.61870715</v>
      </c>
      <c r="AB25" s="40">
        <f t="shared" si="7"/>
        <v>103637979.96120614</v>
      </c>
      <c r="AC25" s="40">
        <f t="shared" si="7"/>
        <v>108426211.16735952</v>
      </c>
      <c r="AD25" s="40">
        <f t="shared" si="7"/>
        <v>113414763.87922645</v>
      </c>
      <c r="AE25" s="40">
        <f t="shared" si="7"/>
        <v>118611555.52441747</v>
      </c>
      <c r="AF25" s="40">
        <f t="shared" si="7"/>
        <v>124024805.11668839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24192244.731920041</v>
      </c>
      <c r="D5" s="59">
        <f>C5*('Price and Financial ratios'!F4+1)*(1+Assumptions!$C$13)</f>
        <v>31963673.959175866</v>
      </c>
      <c r="E5" s="59">
        <f>D5*('Price and Financial ratios'!G4+1)*(1+Assumptions!$C$13)</f>
        <v>35734404.549217775</v>
      </c>
      <c r="F5" s="59">
        <f>E5*('Price and Financial ratios'!H4+1)*(1+Assumptions!$C$13)</f>
        <v>39949965.392528996</v>
      </c>
      <c r="G5" s="59">
        <f>F5*('Price and Financial ratios'!I4+1)*(1+Assumptions!$C$13)</f>
        <v>44662832.779711187</v>
      </c>
      <c r="H5" s="59">
        <f>G5*('Price and Financial ratios'!J4+1)*(1+Assumptions!$C$13)</f>
        <v>48569900.673833378</v>
      </c>
      <c r="I5" s="59">
        <f>H5*('Price and Financial ratios'!K4+1)*(1+Assumptions!$C$13)</f>
        <v>52818755.6553213</v>
      </c>
      <c r="J5" s="59">
        <f>I5*('Price and Financial ratios'!L4+1)*(1+Assumptions!$C$13)</f>
        <v>56365665.25838618</v>
      </c>
      <c r="K5" s="59">
        <f>J5*('Price and Financial ratios'!M4+1)*(1+Assumptions!$C$13)</f>
        <v>60150758.581916019</v>
      </c>
      <c r="L5" s="59">
        <f>K5*('Price and Financial ratios'!N4+1)*(1+Assumptions!$C$13)</f>
        <v>64190030.249694146</v>
      </c>
      <c r="M5" s="59">
        <f>L5*('Price and Financial ratios'!O4+1)*(1+Assumptions!$C$13)</f>
        <v>67848162.783297732</v>
      </c>
      <c r="N5" s="59">
        <f>M5*('Price and Financial ratios'!P4+1)*(1+Assumptions!$C$13)</f>
        <v>71714769.025066823</v>
      </c>
      <c r="O5" s="59">
        <f>N5*('Price and Financial ratios'!Q4+1)*(1+Assumptions!$C$13)</f>
        <v>75801729.705564618</v>
      </c>
      <c r="P5" s="59">
        <f>O5*('Price and Financial ratios'!R4+1)*(1+Assumptions!$C$13)</f>
        <v>80121602.627585456</v>
      </c>
      <c r="Q5" s="59">
        <f>P5*('Price and Financial ratios'!S4+1)*(1+Assumptions!$C$13)</f>
        <v>84687661.251896918</v>
      </c>
      <c r="R5" s="59">
        <f>Q5*('Price and Financial ratios'!T4+1)*(1+Assumptions!$C$13)</f>
        <v>89513935.481949031</v>
      </c>
      <c r="S5" s="59">
        <f>R5*('Price and Financial ratios'!U4+1)*(1+Assumptions!$C$13)</f>
        <v>94615254.77286759</v>
      </c>
      <c r="T5" s="59">
        <f>S5*('Price and Financial ratios'!V4+1)*(1+Assumptions!$C$13)</f>
        <v>100007293.69719055</v>
      </c>
      <c r="U5" s="59">
        <f>T5*('Price and Financial ratios'!W4+1)*(1+Assumptions!$C$13)</f>
        <v>105706620.10735509</v>
      </c>
      <c r="V5" s="59">
        <f>U5*('Price and Financial ratios'!X4+1)*(1+Assumptions!$C$13)</f>
        <v>111730746.04292177</v>
      </c>
      <c r="W5" s="59">
        <f>V5*('Price and Financial ratios'!Y4+1)*(1+Assumptions!$C$13)</f>
        <v>118098181.53895599</v>
      </c>
      <c r="X5" s="59">
        <f>W5*('Price and Financial ratios'!Z4+1)*(1+Assumptions!$C$13)</f>
        <v>124828491.50090116</v>
      </c>
      <c r="Y5" s="59">
        <f>X5*('Price and Financial ratios'!AA4+1)*(1+Assumptions!$C$13)</f>
        <v>131942355.82069999</v>
      </c>
      <c r="Z5" s="59">
        <f>Y5*('Price and Financial ratios'!AB4+1)*(1+Assumptions!$C$13)</f>
        <v>139461632.91887993</v>
      </c>
      <c r="AA5" s="59">
        <f>Z5*('Price and Financial ratios'!AC4+1)*(1+Assumptions!$C$13)</f>
        <v>147409426.9078455</v>
      </c>
      <c r="AB5" s="59">
        <f>AA5*('Price and Financial ratios'!AD4+1)*(1+Assumptions!$C$13)</f>
        <v>153113444.29958344</v>
      </c>
      <c r="AC5" s="59">
        <f>AB5*('Price and Financial ratios'!AE4+1)*(1+Assumptions!$C$13)</f>
        <v>159038179.01644599</v>
      </c>
      <c r="AD5" s="59">
        <f>AC5*('Price and Financial ratios'!AF4+1)*(1+Assumptions!$C$13)</f>
        <v>165192171.72972926</v>
      </c>
      <c r="AE5" s="59">
        <f>AD5*('Price and Financial ratios'!AG4+1)*(1+Assumptions!$C$13)</f>
        <v>171584293.59256238</v>
      </c>
      <c r="AF5" s="59">
        <f>AE5*('Price and Financial ratios'!AH4+1)*(1+Assumptions!$C$13)</f>
        <v>178223759.02792358</v>
      </c>
    </row>
    <row r="6" spans="1:32" s="11" customFormat="1" x14ac:dyDescent="0.35">
      <c r="A6" s="11" t="s">
        <v>20</v>
      </c>
      <c r="C6" s="59">
        <f>C27</f>
        <v>7222407.3698061686</v>
      </c>
      <c r="D6" s="59">
        <f t="shared" ref="D6:AF6" si="1">D27</f>
        <v>8309412.0656413883</v>
      </c>
      <c r="E6" s="59">
        <f>E27</f>
        <v>9442538.4977757446</v>
      </c>
      <c r="F6" s="59">
        <f t="shared" si="1"/>
        <v>10623359.144571148</v>
      </c>
      <c r="G6" s="59">
        <f t="shared" si="1"/>
        <v>11853496.029463002</v>
      </c>
      <c r="H6" s="59">
        <f t="shared" si="1"/>
        <v>13134622.243525917</v>
      </c>
      <c r="I6" s="59">
        <f t="shared" si="1"/>
        <v>14468463.515063681</v>
      </c>
      <c r="J6" s="59">
        <f t="shared" si="1"/>
        <v>15856799.827710878</v>
      </c>
      <c r="K6" s="59">
        <f t="shared" si="1"/>
        <v>17301467.088582188</v>
      </c>
      <c r="L6" s="59">
        <f t="shared" si="1"/>
        <v>18804358.848055832</v>
      </c>
      <c r="M6" s="59">
        <f t="shared" si="1"/>
        <v>20367428.072829466</v>
      </c>
      <c r="N6" s="59">
        <f t="shared" si="1"/>
        <v>21992688.973941006</v>
      </c>
      <c r="O6" s="59">
        <f t="shared" si="1"/>
        <v>23682218.891502142</v>
      </c>
      <c r="P6" s="59">
        <f t="shared" si="1"/>
        <v>25438160.237950236</v>
      </c>
      <c r="Q6" s="59">
        <f t="shared" si="1"/>
        <v>27262722.501683522</v>
      </c>
      <c r="R6" s="59">
        <f t="shared" si="1"/>
        <v>29158184.313006312</v>
      </c>
      <c r="S6" s="59">
        <f t="shared" si="1"/>
        <v>31126895.574374553</v>
      </c>
      <c r="T6" s="59">
        <f t="shared" si="1"/>
        <v>33171279.656997815</v>
      </c>
      <c r="U6" s="59">
        <f t="shared" si="1"/>
        <v>35293835.665922135</v>
      </c>
      <c r="V6" s="59">
        <f t="shared" si="1"/>
        <v>37497140.775788419</v>
      </c>
      <c r="W6" s="59">
        <f t="shared" si="1"/>
        <v>39783852.639534146</v>
      </c>
      <c r="X6" s="59">
        <f t="shared" si="1"/>
        <v>42156711.872381464</v>
      </c>
      <c r="Y6" s="59">
        <f t="shared" si="1"/>
        <v>44618544.613532685</v>
      </c>
      <c r="Z6" s="59">
        <f t="shared" si="1"/>
        <v>47172265.168075196</v>
      </c>
      <c r="AA6" s="59">
        <f t="shared" si="1"/>
        <v>49820878.731680788</v>
      </c>
      <c r="AB6" s="59">
        <f t="shared" si="1"/>
        <v>52567484.200771496</v>
      </c>
      <c r="AC6" s="59">
        <f t="shared" si="1"/>
        <v>55415277.070912518</v>
      </c>
      <c r="AD6" s="59">
        <f t="shared" si="1"/>
        <v>58367552.426286295</v>
      </c>
      <c r="AE6" s="59">
        <f t="shared" si="1"/>
        <v>61427708.023196489</v>
      </c>
      <c r="AF6" s="59">
        <f t="shared" si="1"/>
        <v>64599247.470650397</v>
      </c>
    </row>
    <row r="7" spans="1:32" x14ac:dyDescent="0.35">
      <c r="A7" t="s">
        <v>21</v>
      </c>
      <c r="C7" s="4">
        <f>Depreciation!C8+Depreciation!C9</f>
        <v>3894509.4298597211</v>
      </c>
      <c r="D7" s="4">
        <f>Depreciation!D8+Depreciation!D9</f>
        <v>4688804.0380369918</v>
      </c>
      <c r="E7" s="4">
        <f>Depreciation!E8+Depreciation!E9</f>
        <v>5529945.5234814314</v>
      </c>
      <c r="F7" s="4">
        <f>Depreciation!F8+Depreciation!F9</f>
        <v>6420118.7286593653</v>
      </c>
      <c r="G7" s="4">
        <f>Depreciation!G8+Depreciation!G9</f>
        <v>7361600.3547526449</v>
      </c>
      <c r="H7" s="4">
        <f>Depreciation!H8+Depreciation!H9</f>
        <v>8356762.6033377433</v>
      </c>
      <c r="I7" s="4">
        <f>Depreciation!I8+Depreciation!I9</f>
        <v>9408076.9570690207</v>
      </c>
      <c r="J7" s="4">
        <f>Depreciation!J8+Depreciation!J9</f>
        <v>10518118.104533289</v>
      </c>
      <c r="K7" s="4">
        <f>Depreciation!K8+Depreciation!K9</f>
        <v>11689568.014631225</v>
      </c>
      <c r="L7" s="4">
        <f>Depreciation!L8+Depreciation!L9</f>
        <v>12925220.166036386</v>
      </c>
      <c r="M7" s="4">
        <f>Depreciation!M8+Depreciation!M9</f>
        <v>14227983.937484495</v>
      </c>
      <c r="N7" s="4">
        <f>Depreciation!N8+Depreciation!N9</f>
        <v>15600889.164855268</v>
      </c>
      <c r="O7" s="4">
        <f>Depreciation!O8+Depreciation!O9</f>
        <v>17047090.871225785</v>
      </c>
      <c r="P7" s="4">
        <f>Depreciation!P8+Depreciation!P9</f>
        <v>18569874.176299196</v>
      </c>
      <c r="Q7" s="4">
        <f>Depreciation!Q8+Depreciation!Q9</f>
        <v>20172659.39184517</v>
      </c>
      <c r="R7" s="4">
        <f>Depreciation!R8+Depreciation!R9</f>
        <v>21859007.310029563</v>
      </c>
      <c r="S7" s="4">
        <f>Depreciation!S8+Depreciation!S9</f>
        <v>23632624.691760506</v>
      </c>
      <c r="T7" s="4">
        <f>Depreciation!T8+Depreciation!T9</f>
        <v>25497369.962436758</v>
      </c>
      <c r="U7" s="4">
        <f>Depreciation!U8+Depreciation!U9</f>
        <v>27457259.122751925</v>
      </c>
      <c r="V7" s="4">
        <f>Depreciation!V8+Depreciation!V9</f>
        <v>29516471.882485736</v>
      </c>
      <c r="W7" s="4">
        <f>Depreciation!W8+Depreciation!W9</f>
        <v>31679358.025500804</v>
      </c>
      <c r="X7" s="4">
        <f>Depreciation!X8+Depreciation!X9</f>
        <v>33950444.014461175</v>
      </c>
      <c r="Y7" s="4">
        <f>Depreciation!Y8+Depreciation!Y9</f>
        <v>36334439.844096884</v>
      </c>
      <c r="Z7" s="4">
        <f>Depreciation!Z8+Depreciation!Z9</f>
        <v>38836246.152158499</v>
      </c>
      <c r="AA7" s="4">
        <f>Depreciation!AA8+Depreciation!AA9</f>
        <v>41460961.597535692</v>
      </c>
      <c r="AB7" s="4">
        <f>Depreciation!AB8+Depreciation!AB9</f>
        <v>44213890.515357211</v>
      </c>
      <c r="AC7" s="4">
        <f>Depreciation!AC8+Depreciation!AC9</f>
        <v>47100550.859243423</v>
      </c>
      <c r="AD7" s="4">
        <f>Depreciation!AD8+Depreciation!AD9</f>
        <v>50126682.441250637</v>
      </c>
      <c r="AE7" s="4">
        <f>Depreciation!AE8+Depreciation!AE9</f>
        <v>53298255.480426446</v>
      </c>
      <c r="AF7" s="4">
        <f>Depreciation!AF8+Depreciation!AF9</f>
        <v>56621479.471289642</v>
      </c>
    </row>
    <row r="8" spans="1:32" x14ac:dyDescent="0.35">
      <c r="A8" t="s">
        <v>6</v>
      </c>
      <c r="C8" s="4">
        <f ca="1">'Debt worksheet'!C8</f>
        <v>2690952.1280529583</v>
      </c>
      <c r="D8" s="4">
        <f ca="1">'Debt worksheet'!D8</f>
        <v>3112708.4282994266</v>
      </c>
      <c r="E8" s="4">
        <f ca="1">'Debt worksheet'!E8</f>
        <v>3516989.6590523883</v>
      </c>
      <c r="F8" s="4">
        <f ca="1">'Debt worksheet'!F8</f>
        <v>3891572.7761647278</v>
      </c>
      <c r="G8" s="4">
        <f ca="1">'Debt worksheet'!G8</f>
        <v>4222062.6939941039</v>
      </c>
      <c r="H8" s="4">
        <f ca="1">'Debt worksheet'!H8</f>
        <v>4540986.082226228</v>
      </c>
      <c r="I8" s="4">
        <f ca="1">'Debt worksheet'!I8</f>
        <v>4840614.5718656108</v>
      </c>
      <c r="J8" s="4">
        <f ca="1">'Debt worksheet'!J8</f>
        <v>5150989.4620098136</v>
      </c>
      <c r="K8" s="4">
        <f ca="1">'Debt worksheet'!K8</f>
        <v>5469345.1615922237</v>
      </c>
      <c r="L8" s="4">
        <f ca="1">'Debt worksheet'!L8</f>
        <v>5792444.4716365067</v>
      </c>
      <c r="M8" s="4">
        <f ca="1">'Debt worksheet'!M8</f>
        <v>6140191.7998572085</v>
      </c>
      <c r="N8" s="4">
        <f ca="1">'Debt worksheet'!N8</f>
        <v>6512052.8411096735</v>
      </c>
      <c r="O8" s="4">
        <f ca="1">'Debt worksheet'!O8</f>
        <v>6907275.4444291638</v>
      </c>
      <c r="P8" s="4">
        <f ca="1">'Debt worksheet'!P8</f>
        <v>7324865.5988296354</v>
      </c>
      <c r="Q8" s="4">
        <f ca="1">'Debt worksheet'!Q8</f>
        <v>7763561.4498072583</v>
      </c>
      <c r="R8" s="4">
        <f ca="1">'Debt worksheet'!R8</f>
        <v>8221805.2060222039</v>
      </c>
      <c r="S8" s="4">
        <f ca="1">'Debt worksheet'!S8</f>
        <v>8697712.7863656078</v>
      </c>
      <c r="T8" s="4">
        <f ca="1">'Debt worksheet'!T8</f>
        <v>9189041.0477701481</v>
      </c>
      <c r="U8" s="4">
        <f ca="1">'Debt worksheet'!U8</f>
        <v>9693152.4236568771</v>
      </c>
      <c r="V8" s="4">
        <f ca="1">'Debt worksheet'!V8</f>
        <v>10206976.791790245</v>
      </c>
      <c r="W8" s="4">
        <f ca="1">'Debt worksheet'!W8</f>
        <v>10726970.378498087</v>
      </c>
      <c r="X8" s="4">
        <f ca="1">'Debt worksheet'!X8</f>
        <v>11249071.493661357</v>
      </c>
      <c r="Y8" s="4">
        <f ca="1">'Debt worksheet'!Y8</f>
        <v>11768652.877545213</v>
      </c>
      <c r="Z8" s="4">
        <f ca="1">'Debt worksheet'!Z8</f>
        <v>12280470.426381251</v>
      </c>
      <c r="AA8" s="4">
        <f ca="1">'Debt worksheet'!AA8</f>
        <v>12778608.048570193</v>
      </c>
      <c r="AB8" s="4">
        <f ca="1">'Debt worksheet'!AB8</f>
        <v>13354226.677465275</v>
      </c>
      <c r="AC8" s="4">
        <f ca="1">'Debt worksheet'!AC8</f>
        <v>14012790.155677913</v>
      </c>
      <c r="AD8" s="4">
        <f ca="1">'Debt worksheet'!AD8</f>
        <v>14760046.855782731</v>
      </c>
      <c r="AE8" s="4">
        <f ca="1">'Debt worksheet'!AE8</f>
        <v>15602042.284154961</v>
      </c>
      <c r="AF8" s="4">
        <f ca="1">'Debt worksheet'!AF8</f>
        <v>16545132.185217092</v>
      </c>
    </row>
    <row r="9" spans="1:32" x14ac:dyDescent="0.35">
      <c r="A9" t="s">
        <v>22</v>
      </c>
      <c r="C9" s="4">
        <f ca="1">C5-C6-C7-C8</f>
        <v>10384375.804201193</v>
      </c>
      <c r="D9" s="4">
        <f t="shared" ref="D9:AF9" ca="1" si="2">D5-D6-D7-D8</f>
        <v>15852749.42719806</v>
      </c>
      <c r="E9" s="4">
        <f t="shared" ca="1" si="2"/>
        <v>17244930.868908212</v>
      </c>
      <c r="F9" s="4">
        <f t="shared" ca="1" si="2"/>
        <v>19014914.743133754</v>
      </c>
      <c r="G9" s="4">
        <f t="shared" ca="1" si="2"/>
        <v>21225673.701501437</v>
      </c>
      <c r="H9" s="4">
        <f t="shared" ca="1" si="2"/>
        <v>22537529.744743492</v>
      </c>
      <c r="I9" s="4">
        <f t="shared" ca="1" si="2"/>
        <v>24101600.611322988</v>
      </c>
      <c r="J9" s="4">
        <f t="shared" ca="1" si="2"/>
        <v>24839757.864132196</v>
      </c>
      <c r="K9" s="4">
        <f t="shared" ca="1" si="2"/>
        <v>25690378.317110382</v>
      </c>
      <c r="L9" s="4">
        <f t="shared" ca="1" si="2"/>
        <v>26668006.76396542</v>
      </c>
      <c r="M9" s="4">
        <f t="shared" ca="1" si="2"/>
        <v>27112558.97312656</v>
      </c>
      <c r="N9" s="4">
        <f t="shared" ca="1" si="2"/>
        <v>27609138.045160878</v>
      </c>
      <c r="O9" s="4">
        <f t="shared" ca="1" si="2"/>
        <v>28165144.498407524</v>
      </c>
      <c r="P9" s="4">
        <f t="shared" ca="1" si="2"/>
        <v>28788702.614506386</v>
      </c>
      <c r="Q9" s="4">
        <f t="shared" ca="1" si="2"/>
        <v>29488717.908560976</v>
      </c>
      <c r="R9" s="4">
        <f t="shared" ca="1" si="2"/>
        <v>30274938.65289095</v>
      </c>
      <c r="S9" s="4">
        <f t="shared" ca="1" si="2"/>
        <v>31158021.720366918</v>
      </c>
      <c r="T9" s="4">
        <f t="shared" ca="1" si="2"/>
        <v>32149603.02998583</v>
      </c>
      <c r="U9" s="4">
        <f t="shared" ca="1" si="2"/>
        <v>33262372.895024154</v>
      </c>
      <c r="V9" s="4">
        <f t="shared" ca="1" si="2"/>
        <v>34510156.592857376</v>
      </c>
      <c r="W9" s="4">
        <f t="shared" ca="1" si="2"/>
        <v>35908000.495422952</v>
      </c>
      <c r="X9" s="4">
        <f t="shared" ca="1" si="2"/>
        <v>37472264.120397165</v>
      </c>
      <c r="Y9" s="4">
        <f t="shared" ca="1" si="2"/>
        <v>39220718.485525198</v>
      </c>
      <c r="Z9" s="4">
        <f t="shared" ca="1" si="2"/>
        <v>41172651.172264971</v>
      </c>
      <c r="AA9" s="4">
        <f t="shared" ca="1" si="2"/>
        <v>43348978.530058831</v>
      </c>
      <c r="AB9" s="4">
        <f t="shared" ca="1" si="2"/>
        <v>42977842.905989453</v>
      </c>
      <c r="AC9" s="4">
        <f t="shared" ca="1" si="2"/>
        <v>42509560.930612147</v>
      </c>
      <c r="AD9" s="4">
        <f t="shared" ca="1" si="2"/>
        <v>41937890.0064096</v>
      </c>
      <c r="AE9" s="4">
        <f t="shared" ca="1" si="2"/>
        <v>41256287.804784484</v>
      </c>
      <c r="AF9" s="4">
        <f t="shared" ca="1" si="2"/>
        <v>40457899.900766447</v>
      </c>
    </row>
    <row r="12" spans="1:32" x14ac:dyDescent="0.35">
      <c r="A12" t="s">
        <v>80</v>
      </c>
      <c r="C12" s="2">
        <f>Assumptions!$C$25*Assumptions!D9*Assumptions!D13</f>
        <v>6419135.5032061683</v>
      </c>
      <c r="D12" s="2">
        <f>Assumptions!$C$25*Assumptions!E9*Assumptions!E13</f>
        <v>6667524.3703109883</v>
      </c>
      <c r="E12" s="2">
        <f>Assumptions!$C$25*Assumptions!F9*Assumptions!F13</f>
        <v>6925524.6608342426</v>
      </c>
      <c r="F12" s="2">
        <f>Assumptions!$C$25*Assumptions!G9*Assumptions!G13</f>
        <v>7193508.2894321922</v>
      </c>
      <c r="G12" s="2">
        <f>Assumptions!$C$25*Assumptions!H9*Assumptions!H13</f>
        <v>7471861.5620229868</v>
      </c>
      <c r="H12" s="2">
        <f>Assumptions!$C$25*Assumptions!I9*Assumptions!I13</f>
        <v>7760985.7326574819</v>
      </c>
      <c r="I12" s="2">
        <f>Assumptions!$C$25*Assumptions!J9*Assumptions!J13</f>
        <v>8061297.5819382174</v>
      </c>
      <c r="J12" s="2">
        <f>Assumptions!$C$25*Assumptions!K9*Assumptions!K13</f>
        <v>8373230.0178203331</v>
      </c>
      <c r="K12" s="2">
        <f>Assumptions!$C$25*Assumptions!L9*Assumptions!L13</f>
        <v>8697232.6996605378</v>
      </c>
      <c r="L12" s="2">
        <f>Assumptions!$C$25*Assumptions!M9*Assumptions!M13</f>
        <v>9033772.6864136867</v>
      </c>
      <c r="M12" s="2">
        <f>Assumptions!$C$25*Assumptions!N9*Assumptions!N13</f>
        <v>9383335.1099113673</v>
      </c>
      <c r="N12" s="2">
        <f>Assumptions!$C$25*Assumptions!O9*Assumptions!O13</f>
        <v>9746423.8741930444</v>
      </c>
      <c r="O12" s="2">
        <f>Assumptions!$C$25*Assumptions!P9*Assumptions!P13</f>
        <v>10123562.381897863</v>
      </c>
      <c r="P12" s="2">
        <f>Assumptions!$C$25*Assumptions!Q9*Assumptions!Q13</f>
        <v>10515294.288764233</v>
      </c>
      <c r="Q12" s="2">
        <f>Assumptions!$C$25*Assumptions!R9*Assumptions!R13</f>
        <v>10922184.28732485</v>
      </c>
      <c r="R12" s="2">
        <f>Assumptions!$C$25*Assumptions!S9*Assumptions!S13</f>
        <v>11344818.920926781</v>
      </c>
      <c r="S12" s="2">
        <f>Assumptions!$C$25*Assumptions!T9*Assumptions!T13</f>
        <v>11783807.429250192</v>
      </c>
      <c r="T12" s="2">
        <f>Assumptions!$C$25*Assumptions!U9*Assumptions!U13</f>
        <v>12239782.626544418</v>
      </c>
      <c r="U12" s="2">
        <f>Assumptions!$C$25*Assumptions!V9*Assumptions!V13</f>
        <v>12713401.813847464</v>
      </c>
      <c r="V12" s="2">
        <f>Assumptions!$C$25*Assumptions!W9*Assumptions!W13</f>
        <v>13205347.726503877</v>
      </c>
      <c r="W12" s="2">
        <f>Assumptions!$C$25*Assumptions!X9*Assumptions!X13</f>
        <v>13716329.518346908</v>
      </c>
      <c r="X12" s="2">
        <f>Assumptions!$C$25*Assumptions!Y9*Assumptions!Y13</f>
        <v>14247083.783963656</v>
      </c>
      <c r="Y12" s="2">
        <f>Assumptions!$C$25*Assumptions!Z9*Assumptions!Z13</f>
        <v>14798375.620516827</v>
      </c>
      <c r="Z12" s="2">
        <f>Assumptions!$C$25*Assumptions!AA9*Assumptions!AA13</f>
        <v>15370999.730653754</v>
      </c>
      <c r="AA12" s="2">
        <f>Assumptions!$C$25*Assumptions!AB9*Assumptions!AB13</f>
        <v>15965781.568092547</v>
      </c>
      <c r="AB12" s="2">
        <f>Assumptions!$C$25*Assumptions!AC9*Assumptions!AC13</f>
        <v>16583578.527536821</v>
      </c>
      <c r="AC12" s="2">
        <f>Assumptions!$C$25*Assumptions!AD9*Assumptions!AD13</f>
        <v>17225281.180634148</v>
      </c>
      <c r="AD12" s="2">
        <f>Assumptions!$C$25*Assumptions!AE9*Assumptions!AE13</f>
        <v>17891814.55976015</v>
      </c>
      <c r="AE12" s="2">
        <f>Assumptions!$C$25*Assumptions!AF9*Assumptions!AF13</f>
        <v>18584139.491478555</v>
      </c>
      <c r="AF12" s="2">
        <f>Assumptions!$C$25*Assumptions!AG9*Assumptions!AG13</f>
        <v>19303253.981599644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803271.86660000007</v>
      </c>
      <c r="D14" s="5">
        <f>Assumptions!E122*Assumptions!E9</f>
        <v>1641887.6953304</v>
      </c>
      <c r="E14" s="5">
        <f>Assumptions!F122*Assumptions!F9</f>
        <v>2517013.836941503</v>
      </c>
      <c r="F14" s="5">
        <f>Assumptions!G122*Assumptions!G9</f>
        <v>3429850.8551389552</v>
      </c>
      <c r="G14" s="5">
        <f>Assumptions!H122*Assumptions!H9</f>
        <v>4381634.4674400156</v>
      </c>
      <c r="H14" s="5">
        <f>Assumptions!I122*Assumptions!I9</f>
        <v>5373636.5108684348</v>
      </c>
      <c r="I14" s="5">
        <f>Assumptions!J122*Assumptions!J9</f>
        <v>6407165.9331254642</v>
      </c>
      <c r="J14" s="5">
        <f>Assumptions!K122*Assumptions!K9</f>
        <v>7483569.809890544</v>
      </c>
      <c r="K14" s="5">
        <f>Assumptions!L122*Assumptions!L9</f>
        <v>8604234.388921652</v>
      </c>
      <c r="L14" s="5">
        <f>Assumptions!M122*Assumptions!M9</f>
        <v>9770586.1616421435</v>
      </c>
      <c r="M14" s="5">
        <f>Assumptions!N122*Assumptions!N9</f>
        <v>10984092.962918099</v>
      </c>
      <c r="N14" s="5">
        <f>Assumptions!O122*Assumptions!O9</f>
        <v>12246265.09974796</v>
      </c>
      <c r="O14" s="5">
        <f>Assumptions!P122*Assumptions!P9</f>
        <v>13558656.509604281</v>
      </c>
      <c r="P14" s="5">
        <f>Assumptions!Q122*Assumptions!Q9</f>
        <v>14922865.949186003</v>
      </c>
      <c r="Q14" s="5">
        <f>Assumptions!R122*Assumptions!R9</f>
        <v>16340538.214358672</v>
      </c>
      <c r="R14" s="5">
        <f>Assumptions!S122*Assumptions!S9</f>
        <v>17813365.392079532</v>
      </c>
      <c r="S14" s="5">
        <f>Assumptions!T122*Assumptions!T9</f>
        <v>19343088.145124361</v>
      </c>
      <c r="T14" s="5">
        <f>Assumptions!U122*Assumptions!U9</f>
        <v>20931497.030453399</v>
      </c>
      <c r="U14" s="5">
        <f>Assumptions!V122*Assumptions!V9</f>
        <v>22580433.852074672</v>
      </c>
      <c r="V14" s="5">
        <f>Assumptions!W122*Assumptions!W9</f>
        <v>24291793.04928454</v>
      </c>
      <c r="W14" s="5">
        <f>Assumptions!X122*Assumptions!X9</f>
        <v>26067523.121187236</v>
      </c>
      <c r="X14" s="5">
        <f>Assumptions!Y122*Assumptions!Y9</f>
        <v>27909628.088417806</v>
      </c>
      <c r="Y14" s="5">
        <f>Assumptions!Z122*Assumptions!Z9</f>
        <v>29820168.993015859</v>
      </c>
      <c r="Z14" s="5">
        <f>Assumptions!AA122*Assumptions!AA9</f>
        <v>31801265.437421441</v>
      </c>
      <c r="AA14" s="5">
        <f>Assumptions!AB122*Assumptions!AB9</f>
        <v>33855097.163588241</v>
      </c>
      <c r="AB14" s="5">
        <f>Assumptions!AC122*Assumptions!AC9</f>
        <v>35983905.673234679</v>
      </c>
      <c r="AC14" s="5">
        <f>Assumptions!AD122*Assumptions!AD9</f>
        <v>38189995.890278369</v>
      </c>
      <c r="AD14" s="5">
        <f>Assumptions!AE122*Assumptions!AE9</f>
        <v>40475737.866526149</v>
      </c>
      <c r="AE14" s="5">
        <f>Assumptions!AF122*Assumptions!AF9</f>
        <v>42843568.531717934</v>
      </c>
      <c r="AF14" s="5">
        <f>Assumptions!AG122*Assumptions!AG9</f>
        <v>45295993.489050753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7222407.3698061686</v>
      </c>
      <c r="D27" s="2">
        <f t="shared" ref="D27:AF27" si="8">D12+D13+D14+D19+D20+D22+D24+D25</f>
        <v>8309412.0656413883</v>
      </c>
      <c r="E27" s="2">
        <f t="shared" si="8"/>
        <v>9442538.4977757446</v>
      </c>
      <c r="F27" s="2">
        <f t="shared" si="8"/>
        <v>10623359.144571148</v>
      </c>
      <c r="G27" s="2">
        <f t="shared" si="8"/>
        <v>11853496.029463002</v>
      </c>
      <c r="H27" s="2">
        <f t="shared" si="8"/>
        <v>13134622.243525917</v>
      </c>
      <c r="I27" s="2">
        <f t="shared" si="8"/>
        <v>14468463.515063681</v>
      </c>
      <c r="J27" s="2">
        <f t="shared" si="8"/>
        <v>15856799.827710878</v>
      </c>
      <c r="K27" s="2">
        <f t="shared" si="8"/>
        <v>17301467.088582188</v>
      </c>
      <c r="L27" s="2">
        <f t="shared" si="8"/>
        <v>18804358.848055832</v>
      </c>
      <c r="M27" s="2">
        <f t="shared" si="8"/>
        <v>20367428.072829466</v>
      </c>
      <c r="N27" s="2">
        <f t="shared" si="8"/>
        <v>21992688.973941006</v>
      </c>
      <c r="O27" s="2">
        <f t="shared" si="8"/>
        <v>23682218.891502142</v>
      </c>
      <c r="P27" s="2">
        <f t="shared" si="8"/>
        <v>25438160.237950236</v>
      </c>
      <c r="Q27" s="2">
        <f t="shared" si="8"/>
        <v>27262722.501683522</v>
      </c>
      <c r="R27" s="2">
        <f t="shared" si="8"/>
        <v>29158184.313006312</v>
      </c>
      <c r="S27" s="2">
        <f t="shared" si="8"/>
        <v>31126895.574374553</v>
      </c>
      <c r="T27" s="2">
        <f t="shared" si="8"/>
        <v>33171279.656997815</v>
      </c>
      <c r="U27" s="2">
        <f t="shared" si="8"/>
        <v>35293835.665922135</v>
      </c>
      <c r="V27" s="2">
        <f t="shared" si="8"/>
        <v>37497140.775788419</v>
      </c>
      <c r="W27" s="2">
        <f t="shared" si="8"/>
        <v>39783852.639534146</v>
      </c>
      <c r="X27" s="2">
        <f t="shared" si="8"/>
        <v>42156711.872381464</v>
      </c>
      <c r="Y27" s="2">
        <f t="shared" si="8"/>
        <v>44618544.613532685</v>
      </c>
      <c r="Z27" s="2">
        <f t="shared" si="8"/>
        <v>47172265.168075196</v>
      </c>
      <c r="AA27" s="2">
        <f t="shared" si="8"/>
        <v>49820878.731680788</v>
      </c>
      <c r="AB27" s="2">
        <f t="shared" si="8"/>
        <v>52567484.200771496</v>
      </c>
      <c r="AC27" s="2">
        <f t="shared" si="8"/>
        <v>55415277.070912518</v>
      </c>
      <c r="AD27" s="2">
        <f t="shared" si="8"/>
        <v>58367552.426286295</v>
      </c>
      <c r="AE27" s="2">
        <f t="shared" si="8"/>
        <v>61427708.023196489</v>
      </c>
      <c r="AF27" s="2">
        <f t="shared" si="8"/>
        <v>64599247.470650397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3W2DU3RAJ5R2-1900874439-796</_dlc_DocId>
    <_dlc_DocIdUrl xmlns="f54e2983-00ce-40fc-8108-18f351fc47bf">
      <Url>https://dia.cohesion.net.nz/Sites/LGV/TWRP/CAE/_layouts/15/DocIdRedir.aspx?ID=3W2DU3RAJ5R2-1900874439-796</Url>
      <Description>3W2DU3RAJ5R2-1900874439-796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89B08A0C-89A9-4F98-91D6-B3705D50F8A8}"/>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F7FB3AB7-1975-45BA-93ED-3C15C11999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2021-06-28T21:59:01Z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7d9aa1e8-ee00-4bcb-912a-f47c375fd948</vt:lpwstr>
  </property>
</Properties>
</file>