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5" documentId="8_{EE1FF78B-C021-43C5-87B4-746863EC2F3E}" xr6:coauthVersionLast="47" xr6:coauthVersionMax="47" xr10:uidLastSave="{AA533881-D1DA-490F-8844-0B1FB9EC58CF}"/>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<sst xmlns="http://schemas.openxmlformats.org/spreadsheetml/2006/main" count="277" uniqueCount="206">
  <si>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</si>
  <si>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</si>
  <si>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</si>
  <si>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</si>
  <si>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</si>
  <si>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</si>
  <si>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</si>
  <si>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</si>
  <si>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</si>
  <si>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</si>
  <si>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</si>
  <si>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</si>
  <si>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</si>
  <si>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</si>
  <si>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</si>
  <si>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</si>
  <si>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</si>
  <si>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</si>
  <si>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</si>
  <si>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</si>
  <si>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</si>
  <si>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</si>
  <si>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</si>
  <si>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</si>
  <si>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</si>
  <si>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</si>
  <si>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</si>
  <si>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</si>
  <si>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</si>
  <si>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</si>
  <si>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</si>
  <si>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</si>
  <si>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</si>
  <si>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</si>
  <si>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</si>
  <si>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</si>
  <si>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</si>
  <si>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</si>
  <si>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</si>
  <si>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</si>
  <si>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</si>
  <si>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</si>
  <si>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</si>
  <si>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</si>
  <si>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</si>
  <si>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</si>
  <si>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</si>
  <si>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</si>
  <si>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</si>
  <si>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</si>
  <si>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</si>
  <si>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</si>
  <si>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</si>
  <si>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</si>
  <si>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</si>
  <si>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</si>
  <si>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</si>
  <si>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</si>
  <si>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</si>
  <si>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</si>
  <si>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</si>
  <si>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</si>
  <si>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</si>
  <si>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</si>
  <si>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</si>
  <si>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</si>
  <si>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</si>
  <si>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</si>
  <si>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</si>
  <si>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</si>
  <si>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</si>
  <si>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</si>
  <si>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</si>
  <si>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</si>
  <si>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</si>
  <si>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</si>
  <si>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</si>
  <si>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</si>
  <si>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</si>
  <si>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</si>
  <si>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</si>
  <si>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</si>
  <si>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</si>
  <si>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</si>
  <si>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</si>
  <si>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</si>
  <si>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</si>
  <si>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</si>
  <si>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</si>
  <si>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</si>
  <si>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</si>
  <si>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</si>
  <si>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</si>
  <si>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</si>
  <si>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</si>
  <si>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</si>
  <si>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</si>
  <si>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</si>
  <si>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</si>
  <si>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</si>
  <si>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</si>
  <si>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</si>
  <si>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</si>
  <si>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</si>
  <si>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</si>
  <si>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</si>
  <si>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</si>
  <si>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</si>
  <si>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</si>
  <si>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</si>
  <si>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</si>
  <si>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</si>
  <si>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</si>
  <si>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</si>
  <si>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</si>
  <si>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</si>
  <si>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</si>
  <si>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</si>
  <si>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</si>
  <si>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</si>
  <si>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</si>
  <si>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</si>
  <si>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</si>
  <si>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</si>
  <si>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</si>
  <si>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</si>
  <si>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</si>
  <si>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</si>
  <si>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</si>
  <si>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</si>
  <si>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</si>
  <si>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</si>
  <si>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</si>
  <si>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</si>
  <si>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</si>
  <si>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</si>
  <si>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</si>
  <si>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</si>
  <si>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</si>
  <si>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</si>
  <si>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</si>
  <si>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</si>
  <si>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</si>
  <si>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</si>
  <si>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</si>
  <si>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</si>
  <si>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</si>
  <si>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</si>
  <si>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</si>
  <si>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</si>
  <si>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</si>
  <si>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</si>
  <si>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</si>
  <si>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</si>
  <si>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</si>
  <si>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</si>
  <si>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</si>
  <si>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</si>
  <si>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</si>
  <si>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</si>
  <si>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</si>
  <si>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</si>
  <si>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</si>
  <si>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</si>
  <si>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</si>
  <si>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</si>
  <si>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</si>
  <si>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</si>
  <si>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</si>
  <si>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</si>
  <si>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</si>
  <si>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</si>
  <si>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</si>
  <si>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</si>
  <si>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</si>
  <si>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</si>
  <si>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</si>
  <si>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</si>
  <si>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</si>
  <si>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</si>
  <si>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</si>
  <si>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</si>
  <si>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</si>
  <si>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</si>
  <si>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</si>
  <si>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</si>
  <si>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</si>
  <si>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</si>
  <si>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</si>
  <si>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</si>
  <si>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</si>
  <si>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</si>
  <si>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</si>
  <si>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</si>
  <si>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</si>
  <si>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</si>
  <si>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</si>
  <si>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RFI Table A1; Line A1.47</t>
  </si>
  <si>
    <t>RFI Table F10; Lines F10.62 + F10.70 - F10.61</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</si>
  <si>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</si>
  <si>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</si>
  <si>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</si>
  <si>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</si>
  <si>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</si>
  <si>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</si>
  <si>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Kaikōura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</si>
</sst>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205</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62225000</v>
      </c>
      <c r="C6" s="12">
        <f ca="1">B6+Depreciation!C18+'Cash Flow'!C13</f>
        <v>63641088.948448576</v>
      </c>
      <c r="D6" s="1">
        <f ca="1">C6+Depreciation!D18</f>
        <v>74991439.067849666</v>
      </c>
      <c r="E6" s="1">
        <f ca="1">D6+Depreciation!E18</f>
        <v>86951199.85910359</v>
      </c>
      <c r="F6" s="1">
        <f ca="1">E6+Depreciation!F18</f>
        <v>99547750.846686661</v>
      </c>
      <c r="G6" s="1">
        <f ca="1">F6+Depreciation!G18</f>
        <v>112809599.80811369</v>
      </c>
      <c r="H6" s="1">
        <f ca="1">G6+Depreciation!H18</f>
        <v>126766426.94549944</v>
      </c>
      <c r="I6" s="1">
        <f ca="1">H6+Depreciation!I18</f>
        <v>141449130.72876874</v>
      </c>
      <c r="J6" s="1">
        <f ca="1">I6+Depreciation!J18</f>
        <v>156889875.47226945</v>
      </c>
      <c r="K6" s="1">
        <f ca="1">J6+Depreciation!K18</f>
        <v>173122140.70878232</v>
      </c>
      <c r="L6" s="1">
        <f ca="1">K6+Depreciation!L18</f>
        <v>190180772.42724279</v>
      </c>
      <c r="M6" s="1">
        <f ca="1">L6+Depreciation!M18</f>
        <v>208102036.24289331</v>
      </c>
      <c r="N6" s="1">
        <f ca="1">M6+Depreciation!N18</f>
        <v>226923672.57107434</v>
      </c>
      <c r="O6" s="1">
        <f ca="1">N6+Depreciation!O18</f>
        <v>246684953.87844062</v>
      </c>
      <c r="P6" s="1">
        <f ca="1">O6+Depreciation!P18</f>
        <v>267426744.08805993</v>
      </c>
      <c r="Q6" s="1">
        <f ca="1">P6+Depreciation!Q18</f>
        <v>289191560.21761775</v>
      </c>
      <c r="R6" s="1">
        <f ca="1">Q6+Depreciation!R18</f>
        <v>312023636.33281547</v>
      </c>
      <c r="S6" s="1">
        <f ca="1">R6+Depreciation!S18</f>
        <v>335968989.90101737</v>
      </c>
      <c r="T6" s="1">
        <f ca="1">S6+Depreciation!T18</f>
        <v>361075490.63327378</v>
      </c>
      <c r="U6" s="1">
        <f ca="1">T6+Depreciation!U18</f>
        <v>387392931.9060303</v>
      </c>
      <c r="V6" s="1">
        <f ca="1">U6+Depreciation!V18</f>
        <v>414973104.85712916</v>
      </c>
      <c r="W6" s="1">
        <f ca="1">V6+Depreciation!W18</f>
        <v>443869875.25412095</v>
      </c>
      <c r="X6" s="1">
        <f ca="1">W6+Depreciation!X18</f>
        <v>474139263.2364409</v>
      </c>
      <c r="Y6" s="1">
        <f ca="1">X6+Depreciation!Y18</f>
        <v>505839526.03666347</v>
      </c>
      <c r="Z6" s="1">
        <f ca="1">Y6+Depreciation!Z18</f>
        <v>539031243.78984058</v>
      </c>
      <c r="AA6" s="1">
        <f ca="1">Z6+Depreciation!AA18</f>
        <v>573777408.54385388</v>
      </c>
      <c r="AB6" s="1">
        <f ca="1">AA6+Depreciation!AB18</f>
        <v>610143516.58777761</v>
      </c>
      <c r="AC6" s="1">
        <f ca="1">AB6+Depreciation!AC18</f>
        <v>648197664.21945786</v>
      </c>
      <c r="AD6" s="1">
        <f ca="1">AC6+Depreciation!AD18</f>
        <v>688010647.07787418</v>
      </c>
      <c r="AE6" s="1">
        <f ca="1">AD6+Depreciation!AE18</f>
        <v>729656063.17036271</v>
      </c>
      <c r="AF6" s="1"/>
      <c r="AG6" s="1"/>
      <c r="AH6" s="1"/>
      <c r="AI6" s="1"/>
      <c r="AJ6" s="1"/>
      <c r="AK6" s="1"/>
      <c r="AL6" s="1"/>
      <c r="AM6" s="1"/>
      <c r="AN6" s="1"/>
      <c r="AO6" s="1"/>
      <c r="AP6" s="1"/>
    </row>
    <row r="7" spans="1:42" x14ac:dyDescent="0.35">
      <c r="A7" t="s">
        <v>12</v>
      </c>
      <c r="B7" s="1">
        <f>Depreciation!C12</f>
        <v>32247733.278489422</v>
      </c>
      <c r="C7" s="1">
        <f>Depreciation!D12</f>
        <v>33657859.397890501</v>
      </c>
      <c r="D7" s="1">
        <f>Depreciation!E12</f>
        <v>35359309.02114442</v>
      </c>
      <c r="E7" s="1">
        <f>Depreciation!F12</f>
        <v>37369282.88335149</v>
      </c>
      <c r="F7" s="1">
        <f>Depreciation!G12</f>
        <v>39705784.251390494</v>
      </c>
      <c r="G7" s="1">
        <f>Depreciation!H12</f>
        <v>42387652.672399782</v>
      </c>
      <c r="H7" s="1">
        <f>Depreciation!I12</f>
        <v>45434599.060368575</v>
      </c>
      <c r="I7" s="1">
        <f>Depreciation!J12</f>
        <v>48867242.171919182</v>
      </c>
      <c r="J7" s="1">
        <f>Depreciation!K12</f>
        <v>52707146.524259537</v>
      </c>
      <c r="K7" s="1">
        <f>Depreciation!L12</f>
        <v>56976861.810253978</v>
      </c>
      <c r="L7" s="1">
        <f>Depreciation!M12</f>
        <v>61699963.867599554</v>
      </c>
      <c r="M7" s="1">
        <f>Depreciation!N12</f>
        <v>66901097.26120989</v>
      </c>
      <c r="N7" s="1">
        <f>Depreciation!O12</f>
        <v>72606019.540099204</v>
      </c>
      <c r="O7" s="1">
        <f>Depreciation!P12</f>
        <v>78841647.232330292</v>
      </c>
      <c r="P7" s="1">
        <f>Depreciation!Q12</f>
        <v>85636103.643943444</v>
      </c>
      <c r="Q7" s="1">
        <f>Depreciation!R12</f>
        <v>93018768.530222267</v>
      </c>
      <c r="R7" s="1">
        <f>Depreciation!S12</f>
        <v>101020329.71017988</v>
      </c>
      <c r="S7" s="1">
        <f>Depreciation!T12</f>
        <v>109672836.69776817</v>
      </c>
      <c r="T7" s="1">
        <f>Depreciation!U12</f>
        <v>119009756.42602722</v>
      </c>
      <c r="U7" s="1">
        <f>Depreciation!V12</f>
        <v>129066031.14320469</v>
      </c>
      <c r="V7" s="1">
        <f>Depreciation!W12</f>
        <v>139878138.56278959</v>
      </c>
      <c r="W7" s="1">
        <f>Depreciation!X12</f>
        <v>151484154.35242563</v>
      </c>
      <c r="X7" s="1">
        <f>Depreciation!Y12</f>
        <v>163923817.04979843</v>
      </c>
      <c r="Y7" s="1">
        <f>Depreciation!Z12</f>
        <v>177238595.49683452</v>
      </c>
      <c r="Z7" s="1">
        <f>Depreciation!AA12</f>
        <v>191471758.88691026</v>
      </c>
      <c r="AA7" s="1">
        <f>Depreciation!AB12</f>
        <v>206668449.52325043</v>
      </c>
      <c r="AB7" s="1">
        <f>Depreciation!AC12</f>
        <v>222875758.39030451</v>
      </c>
      <c r="AC7" s="1">
        <f>Depreciation!AD12</f>
        <v>240142803.6436266</v>
      </c>
      <c r="AD7" s="1">
        <f>Depreciation!AE12</f>
        <v>258520812.12765795</v>
      </c>
      <c r="AE7" s="1">
        <f>Depreciation!AF12</f>
        <v>278063204.03482461</v>
      </c>
      <c r="AF7" s="1"/>
      <c r="AG7" s="1"/>
      <c r="AH7" s="1"/>
      <c r="AI7" s="1"/>
      <c r="AJ7" s="1"/>
      <c r="AK7" s="1"/>
      <c r="AL7" s="1"/>
      <c r="AM7" s="1"/>
      <c r="AN7" s="1"/>
      <c r="AO7" s="1"/>
      <c r="AP7" s="1"/>
    </row>
    <row r="8" spans="1:42" x14ac:dyDescent="0.35">
      <c r="A8" t="s">
        <v>190</v>
      </c>
      <c r="B8" s="1">
        <f t="shared" ref="B8:AE8" si="1">B6-B7</f>
        <v>29977266.721510578</v>
      </c>
      <c r="C8" s="1">
        <f t="shared" ca="1" si="1"/>
        <v>29983229.550558075</v>
      </c>
      <c r="D8" s="1">
        <f ca="1">D6-D7</f>
        <v>39632130.046705246</v>
      </c>
      <c r="E8" s="1">
        <f t="shared" ca="1" si="1"/>
        <v>49581916.9757521</v>
      </c>
      <c r="F8" s="1">
        <f t="shared" ca="1" si="1"/>
        <v>59841966.595296167</v>
      </c>
      <c r="G8" s="1">
        <f t="shared" ca="1" si="1"/>
        <v>70421947.135713905</v>
      </c>
      <c r="H8" s="1">
        <f t="shared" ca="1" si="1"/>
        <v>81331827.885130852</v>
      </c>
      <c r="I8" s="1">
        <f t="shared" ca="1" si="1"/>
        <v>92581888.556849554</v>
      </c>
      <c r="J8" s="1">
        <f t="shared" ca="1" si="1"/>
        <v>104182728.94800991</v>
      </c>
      <c r="K8" s="1">
        <f t="shared" ca="1" si="1"/>
        <v>116145278.89852834</v>
      </c>
      <c r="L8" s="1">
        <f t="shared" ca="1" si="1"/>
        <v>128480808.55964324</v>
      </c>
      <c r="M8" s="1">
        <f t="shared" ca="1" si="1"/>
        <v>141200938.98168343</v>
      </c>
      <c r="N8" s="1">
        <f t="shared" ca="1" si="1"/>
        <v>154317653.03097513</v>
      </c>
      <c r="O8" s="1">
        <f t="shared" ca="1" si="1"/>
        <v>167843306.64611033</v>
      </c>
      <c r="P8" s="1">
        <f t="shared" ca="1" si="1"/>
        <v>181790640.44411647</v>
      </c>
      <c r="Q8" s="1">
        <f t="shared" ca="1" si="1"/>
        <v>196172791.68739548</v>
      </c>
      <c r="R8" s="1">
        <f t="shared" ca="1" si="1"/>
        <v>211003306.6226356</v>
      </c>
      <c r="S8" s="1">
        <f t="shared" ca="1" si="1"/>
        <v>226296153.20324922</v>
      </c>
      <c r="T8" s="1">
        <f t="shared" ca="1" si="1"/>
        <v>242065734.20724654</v>
      </c>
      <c r="U8" s="1">
        <f t="shared" ca="1" si="1"/>
        <v>258326900.76282561</v>
      </c>
      <c r="V8" s="1">
        <f t="shared" ca="1" si="1"/>
        <v>275094966.29433954</v>
      </c>
      <c r="W8" s="1">
        <f t="shared" ca="1" si="1"/>
        <v>292385720.90169531</v>
      </c>
      <c r="X8" s="1">
        <f t="shared" ca="1" si="1"/>
        <v>310215446.18664247</v>
      </c>
      <c r="Y8" s="1">
        <f t="shared" ca="1" si="1"/>
        <v>328600930.53982896</v>
      </c>
      <c r="Z8" s="1">
        <f t="shared" ca="1" si="1"/>
        <v>347559484.90293032</v>
      </c>
      <c r="AA8" s="1">
        <f t="shared" ca="1" si="1"/>
        <v>367108959.02060342</v>
      </c>
      <c r="AB8" s="1">
        <f t="shared" ca="1" si="1"/>
        <v>387267758.19747311</v>
      </c>
      <c r="AC8" s="1">
        <f t="shared" ca="1" si="1"/>
        <v>408054860.57583129</v>
      </c>
      <c r="AD8" s="1">
        <f t="shared" ca="1" si="1"/>
        <v>429489834.95021623</v>
      </c>
      <c r="AE8" s="1">
        <f t="shared" ca="1" si="1"/>
        <v>451592859.1355381</v>
      </c>
      <c r="AF8" s="1"/>
      <c r="AG8" s="1"/>
      <c r="AH8" s="1"/>
      <c r="AI8" s="1"/>
      <c r="AJ8" s="1"/>
      <c r="AK8" s="1"/>
      <c r="AL8" s="1"/>
      <c r="AM8" s="1"/>
      <c r="AN8" s="1"/>
      <c r="AO8" s="1"/>
      <c r="AP8" s="1"/>
    </row>
    <row r="10" spans="1:42" x14ac:dyDescent="0.35">
      <c r="A10" t="s">
        <v>17</v>
      </c>
      <c r="B10" s="1">
        <f>B8-B11</f>
        <v>28536266.721510578</v>
      </c>
      <c r="C10" s="1">
        <f ca="1">C8-C11</f>
        <v>19191085.220517226</v>
      </c>
      <c r="D10" s="1">
        <f ca="1">D8-D11</f>
        <v>20165526.874226555</v>
      </c>
      <c r="E10" s="1">
        <f t="shared" ref="E10:AE10" ca="1" si="2">E8-E11</f>
        <v>22494277.36472971</v>
      </c>
      <c r="F10" s="1">
        <f t="shared" ca="1" si="2"/>
        <v>26713350.478611168</v>
      </c>
      <c r="G10" s="1">
        <f ca="1">G8-G11</f>
        <v>32741533.972090147</v>
      </c>
      <c r="H10" s="1">
        <f t="shared" ca="1" si="2"/>
        <v>39479911.00750941</v>
      </c>
      <c r="I10" s="1">
        <f t="shared" ca="1" si="2"/>
        <v>47105210.782641575</v>
      </c>
      <c r="J10" s="1">
        <f t="shared" ca="1" si="2"/>
        <v>55472708.92179586</v>
      </c>
      <c r="K10" s="1">
        <f t="shared" ca="1" si="2"/>
        <v>64345458.767020032</v>
      </c>
      <c r="L10" s="1">
        <f t="shared" ca="1" si="2"/>
        <v>73809189.430785626</v>
      </c>
      <c r="M10" s="1">
        <f t="shared" ca="1" si="2"/>
        <v>83511319.719996259</v>
      </c>
      <c r="N10" s="1">
        <f t="shared" ca="1" si="2"/>
        <v>93481259.190109581</v>
      </c>
      <c r="O10" s="1">
        <f t="shared" ca="1" si="2"/>
        <v>103752089.3663123</v>
      </c>
      <c r="P10" s="1">
        <f t="shared" ca="1" si="2"/>
        <v>114360907.4577399</v>
      </c>
      <c r="Q10" s="1">
        <f t="shared" ca="1" si="2"/>
        <v>125349197.16653198</v>
      </c>
      <c r="R10" s="1">
        <f t="shared" ca="1" si="2"/>
        <v>136763228.52329719</v>
      </c>
      <c r="S10" s="1">
        <f t="shared" ca="1" si="2"/>
        <v>148654488.8100518</v>
      </c>
      <c r="T10" s="1">
        <f t="shared" ca="1" si="2"/>
        <v>160742442.41721696</v>
      </c>
      <c r="U10" s="1">
        <f t="shared" ca="1" si="2"/>
        <v>173041043.56641263</v>
      </c>
      <c r="V10" s="1">
        <f t="shared" ca="1" si="2"/>
        <v>185566101.08837187</v>
      </c>
      <c r="W10" s="1">
        <f t="shared" ca="1" si="2"/>
        <v>198335454.16131073</v>
      </c>
      <c r="X10" s="1">
        <f t="shared" ca="1" si="2"/>
        <v>211369161.37112272</v>
      </c>
      <c r="Y10" s="1">
        <f t="shared" ca="1" si="2"/>
        <v>224689703.97850388</v>
      </c>
      <c r="Z10" s="1">
        <f t="shared" ca="1" si="2"/>
        <v>238322204.33223265</v>
      </c>
      <c r="AA10" s="1">
        <f t="shared" ca="1" si="2"/>
        <v>252294660.42508107</v>
      </c>
      <c r="AB10" s="1">
        <f t="shared" ca="1" si="2"/>
        <v>266638197.64938745</v>
      </c>
      <c r="AC10" s="1">
        <f t="shared" ca="1" si="2"/>
        <v>281387338.87336606</v>
      </c>
      <c r="AD10" s="1">
        <f t="shared" ca="1" si="2"/>
        <v>295040056.57316262</v>
      </c>
      <c r="AE10" s="1">
        <f t="shared" ca="1" si="2"/>
        <v>307471797.46498251</v>
      </c>
      <c r="AF10" s="1"/>
      <c r="AG10" s="1"/>
      <c r="AH10" s="1"/>
      <c r="AI10" s="1"/>
      <c r="AJ10" s="1"/>
      <c r="AK10" s="1"/>
      <c r="AL10" s="1"/>
      <c r="AM10" s="1"/>
      <c r="AN10" s="1"/>
      <c r="AO10" s="1"/>
    </row>
    <row r="11" spans="1:42" x14ac:dyDescent="0.35">
      <c r="A11" t="s">
        <v>9</v>
      </c>
      <c r="B11" s="1">
        <f>Assumptions!$C$20</f>
        <v>1441000</v>
      </c>
      <c r="C11" s="1">
        <f ca="1">'Debt worksheet'!D5</f>
        <v>10792144.330040852</v>
      </c>
      <c r="D11" s="1">
        <f ca="1">'Debt worksheet'!E5</f>
        <v>19466603.172478691</v>
      </c>
      <c r="E11" s="1">
        <f ca="1">'Debt worksheet'!F5</f>
        <v>27087639.61102239</v>
      </c>
      <c r="F11" s="1">
        <f ca="1">'Debt worksheet'!G5</f>
        <v>33128616.116684999</v>
      </c>
      <c r="G11" s="1">
        <f ca="1">'Debt worksheet'!H5</f>
        <v>37680413.163623758</v>
      </c>
      <c r="H11" s="1">
        <f ca="1">'Debt worksheet'!I5</f>
        <v>41851916.877621442</v>
      </c>
      <c r="I11" s="1">
        <f ca="1">'Debt worksheet'!J5</f>
        <v>45476677.774207979</v>
      </c>
      <c r="J11" s="1">
        <f ca="1">'Debt worksheet'!K5</f>
        <v>48710020.026214048</v>
      </c>
      <c r="K11" s="1">
        <f ca="1">'Debt worksheet'!L5</f>
        <v>51799820.131508306</v>
      </c>
      <c r="L11" s="1">
        <f ca="1">'Debt worksheet'!M5</f>
        <v>54671619.12885762</v>
      </c>
      <c r="M11" s="1">
        <f ca="1">'Debt worksheet'!N5</f>
        <v>57689619.261687174</v>
      </c>
      <c r="N11" s="1">
        <f ca="1">'Debt worksheet'!O5</f>
        <v>60836393.840865552</v>
      </c>
      <c r="O11" s="1">
        <f ca="1">'Debt worksheet'!P5</f>
        <v>64091217.279798031</v>
      </c>
      <c r="P11" s="1">
        <f ca="1">'Debt worksheet'!Q5</f>
        <v>67429732.986376569</v>
      </c>
      <c r="Q11" s="1">
        <f ca="1">'Debt worksheet'!R5</f>
        <v>70823594.520863503</v>
      </c>
      <c r="R11" s="1">
        <f ca="1">'Debt worksheet'!S5</f>
        <v>74240078.099338427</v>
      </c>
      <c r="S11" s="1">
        <f ca="1">'Debt worksheet'!T5</f>
        <v>77641664.393197417</v>
      </c>
      <c r="T11" s="1">
        <f ca="1">'Debt worksheet'!U5</f>
        <v>81323291.790029585</v>
      </c>
      <c r="U11" s="1">
        <f ca="1">'Debt worksheet'!V5</f>
        <v>85285857.196412966</v>
      </c>
      <c r="V11" s="1">
        <f ca="1">'Debt worksheet'!W5</f>
        <v>89528865.205967665</v>
      </c>
      <c r="W11" s="1">
        <f ca="1">'Debt worksheet'!X5</f>
        <v>94050266.740384579</v>
      </c>
      <c r="X11" s="1">
        <f ca="1">'Debt worksheet'!Y5</f>
        <v>98846284.815519735</v>
      </c>
      <c r="Y11" s="1">
        <f ca="1">'Debt worksheet'!Z5</f>
        <v>103911226.56132507</v>
      </c>
      <c r="Z11" s="1">
        <f ca="1">'Debt worksheet'!AA5</f>
        <v>109237280.57069765</v>
      </c>
      <c r="AA11" s="1">
        <f ca="1">'Debt worksheet'!AB5</f>
        <v>114814298.59552234</v>
      </c>
      <c r="AB11" s="1">
        <f ca="1">'Debt worksheet'!AC5</f>
        <v>120629560.54808566</v>
      </c>
      <c r="AC11" s="1">
        <f ca="1">'Debt worksheet'!AD5</f>
        <v>126667521.70246524</v>
      </c>
      <c r="AD11" s="1">
        <f ca="1">'Debt worksheet'!AE5</f>
        <v>134449778.37705362</v>
      </c>
      <c r="AE11" s="1">
        <f ca="1">'Debt worksheet'!AF5</f>
        <v>144121061.67055562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280855.66995914857</v>
      </c>
      <c r="D5" s="4">
        <f ca="1">'Profit and Loss'!D9</f>
        <v>1265765.157562163</v>
      </c>
      <c r="E5" s="4">
        <f ca="1">'Profit and Loss'!E9</f>
        <v>2637274.7294562981</v>
      </c>
      <c r="F5" s="4">
        <f ca="1">'Profit and Loss'!F9</f>
        <v>4545600.6197133893</v>
      </c>
      <c r="G5" s="4">
        <f ca="1">'Profit and Loss'!G9</f>
        <v>6373550.5464492757</v>
      </c>
      <c r="H5" s="4">
        <f ca="1">'Profit and Loss'!H9</f>
        <v>7103455.002378759</v>
      </c>
      <c r="I5" s="4">
        <f ca="1">'Profit and Loss'!I9</f>
        <v>8010996.4987139497</v>
      </c>
      <c r="J5" s="4">
        <f ca="1">'Profit and Loss'!J9</f>
        <v>8774759.3799440432</v>
      </c>
      <c r="K5" s="4">
        <f ca="1">'Profit and Loss'!K9</f>
        <v>9302560.7788782623</v>
      </c>
      <c r="L5" s="4">
        <f ca="1">'Profit and Loss'!L9</f>
        <v>9917117.4351167157</v>
      </c>
      <c r="M5" s="4">
        <f ca="1">'Profit and Loss'!M9</f>
        <v>10180161.625475395</v>
      </c>
      <c r="N5" s="4">
        <f ca="1">'Profit and Loss'!N9</f>
        <v>10473728.355392326</v>
      </c>
      <c r="O5" s="4">
        <f ca="1">'Profit and Loss'!O9</f>
        <v>10801535.589544494</v>
      </c>
      <c r="P5" s="4">
        <f ca="1">'Profit and Loss'!P9</f>
        <v>11167646.810809689</v>
      </c>
      <c r="Q5" s="4">
        <f ca="1">'Profit and Loss'!Q9</f>
        <v>11576498.183457723</v>
      </c>
      <c r="R5" s="4">
        <f ca="1">'Profit and Loss'!R9</f>
        <v>12032927.650443958</v>
      </c>
      <c r="S5" s="4">
        <f ca="1">'Profit and Loss'!S9</f>
        <v>12542206.094385304</v>
      </c>
      <c r="T5" s="4">
        <f ca="1">'Profit and Loss'!T9</f>
        <v>12772366.347835939</v>
      </c>
      <c r="U5" s="4">
        <f ca="1">'Profit and Loss'!U9</f>
        <v>13017956.138114104</v>
      </c>
      <c r="V5" s="4">
        <f ca="1">'Profit and Loss'!V9</f>
        <v>13280890.224366697</v>
      </c>
      <c r="W5" s="4">
        <f ca="1">'Profit and Loss'!W9</f>
        <v>13563261.442989971</v>
      </c>
      <c r="X5" s="4">
        <f ca="1">'Profit and Loss'!X9</f>
        <v>13867354.11754876</v>
      </c>
      <c r="Y5" s="4">
        <f ca="1">'Profit and Loss'!Y9</f>
        <v>14195658.357044453</v>
      </c>
      <c r="Z5" s="4">
        <f ca="1">'Profit and Loss'!Z9</f>
        <v>14550885.296768408</v>
      </c>
      <c r="AA5" s="4">
        <f ca="1">'Profit and Loss'!AA9</f>
        <v>14935983.339112803</v>
      </c>
      <c r="AB5" s="4">
        <f ca="1">'Profit and Loss'!AB9</f>
        <v>15354155.455020173</v>
      </c>
      <c r="AC5" s="4">
        <f ca="1">'Profit and Loss'!AC9</f>
        <v>15808877.610246593</v>
      </c>
      <c r="AD5" s="4">
        <f ca="1">'Profit and Loss'!AD9</f>
        <v>14763680.930505829</v>
      </c>
      <c r="AE5" s="4">
        <f ca="1">'Profit and Loss'!AE9</f>
        <v>13596124.314955216</v>
      </c>
      <c r="AF5" s="4">
        <f ca="1">'Profit and Loss'!AF9</f>
        <v>12298286.918190673</v>
      </c>
      <c r="AG5" s="4"/>
      <c r="AH5" s="4"/>
      <c r="AI5" s="4"/>
      <c r="AJ5" s="4"/>
      <c r="AK5" s="4"/>
      <c r="AL5" s="4"/>
      <c r="AM5" s="4"/>
      <c r="AN5" s="4"/>
      <c r="AO5" s="4"/>
      <c r="AP5" s="4"/>
    </row>
    <row r="6" spans="1:42" x14ac:dyDescent="0.35">
      <c r="A6" t="s">
        <v>21</v>
      </c>
      <c r="C6" s="4">
        <f>Depreciation!C8+Depreciation!C9</f>
        <v>1135233.2784894216</v>
      </c>
      <c r="D6" s="4">
        <f>Depreciation!D8+Depreciation!D9</f>
        <v>1410126.1194010831</v>
      </c>
      <c r="E6" s="4">
        <f>Depreciation!E8+Depreciation!E9</f>
        <v>1701449.6232539176</v>
      </c>
      <c r="F6" s="4">
        <f>Depreciation!F8+Depreciation!F9</f>
        <v>2009973.8622070672</v>
      </c>
      <c r="G6" s="4">
        <f>Depreciation!G8+Depreciation!G9</f>
        <v>2336501.3680390064</v>
      </c>
      <c r="H6" s="4">
        <f>Depreciation!H8+Depreciation!H9</f>
        <v>2681868.4210092891</v>
      </c>
      <c r="I6" s="4">
        <f>Depreciation!I8+Depreciation!I9</f>
        <v>3046946.3879687982</v>
      </c>
      <c r="J6" s="4">
        <f>Depreciation!J8+Depreciation!J9</f>
        <v>3432643.1115506021</v>
      </c>
      <c r="K6" s="4">
        <f>Depreciation!K8+Depreciation!K9</f>
        <v>3839904.352340362</v>
      </c>
      <c r="L6" s="4">
        <f>Depreciation!L8+Depreciation!L9</f>
        <v>4269715.2859944385</v>
      </c>
      <c r="M6" s="4">
        <f>Depreciation!M8+Depreciation!M9</f>
        <v>4723102.0573455784</v>
      </c>
      <c r="N6" s="4">
        <f>Depreciation!N8+Depreciation!N9</f>
        <v>5201133.3936103331</v>
      </c>
      <c r="O6" s="4">
        <f>Depreciation!O8+Depreciation!O9</f>
        <v>5704922.2788893115</v>
      </c>
      <c r="P6" s="4">
        <f>Depreciation!P8+Depreciation!P9</f>
        <v>6235627.6922310861</v>
      </c>
      <c r="Q6" s="4">
        <f>Depreciation!Q8+Depreciation!Q9</f>
        <v>6794456.4116131514</v>
      </c>
      <c r="R6" s="4">
        <f>Depreciation!R8+Depreciation!R9</f>
        <v>7382664.8862788267</v>
      </c>
      <c r="S6" s="4">
        <f>Depreciation!S8+Depreciation!S9</f>
        <v>8001561.1799576133</v>
      </c>
      <c r="T6" s="4">
        <f>Depreciation!T8+Depreciation!T9</f>
        <v>8652506.9875882901</v>
      </c>
      <c r="U6" s="4">
        <f>Depreciation!U8+Depreciation!U9</f>
        <v>9336919.7282590549</v>
      </c>
      <c r="V6" s="4">
        <f>Depreciation!V8+Depreciation!V9</f>
        <v>10056274.717177462</v>
      </c>
      <c r="W6" s="4">
        <f>Depreciation!W8+Depreciation!W9</f>
        <v>10812107.419584906</v>
      </c>
      <c r="X6" s="4">
        <f>Depreciation!X8+Depreciation!X9</f>
        <v>11606015.789636036</v>
      </c>
      <c r="Y6" s="4">
        <f>Depreciation!Y8+Depreciation!Y9</f>
        <v>12439662.697372783</v>
      </c>
      <c r="Z6" s="4">
        <f>Depreciation!Z8+Depreciation!Z9</f>
        <v>13314778.447036095</v>
      </c>
      <c r="AA6" s="4">
        <f>Depreciation!AA8+Depreciation!AA9</f>
        <v>14233163.390075756</v>
      </c>
      <c r="AB6" s="4">
        <f>Depreciation!AB8+Depreciation!AB9</f>
        <v>15196690.636340179</v>
      </c>
      <c r="AC6" s="4">
        <f>Depreciation!AC8+Depreciation!AC9</f>
        <v>16207308.867054094</v>
      </c>
      <c r="AD6" s="4">
        <f>Depreciation!AD8+Depreciation!AD9</f>
        <v>17267045.253322091</v>
      </c>
      <c r="AE6" s="4">
        <f>Depreciation!AE8+Depreciation!AE9</f>
        <v>18378008.484031368</v>
      </c>
      <c r="AF6" s="4">
        <f>Depreciation!AF8+Depreciation!AF9</f>
        <v>19542391.907166637</v>
      </c>
      <c r="AG6" s="4"/>
      <c r="AH6" s="4"/>
      <c r="AI6" s="4"/>
      <c r="AJ6" s="4"/>
      <c r="AK6" s="4"/>
      <c r="AL6" s="4"/>
      <c r="AM6" s="4"/>
      <c r="AN6" s="4"/>
      <c r="AO6" s="4"/>
      <c r="AP6" s="4"/>
    </row>
    <row r="7" spans="1:42" x14ac:dyDescent="0.35">
      <c r="A7" t="s">
        <v>23</v>
      </c>
      <c r="C7" s="4">
        <f ca="1">C6+C5</f>
        <v>1416088.9484485702</v>
      </c>
      <c r="D7" s="4">
        <f ca="1">D6+D5</f>
        <v>2675891.2769632461</v>
      </c>
      <c r="E7" s="4">
        <f t="shared" ref="E7:AF7" ca="1" si="1">E6+E5</f>
        <v>4338724.3527102154</v>
      </c>
      <c r="F7" s="4">
        <f t="shared" ca="1" si="1"/>
        <v>6555574.4819204565</v>
      </c>
      <c r="G7" s="4">
        <f ca="1">G6+G5</f>
        <v>8710051.9144882821</v>
      </c>
      <c r="H7" s="4">
        <f t="shared" ca="1" si="1"/>
        <v>9785323.423388049</v>
      </c>
      <c r="I7" s="4">
        <f t="shared" ca="1" si="1"/>
        <v>11057942.886682749</v>
      </c>
      <c r="J7" s="4">
        <f t="shared" ca="1" si="1"/>
        <v>12207402.491494644</v>
      </c>
      <c r="K7" s="4">
        <f t="shared" ca="1" si="1"/>
        <v>13142465.131218623</v>
      </c>
      <c r="L7" s="4">
        <f t="shared" ca="1" si="1"/>
        <v>14186832.721111154</v>
      </c>
      <c r="M7" s="4">
        <f t="shared" ca="1" si="1"/>
        <v>14903263.682820974</v>
      </c>
      <c r="N7" s="4">
        <f t="shared" ca="1" si="1"/>
        <v>15674861.749002658</v>
      </c>
      <c r="O7" s="4">
        <f t="shared" ca="1" si="1"/>
        <v>16506457.868433805</v>
      </c>
      <c r="P7" s="4">
        <f t="shared" ca="1" si="1"/>
        <v>17403274.503040776</v>
      </c>
      <c r="Q7" s="4">
        <f t="shared" ca="1" si="1"/>
        <v>18370954.595070876</v>
      </c>
      <c r="R7" s="4">
        <f t="shared" ca="1" si="1"/>
        <v>19415592.536722787</v>
      </c>
      <c r="S7" s="4">
        <f t="shared" ca="1" si="1"/>
        <v>20543767.274342917</v>
      </c>
      <c r="T7" s="4">
        <f t="shared" ca="1" si="1"/>
        <v>21424873.33542423</v>
      </c>
      <c r="U7" s="4">
        <f t="shared" ca="1" si="1"/>
        <v>22354875.866373159</v>
      </c>
      <c r="V7" s="4">
        <f t="shared" ca="1" si="1"/>
        <v>23337164.94154416</v>
      </c>
      <c r="W7" s="4">
        <f t="shared" ca="1" si="1"/>
        <v>24375368.862574875</v>
      </c>
      <c r="X7" s="4">
        <f t="shared" ca="1" si="1"/>
        <v>25473369.907184795</v>
      </c>
      <c r="Y7" s="4">
        <f t="shared" ca="1" si="1"/>
        <v>26635321.054417238</v>
      </c>
      <c r="Z7" s="4">
        <f t="shared" ca="1" si="1"/>
        <v>27865663.743804503</v>
      </c>
      <c r="AA7" s="4">
        <f t="shared" ca="1" si="1"/>
        <v>29169146.729188561</v>
      </c>
      <c r="AB7" s="4">
        <f t="shared" ca="1" si="1"/>
        <v>30550846.091360353</v>
      </c>
      <c r="AC7" s="4">
        <f t="shared" ca="1" si="1"/>
        <v>32016186.477300689</v>
      </c>
      <c r="AD7" s="4">
        <f t="shared" ca="1" si="1"/>
        <v>32030726.183827922</v>
      </c>
      <c r="AE7" s="4">
        <f t="shared" ca="1" si="1"/>
        <v>31974132.798986584</v>
      </c>
      <c r="AF7" s="4">
        <f t="shared" ca="1" si="1"/>
        <v>31840678.82535731</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10767233.278489422</v>
      </c>
      <c r="D10" s="9">
        <f>Investment!D25</f>
        <v>11350350.119401084</v>
      </c>
      <c r="E10" s="9">
        <f>Investment!E25</f>
        <v>11959760.791253917</v>
      </c>
      <c r="F10" s="9">
        <f>Investment!F25</f>
        <v>12596550.987583065</v>
      </c>
      <c r="G10" s="9">
        <f>Investment!G25</f>
        <v>13261848.96142704</v>
      </c>
      <c r="H10" s="9">
        <f>Investment!H25</f>
        <v>13956827.137385737</v>
      </c>
      <c r="I10" s="9">
        <f>Investment!I25</f>
        <v>14682703.78326929</v>
      </c>
      <c r="J10" s="9">
        <f>Investment!J25</f>
        <v>15440744.743500713</v>
      </c>
      <c r="K10" s="9">
        <f>Investment!K25</f>
        <v>16232265.236512877</v>
      </c>
      <c r="L10" s="9">
        <f>Investment!L25</f>
        <v>17058631.71846047</v>
      </c>
      <c r="M10" s="9">
        <f>Investment!M25</f>
        <v>17921263.815650526</v>
      </c>
      <c r="N10" s="9">
        <f>Investment!N25</f>
        <v>18821636.32818104</v>
      </c>
      <c r="O10" s="9">
        <f>Investment!O25</f>
        <v>19761281.307366282</v>
      </c>
      <c r="P10" s="9">
        <f>Investment!P25</f>
        <v>20741790.209619317</v>
      </c>
      <c r="Q10" s="9">
        <f>Investment!Q25</f>
        <v>21764816.129557803</v>
      </c>
      <c r="R10" s="9">
        <f>Investment!R25</f>
        <v>22832076.115197711</v>
      </c>
      <c r="S10" s="9">
        <f>Investment!S25</f>
        <v>23945353.568201903</v>
      </c>
      <c r="T10" s="9">
        <f>Investment!T25</f>
        <v>25106500.732256394</v>
      </c>
      <c r="U10" s="9">
        <f>Investment!U25</f>
        <v>26317441.272756539</v>
      </c>
      <c r="V10" s="9">
        <f>Investment!V25</f>
        <v>27580172.951098867</v>
      </c>
      <c r="W10" s="9">
        <f>Investment!W25</f>
        <v>28896770.396991797</v>
      </c>
      <c r="X10" s="9">
        <f>Investment!X25</f>
        <v>30269387.982319947</v>
      </c>
      <c r="Y10" s="9">
        <f>Investment!Y25</f>
        <v>31700262.800222568</v>
      </c>
      <c r="Z10" s="9">
        <f>Investment!Z25</f>
        <v>33191717.75317708</v>
      </c>
      <c r="AA10" s="9">
        <f>Investment!AA25</f>
        <v>34746164.754013255</v>
      </c>
      <c r="AB10" s="9">
        <f>Investment!AB25</f>
        <v>36366108.043923676</v>
      </c>
      <c r="AC10" s="9">
        <f>Investment!AC25</f>
        <v>38054147.631680265</v>
      </c>
      <c r="AD10" s="9">
        <f>Investment!AD25</f>
        <v>39812982.858416304</v>
      </c>
      <c r="AE10" s="9">
        <f>Investment!AE25</f>
        <v>41645416.092488587</v>
      </c>
      <c r="AF10" s="9">
        <f>Investment!AF25</f>
        <v>43554356.559094489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-9351144.3300408516</v>
      </c>
      <c r="D12" s="1">
        <f t="shared" ref="D12:AF12" ca="1" si="2">D7-D9-D10</f>
        <v>-8674458.8424378373</v>
      </c>
      <c r="E12" s="1">
        <f ca="1">E7-E9-E10</f>
        <v>-7621036.4385437015</v>
      </c>
      <c r="F12" s="1">
        <f t="shared" ca="1" si="2"/>
        <v>-6040976.5056626089</v>
      </c>
      <c r="G12" s="1">
        <f ca="1">G7-G9-G10</f>
        <v>-4551797.0469387583</v>
      </c>
      <c r="H12" s="1">
        <f t="shared" ca="1" si="2"/>
        <v>-4171503.7139976881</v>
      </c>
      <c r="I12" s="1">
        <f t="shared" ca="1" si="2"/>
        <v>-3624760.8965865411</v>
      </c>
      <c r="J12" s="1">
        <f t="shared" ca="1" si="2"/>
        <v>-3233342.2520060688</v>
      </c>
      <c r="K12" s="1">
        <f t="shared" ca="1" si="2"/>
        <v>-3089800.1052942537</v>
      </c>
      <c r="L12" s="1">
        <f t="shared" ca="1" si="2"/>
        <v>-2871798.9973493163</v>
      </c>
      <c r="M12" s="1">
        <f t="shared" ca="1" si="2"/>
        <v>-3018000.1328295525</v>
      </c>
      <c r="N12" s="1">
        <f t="shared" ca="1" si="2"/>
        <v>-3146774.5791783817</v>
      </c>
      <c r="O12" s="1">
        <f t="shared" ca="1" si="2"/>
        <v>-3254823.4389324766</v>
      </c>
      <c r="P12" s="1">
        <f t="shared" ca="1" si="2"/>
        <v>-3338515.7065785415</v>
      </c>
      <c r="Q12" s="1">
        <f t="shared" ca="1" si="2"/>
        <v>-3393861.5344869271</v>
      </c>
      <c r="R12" s="1">
        <f t="shared" ca="1" si="2"/>
        <v>-3416483.578474924</v>
      </c>
      <c r="S12" s="1">
        <f t="shared" ca="1" si="2"/>
        <v>-3401586.2938589863</v>
      </c>
      <c r="T12" s="1">
        <f t="shared" ca="1" si="2"/>
        <v>-3681627.3968321644</v>
      </c>
      <c r="U12" s="1">
        <f t="shared" ca="1" si="2"/>
        <v>-3962565.4063833803</v>
      </c>
      <c r="V12" s="1">
        <f t="shared" ca="1" si="2"/>
        <v>-4243008.0095547065</v>
      </c>
      <c r="W12" s="1">
        <f t="shared" ca="1" si="2"/>
        <v>-4521401.5344169214</v>
      </c>
      <c r="X12" s="1">
        <f t="shared" ca="1" si="2"/>
        <v>-4796018.0751351528</v>
      </c>
      <c r="Y12" s="1">
        <f t="shared" ca="1" si="2"/>
        <v>-5064941.7458053306</v>
      </c>
      <c r="Z12" s="1">
        <f t="shared" ca="1" si="2"/>
        <v>-5326054.0093725771</v>
      </c>
      <c r="AA12" s="1">
        <f t="shared" ca="1" si="2"/>
        <v>-5577018.0248246938</v>
      </c>
      <c r="AB12" s="1">
        <f t="shared" ca="1" si="2"/>
        <v>-5815261.9525633231</v>
      </c>
      <c r="AC12" s="1">
        <f t="shared" ca="1" si="2"/>
        <v>-6037961.1543795764</v>
      </c>
      <c r="AD12" s="1">
        <f t="shared" ca="1" si="2"/>
        <v>-7782256.6745883822</v>
      </c>
      <c r="AE12" s="1">
        <f t="shared" ca="1" si="2"/>
        <v>-9671283.293502003</v>
      </c>
      <c r="AF12" s="1">
        <f t="shared" ca="1" si="2"/>
        <v>-11713677.733737178</v>
      </c>
      <c r="AG12" s="1"/>
      <c r="AH12" s="1"/>
      <c r="AI12" s="1"/>
      <c r="AJ12" s="1"/>
      <c r="AK12" s="1"/>
      <c r="AL12" s="1"/>
      <c r="AM12" s="1"/>
      <c r="AN12" s="1"/>
      <c r="AO12" s="1"/>
      <c r="AP12" s="1"/>
    </row>
    <row r="13" spans="1:42" x14ac:dyDescent="0.35">
      <c r="A13" t="s">
        <v>19</v>
      </c>
      <c r="C13" s="1">
        <f ca="1">C12</f>
        <v>-9351144.3300408516</v>
      </c>
      <c r="D13" s="1">
        <f ca="1">D12</f>
        <v>-8674458.8424378373</v>
      </c>
      <c r="E13" s="1">
        <f ca="1">E12</f>
        <v>-7621036.4385437015</v>
      </c>
      <c r="F13" s="1">
        <f t="shared" ref="F13:AF13" ca="1" si="3">F12</f>
        <v>-6040976.5056626089</v>
      </c>
      <c r="G13" s="1">
        <f ca="1">G12</f>
        <v>-4551797.0469387583</v>
      </c>
      <c r="H13" s="1">
        <f t="shared" ca="1" si="3"/>
        <v>-4171503.7139976881</v>
      </c>
      <c r="I13" s="1">
        <f t="shared" ca="1" si="3"/>
        <v>-3624760.8965865411</v>
      </c>
      <c r="J13" s="1">
        <f t="shared" ca="1" si="3"/>
        <v>-3233342.2520060688</v>
      </c>
      <c r="K13" s="1">
        <f t="shared" ca="1" si="3"/>
        <v>-3089800.1052942537</v>
      </c>
      <c r="L13" s="1">
        <f t="shared" ca="1" si="3"/>
        <v>-2871798.9973493163</v>
      </c>
      <c r="M13" s="1">
        <f t="shared" ca="1" si="3"/>
        <v>-3018000.1328295525</v>
      </c>
      <c r="N13" s="1">
        <f t="shared" ca="1" si="3"/>
        <v>-3146774.5791783817</v>
      </c>
      <c r="O13" s="1">
        <f t="shared" ca="1" si="3"/>
        <v>-3254823.4389324766</v>
      </c>
      <c r="P13" s="1">
        <f t="shared" ca="1" si="3"/>
        <v>-3338515.7065785415</v>
      </c>
      <c r="Q13" s="1">
        <f t="shared" ca="1" si="3"/>
        <v>-3393861.5344869271</v>
      </c>
      <c r="R13" s="1">
        <f t="shared" ca="1" si="3"/>
        <v>-3416483.578474924</v>
      </c>
      <c r="S13" s="1">
        <f t="shared" ca="1" si="3"/>
        <v>-3401586.2938589863</v>
      </c>
      <c r="T13" s="1">
        <f t="shared" ca="1" si="3"/>
        <v>-3681627.3968321644</v>
      </c>
      <c r="U13" s="1">
        <f t="shared" ca="1" si="3"/>
        <v>-3962565.4063833803</v>
      </c>
      <c r="V13" s="1">
        <f t="shared" ca="1" si="3"/>
        <v>-4243008.0095547065</v>
      </c>
      <c r="W13" s="1">
        <f t="shared" ca="1" si="3"/>
        <v>-4521401.5344169214</v>
      </c>
      <c r="X13" s="1">
        <f t="shared" ca="1" si="3"/>
        <v>-4796018.0751351528</v>
      </c>
      <c r="Y13" s="1">
        <f t="shared" ca="1" si="3"/>
        <v>-5064941.7458053306</v>
      </c>
      <c r="Z13" s="1">
        <f t="shared" ca="1" si="3"/>
        <v>-5326054.0093725771</v>
      </c>
      <c r="AA13" s="1">
        <f t="shared" ca="1" si="3"/>
        <v>-5577018.0248246938</v>
      </c>
      <c r="AB13" s="1">
        <f t="shared" ca="1" si="3"/>
        <v>-5815261.9525633231</v>
      </c>
      <c r="AC13" s="1">
        <f t="shared" ca="1" si="3"/>
        <v>-6037961.1543795764</v>
      </c>
      <c r="AD13" s="1">
        <f t="shared" ca="1" si="3"/>
        <v>-7782256.6745883822</v>
      </c>
      <c r="AE13" s="1">
        <f t="shared" ca="1" si="3"/>
        <v>-9671283.293502003</v>
      </c>
      <c r="AF13" s="1">
        <f t="shared" ca="1" si="3"/>
        <v>-11713677.733737178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62225000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31112500</v>
      </c>
      <c r="D7" s="9">
        <f>C12</f>
        <v>32247733.278489422</v>
      </c>
      <c r="E7" s="9">
        <f>D12</f>
        <v>33657859.397890501</v>
      </c>
      <c r="F7" s="9">
        <f t="shared" ref="F7:H7" si="1">E12</f>
        <v>35359309.02114442</v>
      </c>
      <c r="G7" s="9">
        <f t="shared" si="1"/>
        <v>37369282.88335149</v>
      </c>
      <c r="H7" s="9">
        <f t="shared" si="1"/>
        <v>39705784.251390494</v>
      </c>
      <c r="I7" s="9">
        <f t="shared" ref="I7" si="2">H12</f>
        <v>42387652.672399782</v>
      </c>
      <c r="J7" s="9">
        <f t="shared" ref="J7" si="3">I12</f>
        <v>45434599.060368575</v>
      </c>
      <c r="K7" s="9">
        <f t="shared" ref="K7" si="4">J12</f>
        <v>48867242.171919182</v>
      </c>
      <c r="L7" s="9">
        <f t="shared" ref="L7" si="5">K12</f>
        <v>52707146.524259537</v>
      </c>
      <c r="M7" s="9">
        <f t="shared" ref="M7" si="6">L12</f>
        <v>56976861.810253978</v>
      </c>
      <c r="N7" s="9">
        <f t="shared" ref="N7" si="7">M12</f>
        <v>61699963.867599554</v>
      </c>
      <c r="O7" s="9">
        <f t="shared" ref="O7" si="8">N12</f>
        <v>66901097.26120989</v>
      </c>
      <c r="P7" s="9">
        <f t="shared" ref="P7" si="9">O12</f>
        <v>72606019.540099204</v>
      </c>
      <c r="Q7" s="9">
        <f t="shared" ref="Q7" si="10">P12</f>
        <v>78841647.232330292</v>
      </c>
      <c r="R7" s="9">
        <f t="shared" ref="R7" si="11">Q12</f>
        <v>85636103.643943444</v>
      </c>
      <c r="S7" s="9">
        <f t="shared" ref="S7" si="12">R12</f>
        <v>93018768.530222267</v>
      </c>
      <c r="T7" s="9">
        <f t="shared" ref="T7" si="13">S12</f>
        <v>101020329.71017988</v>
      </c>
      <c r="U7" s="9">
        <f t="shared" ref="U7" si="14">T12</f>
        <v>109672836.69776817</v>
      </c>
      <c r="V7" s="9">
        <f t="shared" ref="V7" si="15">U12</f>
        <v>119009756.42602722</v>
      </c>
      <c r="W7" s="9">
        <f t="shared" ref="W7" si="16">V12</f>
        <v>129066031.14320469</v>
      </c>
      <c r="X7" s="9">
        <f t="shared" ref="X7" si="17">W12</f>
        <v>139878138.56278959</v>
      </c>
      <c r="Y7" s="9">
        <f t="shared" ref="Y7" si="18">X12</f>
        <v>151484154.35242563</v>
      </c>
      <c r="Z7" s="9">
        <f t="shared" ref="Z7" si="19">Y12</f>
        <v>163923817.04979843</v>
      </c>
      <c r="AA7" s="9">
        <f t="shared" ref="AA7" si="20">Z12</f>
        <v>177238595.49683452</v>
      </c>
      <c r="AB7" s="9">
        <f t="shared" ref="AB7" si="21">AA12</f>
        <v>191471758.88691026</v>
      </c>
      <c r="AC7" s="9">
        <f t="shared" ref="AC7" si="22">AB12</f>
        <v>206668449.52325043</v>
      </c>
      <c r="AD7" s="9">
        <f t="shared" ref="AD7" si="23">AC12</f>
        <v>222875758.39030451</v>
      </c>
      <c r="AE7" s="9">
        <f t="shared" ref="AE7" si="24">AD12</f>
        <v>240142803.6436266</v>
      </c>
      <c r="AF7" s="9">
        <f t="shared" ref="AF7" si="25">AE12</f>
        <v>258520812.12765795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904065.2784894217</v>
      </c>
      <c r="D8" s="9">
        <f>Assumptions!E111*Assumptions!E11</f>
        <v>932995.36740108312</v>
      </c>
      <c r="E8" s="9">
        <f>Assumptions!F111*Assumptions!F11</f>
        <v>962851.21915791766</v>
      </c>
      <c r="F8" s="9">
        <f>Assumptions!G111*Assumptions!G11</f>
        <v>993662.45817097113</v>
      </c>
      <c r="G8" s="9">
        <f>Assumptions!H111*Assumptions!H11</f>
        <v>1025459.6568324423</v>
      </c>
      <c r="H8" s="9">
        <f>Assumptions!I111*Assumptions!I11</f>
        <v>1058274.3658510803</v>
      </c>
      <c r="I8" s="9">
        <f>Assumptions!J111*Assumptions!J11</f>
        <v>1092139.1455583146</v>
      </c>
      <c r="J8" s="9">
        <f>Assumptions!K111*Assumptions!K11</f>
        <v>1127087.5982161809</v>
      </c>
      <c r="K8" s="9">
        <f>Assumptions!L111*Assumptions!L11</f>
        <v>1163154.4013590987</v>
      </c>
      <c r="L8" s="9">
        <f>Assumptions!M111*Assumptions!M11</f>
        <v>1200375.3422025898</v>
      </c>
      <c r="M8" s="9">
        <f>Assumptions!N111*Assumptions!N11</f>
        <v>1238787.3531530728</v>
      </c>
      <c r="N8" s="9">
        <f>Assumptions!O111*Assumptions!O11</f>
        <v>1278428.548453971</v>
      </c>
      <c r="O8" s="9">
        <f>Assumptions!P111*Assumptions!P11</f>
        <v>1319338.2620044982</v>
      </c>
      <c r="P8" s="9">
        <f>Assumptions!Q111*Assumptions!Q11</f>
        <v>1361557.086388642</v>
      </c>
      <c r="Q8" s="9">
        <f>Assumptions!R111*Assumptions!R11</f>
        <v>1405126.9131530782</v>
      </c>
      <c r="R8" s="9">
        <f>Assumptions!S111*Assumptions!S11</f>
        <v>1450090.9743739772</v>
      </c>
      <c r="S8" s="9">
        <f>Assumptions!T111*Assumptions!T11</f>
        <v>1496493.8855539444</v>
      </c>
      <c r="T8" s="9">
        <f>Assumptions!U111*Assumptions!U11</f>
        <v>1544381.6898916706</v>
      </c>
      <c r="U8" s="9">
        <f>Assumptions!V111*Assumptions!V11</f>
        <v>1593801.9039682038</v>
      </c>
      <c r="V8" s="9">
        <f>Assumptions!W111*Assumptions!W11</f>
        <v>1644803.5648951866</v>
      </c>
      <c r="W8" s="9">
        <f>Assumptions!X111*Assumptions!X11</f>
        <v>1697437.2789718327</v>
      </c>
      <c r="X8" s="9">
        <f>Assumptions!Y111*Assumptions!Y11</f>
        <v>1751755.2718989311</v>
      </c>
      <c r="Y8" s="9">
        <f>Assumptions!Z111*Assumptions!Z11</f>
        <v>1807811.4405996967</v>
      </c>
      <c r="Z8" s="9">
        <f>Assumptions!AA111*Assumptions!AA11</f>
        <v>1865661.406698887</v>
      </c>
      <c r="AA8" s="9">
        <f>Assumptions!AB111*Assumptions!AB11</f>
        <v>1925362.5717132518</v>
      </c>
      <c r="AB8" s="9">
        <f>Assumptions!AC111*Assumptions!AC11</f>
        <v>1986974.1740080756</v>
      </c>
      <c r="AC8" s="9">
        <f>Assumptions!AD111*Assumptions!AD11</f>
        <v>2050557.3475763337</v>
      </c>
      <c r="AD8" s="9">
        <f>Assumptions!AE111*Assumptions!AE11</f>
        <v>2116175.1826987769</v>
      </c>
      <c r="AE8" s="9">
        <f>Assumptions!AF111*Assumptions!AF11</f>
        <v>2183892.7885451377</v>
      </c>
      <c r="AF8" s="9">
        <f>Assumptions!AG111*Assumptions!AG11</f>
        <v>2253777.3577785818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231168</v>
      </c>
      <c r="D9" s="9">
        <f>Assumptions!E120*Assumptions!E11</f>
        <v>477130.75199999998</v>
      </c>
      <c r="E9" s="9">
        <f>Assumptions!F120*Assumptions!F11</f>
        <v>738598.4040959999</v>
      </c>
      <c r="F9" s="9">
        <f>Assumptions!G120*Assumptions!G11</f>
        <v>1016311.4040360959</v>
      </c>
      <c r="G9" s="9">
        <f>Assumptions!H120*Assumptions!H11</f>
        <v>1311041.7112065642</v>
      </c>
      <c r="H9" s="9">
        <f>Assumptions!I120*Assumptions!I11</f>
        <v>1623594.0551582086</v>
      </c>
      <c r="I9" s="9">
        <f>Assumptions!J120*Assumptions!J11</f>
        <v>1954807.2424104833</v>
      </c>
      <c r="J9" s="9">
        <f>Assumptions!K120*Assumptions!K11</f>
        <v>2305555.513334421</v>
      </c>
      <c r="K9" s="9">
        <f>Assumptions!L120*Assumptions!L11</f>
        <v>2676749.9509812631</v>
      </c>
      <c r="L9" s="9">
        <f>Assumptions!M120*Assumptions!M11</f>
        <v>3069339.9437918481</v>
      </c>
      <c r="M9" s="9">
        <f>Assumptions!N120*Assumptions!N11</f>
        <v>3484314.7041925052</v>
      </c>
      <c r="N9" s="9">
        <f>Assumptions!O120*Assumptions!O11</f>
        <v>3922704.8451563623</v>
      </c>
      <c r="O9" s="9">
        <f>Assumptions!P120*Assumptions!P11</f>
        <v>4385584.0168848131</v>
      </c>
      <c r="P9" s="9">
        <f>Assumptions!Q120*Assumptions!Q11</f>
        <v>4874070.6058424441</v>
      </c>
      <c r="Q9" s="9">
        <f>Assumptions!R120*Assumptions!R11</f>
        <v>5389329.498460073</v>
      </c>
      <c r="R9" s="9">
        <f>Assumptions!S120*Assumptions!S11</f>
        <v>5932573.9119048491</v>
      </c>
      <c r="S9" s="9">
        <f>Assumptions!T120*Assumptions!T11</f>
        <v>6505067.2944036685</v>
      </c>
      <c r="T9" s="9">
        <f>Assumptions!U120*Assumptions!U11</f>
        <v>7108125.2976966202</v>
      </c>
      <c r="U9" s="9">
        <f>Assumptions!V120*Assumptions!V11</f>
        <v>7743117.8242908511</v>
      </c>
      <c r="V9" s="9">
        <f>Assumptions!W120*Assumptions!W11</f>
        <v>8411471.1522822753</v>
      </c>
      <c r="W9" s="9">
        <f>Assumptions!X120*Assumptions!X11</f>
        <v>9114670.1406130735</v>
      </c>
      <c r="X9" s="9">
        <f>Assumptions!Y120*Assumptions!Y11</f>
        <v>9854260.5177371055</v>
      </c>
      <c r="Y9" s="9">
        <f>Assumptions!Z120*Assumptions!Z11</f>
        <v>10631851.256773086</v>
      </c>
      <c r="Z9" s="9">
        <f>Assumptions!AA120*Assumptions!AA11</f>
        <v>11449117.040337209</v>
      </c>
      <c r="AA9" s="9">
        <f>Assumptions!AB120*Assumptions!AB11</f>
        <v>12307800.818362504</v>
      </c>
      <c r="AB9" s="9">
        <f>Assumptions!AC120*Assumptions!AC11</f>
        <v>13209716.462332103</v>
      </c>
      <c r="AC9" s="9">
        <f>Assumptions!AD120*Assumptions!AD11</f>
        <v>14156751.51947776</v>
      </c>
      <c r="AD9" s="9">
        <f>Assumptions!AE120*Assumptions!AE11</f>
        <v>15150870.070623314</v>
      </c>
      <c r="AE9" s="9">
        <f>Assumptions!AF120*Assumptions!AF11</f>
        <v>16194115.695486229</v>
      </c>
      <c r="AF9" s="9">
        <f>Assumptions!AG120*Assumptions!AG11</f>
        <v>17288614.549388055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1135233.2784894216</v>
      </c>
      <c r="D10" s="9">
        <f>SUM($C$8:D9)</f>
        <v>2545359.3978905049</v>
      </c>
      <c r="E10" s="9">
        <f>SUM($C$8:E9)</f>
        <v>4246809.0211444218</v>
      </c>
      <c r="F10" s="9">
        <f>SUM($C$8:F9)</f>
        <v>6256782.8833514899</v>
      </c>
      <c r="G10" s="9">
        <f>SUM($C$8:G9)</f>
        <v>8593284.2513904963</v>
      </c>
      <c r="H10" s="9">
        <f>SUM($C$8:H9)</f>
        <v>11275152.672399785</v>
      </c>
      <c r="I10" s="9">
        <f>SUM($C$8:I9)</f>
        <v>14322099.060368583</v>
      </c>
      <c r="J10" s="9">
        <f>SUM($C$8:J9)</f>
        <v>17754742.171919182</v>
      </c>
      <c r="K10" s="9">
        <f>SUM($C$8:K9)</f>
        <v>21594646.524259545</v>
      </c>
      <c r="L10" s="9">
        <f>SUM($C$8:L9)</f>
        <v>25864361.810253985</v>
      </c>
      <c r="M10" s="9">
        <f>SUM($C$8:M9)</f>
        <v>30587463.867599562</v>
      </c>
      <c r="N10" s="9">
        <f>SUM($C$8:N9)</f>
        <v>35788597.261209898</v>
      </c>
      <c r="O10" s="9">
        <f>SUM($C$8:O9)</f>
        <v>41493519.540099204</v>
      </c>
      <c r="P10" s="9">
        <f>SUM($C$8:P9)</f>
        <v>47729147.232330292</v>
      </c>
      <c r="Q10" s="9">
        <f>SUM($C$8:Q9)</f>
        <v>54523603.643943444</v>
      </c>
      <c r="R10" s="9">
        <f>SUM($C$8:R9)</f>
        <v>61906268.530222274</v>
      </c>
      <c r="S10" s="9">
        <f>SUM($C$8:S9)</f>
        <v>69907829.71017988</v>
      </c>
      <c r="T10" s="9">
        <f>SUM($C$8:T9)</f>
        <v>78560336.697768167</v>
      </c>
      <c r="U10" s="9">
        <f>SUM($C$8:U9)</f>
        <v>87897256.426027223</v>
      </c>
      <c r="V10" s="9">
        <f>SUM($C$8:V9)</f>
        <v>97953531.143204719</v>
      </c>
      <c r="W10" s="9">
        <f>SUM($C$8:W9)</f>
        <v>108765638.56278962</v>
      </c>
      <c r="X10" s="9">
        <f>SUM($C$8:X9)</f>
        <v>120371654.35242565</v>
      </c>
      <c r="Y10" s="9">
        <f>SUM($C$8:Y9)</f>
        <v>132811317.04979844</v>
      </c>
      <c r="Z10" s="9">
        <f>SUM($C$8:Z9)</f>
        <v>146126095.49683455</v>
      </c>
      <c r="AA10" s="9">
        <f>SUM($C$8:AA9)</f>
        <v>160359258.88691029</v>
      </c>
      <c r="AB10" s="9">
        <f>SUM($C$8:AB9)</f>
        <v>175555949.52325046</v>
      </c>
      <c r="AC10" s="9">
        <f>SUM($C$8:AC9)</f>
        <v>191763258.39030457</v>
      </c>
      <c r="AD10" s="9">
        <f>SUM($C$8:AD9)</f>
        <v>209030303.64362663</v>
      </c>
      <c r="AE10" s="9">
        <f>SUM($C$8:AE9)</f>
        <v>227408312.12765801</v>
      </c>
      <c r="AF10" s="9">
        <f>SUM($C$8:AF9)</f>
        <v>246950704.03482461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32247733.278489422</v>
      </c>
      <c r="D12" s="9">
        <f>D7+D8+D9</f>
        <v>33657859.397890501</v>
      </c>
      <c r="E12" s="9">
        <f>E7+E8+E9</f>
        <v>35359309.02114442</v>
      </c>
      <c r="F12" s="9">
        <f t="shared" ref="F12:H12" si="26">F7+F8+F9</f>
        <v>37369282.88335149</v>
      </c>
      <c r="G12" s="9">
        <f t="shared" si="26"/>
        <v>39705784.251390494</v>
      </c>
      <c r="H12" s="9">
        <f t="shared" si="26"/>
        <v>42387652.672399782</v>
      </c>
      <c r="I12" s="9">
        <f t="shared" ref="I12:AF12" si="27">I7+I8+I9</f>
        <v>45434599.060368575</v>
      </c>
      <c r="J12" s="9">
        <f t="shared" si="27"/>
        <v>48867242.171919182</v>
      </c>
      <c r="K12" s="9">
        <f t="shared" si="27"/>
        <v>52707146.524259537</v>
      </c>
      <c r="L12" s="9">
        <f t="shared" si="27"/>
        <v>56976861.810253978</v>
      </c>
      <c r="M12" s="9">
        <f t="shared" si="27"/>
        <v>61699963.867599554</v>
      </c>
      <c r="N12" s="9">
        <f t="shared" si="27"/>
        <v>66901097.26120989</v>
      </c>
      <c r="O12" s="9">
        <f t="shared" si="27"/>
        <v>72606019.540099204</v>
      </c>
      <c r="P12" s="9">
        <f t="shared" si="27"/>
        <v>78841647.232330292</v>
      </c>
      <c r="Q12" s="9">
        <f t="shared" si="27"/>
        <v>85636103.643943444</v>
      </c>
      <c r="R12" s="9">
        <f t="shared" si="27"/>
        <v>93018768.530222267</v>
      </c>
      <c r="S12" s="9">
        <f t="shared" si="27"/>
        <v>101020329.71017988</v>
      </c>
      <c r="T12" s="9">
        <f t="shared" si="27"/>
        <v>109672836.69776817</v>
      </c>
      <c r="U12" s="9">
        <f t="shared" si="27"/>
        <v>119009756.42602722</v>
      </c>
      <c r="V12" s="9">
        <f t="shared" si="27"/>
        <v>129066031.14320469</v>
      </c>
      <c r="W12" s="9">
        <f t="shared" si="27"/>
        <v>139878138.56278959</v>
      </c>
      <c r="X12" s="9">
        <f t="shared" si="27"/>
        <v>151484154.35242563</v>
      </c>
      <c r="Y12" s="9">
        <f t="shared" si="27"/>
        <v>163923817.04979843</v>
      </c>
      <c r="Z12" s="9">
        <f t="shared" si="27"/>
        <v>177238595.49683452</v>
      </c>
      <c r="AA12" s="9">
        <f t="shared" si="27"/>
        <v>191471758.88691026</v>
      </c>
      <c r="AB12" s="9">
        <f t="shared" si="27"/>
        <v>206668449.52325043</v>
      </c>
      <c r="AC12" s="9">
        <f t="shared" si="27"/>
        <v>222875758.39030451</v>
      </c>
      <c r="AD12" s="9">
        <f t="shared" si="27"/>
        <v>240142803.6436266</v>
      </c>
      <c r="AE12" s="9">
        <f t="shared" si="27"/>
        <v>258520812.12765795</v>
      </c>
      <c r="AF12" s="9">
        <f t="shared" si="27"/>
        <v>278063204.03482461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10767233.278489422</v>
      </c>
      <c r="D18" s="9">
        <f>Investment!D25</f>
        <v>11350350.119401084</v>
      </c>
      <c r="E18" s="9">
        <f>Investment!E25</f>
        <v>11959760.791253917</v>
      </c>
      <c r="F18" s="9">
        <f>Investment!F25</f>
        <v>12596550.987583065</v>
      </c>
      <c r="G18" s="9">
        <f>Investment!G25</f>
        <v>13261848.96142704</v>
      </c>
      <c r="H18" s="9">
        <f>Investment!H25</f>
        <v>13956827.137385737</v>
      </c>
      <c r="I18" s="9">
        <f>Investment!I25</f>
        <v>14682703.78326929</v>
      </c>
      <c r="J18" s="9">
        <f>Investment!J25</f>
        <v>15440744.743500713</v>
      </c>
      <c r="K18" s="9">
        <f>Investment!K25</f>
        <v>16232265.236512877</v>
      </c>
      <c r="L18" s="9">
        <f>Investment!L25</f>
        <v>17058631.71846047</v>
      </c>
      <c r="M18" s="9">
        <f>Investment!M25</f>
        <v>17921263.815650526</v>
      </c>
      <c r="N18" s="9">
        <f>Investment!N25</f>
        <v>18821636.32818104</v>
      </c>
      <c r="O18" s="9">
        <f>Investment!O25</f>
        <v>19761281.307366282</v>
      </c>
      <c r="P18" s="9">
        <f>Investment!P25</f>
        <v>20741790.209619317</v>
      </c>
      <c r="Q18" s="9">
        <f>Investment!Q25</f>
        <v>21764816.129557803</v>
      </c>
      <c r="R18" s="9">
        <f>Investment!R25</f>
        <v>22832076.115197711</v>
      </c>
      <c r="S18" s="9">
        <f>Investment!S25</f>
        <v>23945353.568201903</v>
      </c>
      <c r="T18" s="9">
        <f>Investment!T25</f>
        <v>25106500.732256394</v>
      </c>
      <c r="U18" s="9">
        <f>Investment!U25</f>
        <v>26317441.272756539</v>
      </c>
      <c r="V18" s="9">
        <f>Investment!V25</f>
        <v>27580172.951098867</v>
      </c>
      <c r="W18" s="9">
        <f>Investment!W25</f>
        <v>28896770.396991797</v>
      </c>
      <c r="X18" s="9">
        <f>Investment!X25</f>
        <v>30269387.982319947</v>
      </c>
      <c r="Y18" s="9">
        <f>Investment!Y25</f>
        <v>31700262.800222568</v>
      </c>
      <c r="Z18" s="9">
        <f>Investment!Z25</f>
        <v>33191717.75317708</v>
      </c>
      <c r="AA18" s="9">
        <f>Investment!AA25</f>
        <v>34746164.754013255</v>
      </c>
      <c r="AB18" s="9">
        <f>Investment!AB25</f>
        <v>36366108.043923676</v>
      </c>
      <c r="AC18" s="9">
        <f>Investment!AC25</f>
        <v>38054147.631680265</v>
      </c>
      <c r="AD18" s="9">
        <f>Investment!AD25</f>
        <v>39812982.858416304</v>
      </c>
      <c r="AE18" s="9">
        <f>Investment!AE25</f>
        <v>41645416.092488587</v>
      </c>
      <c r="AF18" s="9">
        <f>Investment!AF25</f>
        <v>43554356.559094489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41879733.278489426</v>
      </c>
      <c r="D19" s="9">
        <f>D18+C20</f>
        <v>52094850.11940109</v>
      </c>
      <c r="E19" s="9">
        <f>E18+D20</f>
        <v>62644484.791253924</v>
      </c>
      <c r="F19" s="9">
        <f t="shared" ref="F19:AF19" si="28">F18+E20</f>
        <v>73539586.155583069</v>
      </c>
      <c r="G19" s="9">
        <f t="shared" si="28"/>
        <v>84791461.254803061</v>
      </c>
      <c r="H19" s="9">
        <f t="shared" si="28"/>
        <v>96411787.02414979</v>
      </c>
      <c r="I19" s="9">
        <f t="shared" si="28"/>
        <v>108412622.38640979</v>
      </c>
      <c r="J19" s="9">
        <f t="shared" si="28"/>
        <v>120806420.74194171</v>
      </c>
      <c r="K19" s="9">
        <f t="shared" si="28"/>
        <v>133606042.86690399</v>
      </c>
      <c r="L19" s="9">
        <f t="shared" si="28"/>
        <v>146824770.23302412</v>
      </c>
      <c r="M19" s="9">
        <f t="shared" si="28"/>
        <v>160476318.7626802</v>
      </c>
      <c r="N19" s="9">
        <f t="shared" si="28"/>
        <v>174574853.03351563</v>
      </c>
      <c r="O19" s="9">
        <f t="shared" si="28"/>
        <v>189135000.94727159</v>
      </c>
      <c r="P19" s="9">
        <f t="shared" si="28"/>
        <v>204171868.8780016</v>
      </c>
      <c r="Q19" s="9">
        <f t="shared" si="28"/>
        <v>219701057.3153283</v>
      </c>
      <c r="R19" s="9">
        <f t="shared" si="28"/>
        <v>235738677.01891285</v>
      </c>
      <c r="S19" s="9">
        <f t="shared" si="28"/>
        <v>252301365.70083594</v>
      </c>
      <c r="T19" s="9">
        <f t="shared" si="28"/>
        <v>269406305.25313473</v>
      </c>
      <c r="U19" s="9">
        <f t="shared" si="28"/>
        <v>287071239.53830296</v>
      </c>
      <c r="V19" s="9">
        <f t="shared" si="28"/>
        <v>305314492.76114273</v>
      </c>
      <c r="W19" s="9">
        <f t="shared" si="28"/>
        <v>324154988.44095701</v>
      </c>
      <c r="X19" s="9">
        <f t="shared" si="28"/>
        <v>343612269.00369203</v>
      </c>
      <c r="Y19" s="9">
        <f t="shared" si="28"/>
        <v>363706516.01427859</v>
      </c>
      <c r="Z19" s="9">
        <f t="shared" si="28"/>
        <v>384458571.0700829</v>
      </c>
      <c r="AA19" s="9">
        <f t="shared" si="28"/>
        <v>405889957.37706006</v>
      </c>
      <c r="AB19" s="9">
        <f t="shared" si="28"/>
        <v>428022902.03090793</v>
      </c>
      <c r="AC19" s="9">
        <f t="shared" si="28"/>
        <v>450880359.02624798</v>
      </c>
      <c r="AD19" s="9">
        <f t="shared" si="28"/>
        <v>474486033.01761019</v>
      </c>
      <c r="AE19" s="9">
        <f t="shared" si="28"/>
        <v>498864403.85677665</v>
      </c>
      <c r="AF19" s="9">
        <f t="shared" si="28"/>
        <v>524040751.93183976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40744500.000000007</v>
      </c>
      <c r="D20" s="9">
        <f>D19-D8-D9</f>
        <v>50684724.000000007</v>
      </c>
      <c r="E20" s="9">
        <f t="shared" ref="E20:AF20" si="29">E19-E8-E9</f>
        <v>60943035.168000005</v>
      </c>
      <c r="F20" s="9">
        <f t="shared" si="29"/>
        <v>71529612.293376014</v>
      </c>
      <c r="G20" s="9">
        <f t="shared" si="29"/>
        <v>82454959.88676405</v>
      </c>
      <c r="H20" s="9">
        <f t="shared" si="29"/>
        <v>93729918.603140503</v>
      </c>
      <c r="I20" s="9">
        <f t="shared" si="29"/>
        <v>105365675.998441</v>
      </c>
      <c r="J20" s="9">
        <f t="shared" si="29"/>
        <v>117373777.63039111</v>
      </c>
      <c r="K20" s="9">
        <f t="shared" si="29"/>
        <v>129766138.51456363</v>
      </c>
      <c r="L20" s="9">
        <f t="shared" si="29"/>
        <v>142555054.94702968</v>
      </c>
      <c r="M20" s="9">
        <f t="shared" si="29"/>
        <v>155753216.7053346</v>
      </c>
      <c r="N20" s="9">
        <f t="shared" si="29"/>
        <v>169373719.6399053</v>
      </c>
      <c r="O20" s="9">
        <f t="shared" si="29"/>
        <v>183430078.66838229</v>
      </c>
      <c r="P20" s="9">
        <f t="shared" si="29"/>
        <v>197936241.18577051</v>
      </c>
      <c r="Q20" s="9">
        <f t="shared" si="29"/>
        <v>212906600.90371513</v>
      </c>
      <c r="R20" s="9">
        <f t="shared" si="29"/>
        <v>228356012.13263404</v>
      </c>
      <c r="S20" s="9">
        <f t="shared" si="29"/>
        <v>244299804.52087831</v>
      </c>
      <c r="T20" s="9">
        <f t="shared" si="29"/>
        <v>260753798.26554644</v>
      </c>
      <c r="U20" s="9">
        <f t="shared" si="29"/>
        <v>277734319.81004387</v>
      </c>
      <c r="V20" s="9">
        <f t="shared" si="29"/>
        <v>295258218.04396522</v>
      </c>
      <c r="W20" s="9">
        <f t="shared" si="29"/>
        <v>313342881.02137208</v>
      </c>
      <c r="X20" s="9">
        <f t="shared" si="29"/>
        <v>332006253.21405602</v>
      </c>
      <c r="Y20" s="9">
        <f t="shared" si="29"/>
        <v>351266853.3169058</v>
      </c>
      <c r="Z20" s="9">
        <f t="shared" si="29"/>
        <v>371143792.62304682</v>
      </c>
      <c r="AA20" s="9">
        <f t="shared" si="29"/>
        <v>391656793.98698425</v>
      </c>
      <c r="AB20" s="9">
        <f t="shared" si="29"/>
        <v>412826211.39456773</v>
      </c>
      <c r="AC20" s="9">
        <f t="shared" si="29"/>
        <v>434673050.15919387</v>
      </c>
      <c r="AD20" s="9">
        <f t="shared" si="29"/>
        <v>457218987.76428807</v>
      </c>
      <c r="AE20" s="9">
        <f t="shared" si="29"/>
        <v>480486395.37274528</v>
      </c>
      <c r="AF20" s="9">
        <f t="shared" si="29"/>
        <v>504498360.0246731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1441000</v>
      </c>
      <c r="D22" s="9">
        <f ca="1">'Balance Sheet'!C11</f>
        <v>10792144.330040852</v>
      </c>
      <c r="E22" s="9">
        <f ca="1">'Balance Sheet'!D11</f>
        <v>19466603.172478691</v>
      </c>
      <c r="F22" s="9">
        <f ca="1">'Balance Sheet'!E11</f>
        <v>27087639.61102239</v>
      </c>
      <c r="G22" s="9">
        <f ca="1">'Balance Sheet'!F11</f>
        <v>33128616.116684999</v>
      </c>
      <c r="H22" s="9">
        <f ca="1">'Balance Sheet'!G11</f>
        <v>37680413.163623758</v>
      </c>
      <c r="I22" s="9">
        <f ca="1">'Balance Sheet'!H11</f>
        <v>41851916.877621442</v>
      </c>
      <c r="J22" s="9">
        <f ca="1">'Balance Sheet'!I11</f>
        <v>45476677.774207979</v>
      </c>
      <c r="K22" s="9">
        <f ca="1">'Balance Sheet'!J11</f>
        <v>48710020.026214048</v>
      </c>
      <c r="L22" s="9">
        <f ca="1">'Balance Sheet'!K11</f>
        <v>51799820.131508306</v>
      </c>
      <c r="M22" s="9">
        <f ca="1">'Balance Sheet'!L11</f>
        <v>54671619.12885762</v>
      </c>
      <c r="N22" s="9">
        <f ca="1">'Balance Sheet'!M11</f>
        <v>57689619.261687174</v>
      </c>
      <c r="O22" s="9">
        <f ca="1">'Balance Sheet'!N11</f>
        <v>60836393.840865552</v>
      </c>
      <c r="P22" s="9">
        <f ca="1">'Balance Sheet'!O11</f>
        <v>64091217.279798031</v>
      </c>
      <c r="Q22" s="9">
        <f ca="1">'Balance Sheet'!P11</f>
        <v>67429732.986376569</v>
      </c>
      <c r="R22" s="9">
        <f ca="1">'Balance Sheet'!Q11</f>
        <v>70823594.520863503</v>
      </c>
      <c r="S22" s="9">
        <f ca="1">'Balance Sheet'!R11</f>
        <v>74240078.099338427</v>
      </c>
      <c r="T22" s="9">
        <f ca="1">'Balance Sheet'!S11</f>
        <v>77641664.393197417</v>
      </c>
      <c r="U22" s="9">
        <f ca="1">'Balance Sheet'!T11</f>
        <v>81323291.790029585</v>
      </c>
      <c r="V22" s="9">
        <f ca="1">'Balance Sheet'!U11</f>
        <v>85285857.196412966</v>
      </c>
      <c r="W22" s="9">
        <f ca="1">'Balance Sheet'!V11</f>
        <v>89528865.205967665</v>
      </c>
      <c r="X22" s="9">
        <f ca="1">'Balance Sheet'!W11</f>
        <v>94050266.740384579</v>
      </c>
      <c r="Y22" s="9">
        <f ca="1">'Balance Sheet'!X11</f>
        <v>98846284.815519735</v>
      </c>
      <c r="Z22" s="9">
        <f ca="1">'Balance Sheet'!Y11</f>
        <v>103911226.56132507</v>
      </c>
      <c r="AA22" s="9">
        <f ca="1">'Balance Sheet'!Z11</f>
        <v>109237280.57069765</v>
      </c>
      <c r="AB22" s="9">
        <f ca="1">'Balance Sheet'!AA11</f>
        <v>114814298.59552234</v>
      </c>
      <c r="AC22" s="9">
        <f ca="1">'Balance Sheet'!AB11</f>
        <v>120629560.54808566</v>
      </c>
      <c r="AD22" s="9">
        <f ca="1">'Balance Sheet'!AC11</f>
        <v>126667521.70246524</v>
      </c>
      <c r="AE22" s="9">
        <f ca="1">'Balance Sheet'!AD11</f>
        <v>134449778.37705362</v>
      </c>
      <c r="AF22" s="9">
        <f ca="1">'Balance Sheet'!AE11</f>
        <v>144121061.67055562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39303500.000000007</v>
      </c>
      <c r="D23" s="9">
        <f t="shared" ref="D23:AF23" ca="1" si="30">D20-D22</f>
        <v>39892579.669959158</v>
      </c>
      <c r="E23" s="9">
        <f t="shared" ca="1" si="30"/>
        <v>41476431.995521314</v>
      </c>
      <c r="F23" s="9">
        <f t="shared" ca="1" si="30"/>
        <v>44441972.682353623</v>
      </c>
      <c r="G23" s="9">
        <f t="shared" ca="1" si="30"/>
        <v>49326343.770079046</v>
      </c>
      <c r="H23" s="9">
        <f t="shared" ca="1" si="30"/>
        <v>56049505.439516746</v>
      </c>
      <c r="I23" s="9">
        <f t="shared" ca="1" si="30"/>
        <v>63513759.120819554</v>
      </c>
      <c r="J23" s="9">
        <f ca="1">J20-J22</f>
        <v>71897099.856183127</v>
      </c>
      <c r="K23" s="9">
        <f t="shared" ca="1" si="30"/>
        <v>81056118.488349587</v>
      </c>
      <c r="L23" s="9">
        <f t="shared" ca="1" si="30"/>
        <v>90755234.815521374</v>
      </c>
      <c r="M23" s="9">
        <f t="shared" ca="1" si="30"/>
        <v>101081597.57647699</v>
      </c>
      <c r="N23" s="9">
        <f t="shared" ca="1" si="30"/>
        <v>111684100.37821813</v>
      </c>
      <c r="O23" s="9">
        <f t="shared" ca="1" si="30"/>
        <v>122593684.82751673</v>
      </c>
      <c r="P23" s="9">
        <f t="shared" ca="1" si="30"/>
        <v>133845023.90597248</v>
      </c>
      <c r="Q23" s="9">
        <f t="shared" ca="1" si="30"/>
        <v>145476867.91733855</v>
      </c>
      <c r="R23" s="9">
        <f t="shared" ca="1" si="30"/>
        <v>157532417.61177054</v>
      </c>
      <c r="S23" s="9">
        <f t="shared" ca="1" si="30"/>
        <v>170059726.4215399</v>
      </c>
      <c r="T23" s="9">
        <f t="shared" ca="1" si="30"/>
        <v>183112133.87234902</v>
      </c>
      <c r="U23" s="9">
        <f t="shared" ca="1" si="30"/>
        <v>196411028.02001429</v>
      </c>
      <c r="V23" s="9">
        <f t="shared" ca="1" si="30"/>
        <v>209972360.84755224</v>
      </c>
      <c r="W23" s="9">
        <f t="shared" ca="1" si="30"/>
        <v>223814015.81540442</v>
      </c>
      <c r="X23" s="9">
        <f t="shared" ca="1" si="30"/>
        <v>237955986.47367144</v>
      </c>
      <c r="Y23" s="9">
        <f t="shared" ca="1" si="30"/>
        <v>252420568.50138605</v>
      </c>
      <c r="Z23" s="9">
        <f t="shared" ca="1" si="30"/>
        <v>267232566.06172174</v>
      </c>
      <c r="AA23" s="9">
        <f t="shared" ca="1" si="30"/>
        <v>282419513.41628659</v>
      </c>
      <c r="AB23" s="9">
        <f t="shared" ca="1" si="30"/>
        <v>298011912.79904538</v>
      </c>
      <c r="AC23" s="9">
        <f t="shared" ca="1" si="30"/>
        <v>314043489.61110818</v>
      </c>
      <c r="AD23" s="9">
        <f t="shared" ca="1" si="30"/>
        <v>330551466.06182283</v>
      </c>
      <c r="AE23" s="9">
        <f t="shared" ca="1" si="30"/>
        <v>346036616.99569166</v>
      </c>
      <c r="AF23" s="9">
        <f t="shared" ca="1" si="30"/>
        <v>360377298.35411751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1441000</v>
      </c>
      <c r="D5" s="1">
        <f ca="1">C5+C6</f>
        <v>10792144.330040852</v>
      </c>
      <c r="E5" s="1">
        <f t="shared" ref="E5:AF5" ca="1" si="1">D5+D6</f>
        <v>19466603.172478691</v>
      </c>
      <c r="F5" s="1">
        <f t="shared" ca="1" si="1"/>
        <v>27087639.61102239</v>
      </c>
      <c r="G5" s="1">
        <f t="shared" ca="1" si="1"/>
        <v>33128616.116684999</v>
      </c>
      <c r="H5" s="1">
        <f t="shared" ca="1" si="1"/>
        <v>37680413.163623758</v>
      </c>
      <c r="I5" s="1">
        <f t="shared" ca="1" si="1"/>
        <v>41851916.877621442</v>
      </c>
      <c r="J5" s="1">
        <f t="shared" ca="1" si="1"/>
        <v>45476677.774207979</v>
      </c>
      <c r="K5" s="1">
        <f t="shared" ca="1" si="1"/>
        <v>48710020.026214048</v>
      </c>
      <c r="L5" s="1">
        <f t="shared" ca="1" si="1"/>
        <v>51799820.131508306</v>
      </c>
      <c r="M5" s="1">
        <f t="shared" ca="1" si="1"/>
        <v>54671619.12885762</v>
      </c>
      <c r="N5" s="1">
        <f t="shared" ca="1" si="1"/>
        <v>57689619.261687174</v>
      </c>
      <c r="O5" s="1">
        <f t="shared" ca="1" si="1"/>
        <v>60836393.840865552</v>
      </c>
      <c r="P5" s="1">
        <f t="shared" ca="1" si="1"/>
        <v>64091217.279798031</v>
      </c>
      <c r="Q5" s="1">
        <f t="shared" ca="1" si="1"/>
        <v>67429732.986376569</v>
      </c>
      <c r="R5" s="1">
        <f t="shared" ca="1" si="1"/>
        <v>70823594.520863503</v>
      </c>
      <c r="S5" s="1">
        <f t="shared" ca="1" si="1"/>
        <v>74240078.099338427</v>
      </c>
      <c r="T5" s="1">
        <f t="shared" ca="1" si="1"/>
        <v>77641664.393197417</v>
      </c>
      <c r="U5" s="1">
        <f t="shared" ca="1" si="1"/>
        <v>81323291.790029585</v>
      </c>
      <c r="V5" s="1">
        <f t="shared" ca="1" si="1"/>
        <v>85285857.196412966</v>
      </c>
      <c r="W5" s="1">
        <f t="shared" ca="1" si="1"/>
        <v>89528865.205967665</v>
      </c>
      <c r="X5" s="1">
        <f t="shared" ca="1" si="1"/>
        <v>94050266.740384579</v>
      </c>
      <c r="Y5" s="1">
        <f t="shared" ca="1" si="1"/>
        <v>98846284.815519735</v>
      </c>
      <c r="Z5" s="1">
        <f t="shared" ca="1" si="1"/>
        <v>103911226.56132507</v>
      </c>
      <c r="AA5" s="1">
        <f t="shared" ca="1" si="1"/>
        <v>109237280.57069765</v>
      </c>
      <c r="AB5" s="1">
        <f t="shared" ca="1" si="1"/>
        <v>114814298.59552234</v>
      </c>
      <c r="AC5" s="1">
        <f t="shared" ca="1" si="1"/>
        <v>120629560.54808566</v>
      </c>
      <c r="AD5" s="1">
        <f t="shared" ca="1" si="1"/>
        <v>126667521.70246524</v>
      </c>
      <c r="AE5" s="1">
        <f t="shared" ca="1" si="1"/>
        <v>134449778.37705362</v>
      </c>
      <c r="AF5" s="1">
        <f t="shared" ca="1" si="1"/>
        <v>144121061.67055562</v>
      </c>
      <c r="AG5" s="1"/>
      <c r="AH5" s="1"/>
      <c r="AI5" s="1"/>
      <c r="AJ5" s="1"/>
      <c r="AK5" s="1"/>
      <c r="AL5" s="1"/>
      <c r="AM5" s="1"/>
      <c r="AN5" s="1"/>
      <c r="AO5" s="1"/>
      <c r="AP5" s="1"/>
    </row>
    <row r="6" spans="1:42" x14ac:dyDescent="0.35">
      <c r="A6" s="63" t="s">
        <v>3</v>
      </c>
      <c r="C6" s="1">
        <f ca="1">-'Cash Flow'!C13</f>
        <v>9351144.3300408516</v>
      </c>
      <c r="D6" s="1">
        <f ca="1">-'Cash Flow'!D13</f>
        <v>8674458.8424378373</v>
      </c>
      <c r="E6" s="1">
        <f ca="1">-'Cash Flow'!E13</f>
        <v>7621036.4385437015</v>
      </c>
      <c r="F6" s="1">
        <f ca="1">-'Cash Flow'!F13</f>
        <v>6040976.5056626089</v>
      </c>
      <c r="G6" s="1">
        <f ca="1">-'Cash Flow'!G13</f>
        <v>4551797.0469387583</v>
      </c>
      <c r="H6" s="1">
        <f ca="1">-'Cash Flow'!H13</f>
        <v>4171503.7139976881</v>
      </c>
      <c r="I6" s="1">
        <f ca="1">-'Cash Flow'!I13</f>
        <v>3624760.8965865411</v>
      </c>
      <c r="J6" s="1">
        <f ca="1">-'Cash Flow'!J13</f>
        <v>3233342.2520060688</v>
      </c>
      <c r="K6" s="1">
        <f ca="1">-'Cash Flow'!K13</f>
        <v>3089800.1052942537</v>
      </c>
      <c r="L6" s="1">
        <f ca="1">-'Cash Flow'!L13</f>
        <v>2871798.9973493163</v>
      </c>
      <c r="M6" s="1">
        <f ca="1">-'Cash Flow'!M13</f>
        <v>3018000.1328295525</v>
      </c>
      <c r="N6" s="1">
        <f ca="1">-'Cash Flow'!N13</f>
        <v>3146774.5791783817</v>
      </c>
      <c r="O6" s="1">
        <f ca="1">-'Cash Flow'!O13</f>
        <v>3254823.4389324766</v>
      </c>
      <c r="P6" s="1">
        <f ca="1">-'Cash Flow'!P13</f>
        <v>3338515.7065785415</v>
      </c>
      <c r="Q6" s="1">
        <f ca="1">-'Cash Flow'!Q13</f>
        <v>3393861.5344869271</v>
      </c>
      <c r="R6" s="1">
        <f ca="1">-'Cash Flow'!R13</f>
        <v>3416483.578474924</v>
      </c>
      <c r="S6" s="1">
        <f ca="1">-'Cash Flow'!S13</f>
        <v>3401586.2938589863</v>
      </c>
      <c r="T6" s="1">
        <f ca="1">-'Cash Flow'!T13</f>
        <v>3681627.3968321644</v>
      </c>
      <c r="U6" s="1">
        <f ca="1">-'Cash Flow'!U13</f>
        <v>3962565.4063833803</v>
      </c>
      <c r="V6" s="1">
        <f ca="1">-'Cash Flow'!V13</f>
        <v>4243008.0095547065</v>
      </c>
      <c r="W6" s="1">
        <f ca="1">-'Cash Flow'!W13</f>
        <v>4521401.5344169214</v>
      </c>
      <c r="X6" s="1">
        <f ca="1">-'Cash Flow'!X13</f>
        <v>4796018.0751351528</v>
      </c>
      <c r="Y6" s="1">
        <f ca="1">-'Cash Flow'!Y13</f>
        <v>5064941.7458053306</v>
      </c>
      <c r="Z6" s="1">
        <f ca="1">-'Cash Flow'!Z13</f>
        <v>5326054.0093725771</v>
      </c>
      <c r="AA6" s="1">
        <f ca="1">-'Cash Flow'!AA13</f>
        <v>5577018.0248246938</v>
      </c>
      <c r="AB6" s="1">
        <f ca="1">-'Cash Flow'!AB13</f>
        <v>5815261.9525633231</v>
      </c>
      <c r="AC6" s="1">
        <f ca="1">-'Cash Flow'!AC13</f>
        <v>6037961.1543795764</v>
      </c>
      <c r="AD6" s="1">
        <f ca="1">-'Cash Flow'!AD13</f>
        <v>7782256.6745883822</v>
      </c>
      <c r="AE6" s="1">
        <f ca="1">-'Cash Flow'!AE13</f>
        <v>9671283.293502003</v>
      </c>
      <c r="AF6" s="1">
        <f ca="1">-'Cash Flow'!AF13</f>
        <v>11713677.733737178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377725.05155142985</v>
      </c>
      <c r="D8" s="1">
        <f ca="1">IF(SUM(D5:D6)&gt;0,Assumptions!$C$26*SUM(D5:D6),Assumptions!$C$27*(SUM(D5:D6)))</f>
        <v>681331.11103675421</v>
      </c>
      <c r="E8" s="1">
        <f ca="1">IF(SUM(E5:E6)&gt;0,Assumptions!$C$26*SUM(E5:E6),Assumptions!$C$27*(SUM(E5:E6)))</f>
        <v>948067.38638578379</v>
      </c>
      <c r="F8" s="1">
        <f ca="1">IF(SUM(F5:F6)&gt;0,Assumptions!$C$26*SUM(F5:F6),Assumptions!$C$27*(SUM(F5:F6)))</f>
        <v>1159501.564083975</v>
      </c>
      <c r="G8" s="1">
        <f ca="1">IF(SUM(G5:G6)&gt;0,Assumptions!$C$26*SUM(G5:G6),Assumptions!$C$27*(SUM(G5:G6)))</f>
        <v>1318814.4607268316</v>
      </c>
      <c r="H8" s="1">
        <f ca="1">IF(SUM(H5:H6)&gt;0,Assumptions!$C$26*SUM(H5:H6),Assumptions!$C$27*(SUM(H5:H6)))</f>
        <v>1464817.0907167506</v>
      </c>
      <c r="I8" s="1">
        <f ca="1">IF(SUM(I5:I6)&gt;0,Assumptions!$C$26*SUM(I5:I6),Assumptions!$C$27*(SUM(I5:I6)))</f>
        <v>1591683.7220972795</v>
      </c>
      <c r="J8" s="1">
        <f ca="1">IF(SUM(J5:J6)&gt;0,Assumptions!$C$26*SUM(J5:J6),Assumptions!$C$27*(SUM(J5:J6)))</f>
        <v>1704850.7009174919</v>
      </c>
      <c r="K8" s="1">
        <f ca="1">IF(SUM(K5:K6)&gt;0,Assumptions!$C$26*SUM(K5:K6),Assumptions!$C$27*(SUM(K5:K6)))</f>
        <v>1812993.7046027908</v>
      </c>
      <c r="L8" s="1">
        <f ca="1">IF(SUM(L5:L6)&gt;0,Assumptions!$C$26*SUM(L5:L6),Assumptions!$C$27*(SUM(L5:L6)))</f>
        <v>1913506.6695100169</v>
      </c>
      <c r="M8" s="1">
        <f ca="1">IF(SUM(M5:M6)&gt;0,Assumptions!$C$26*SUM(M5:M6),Assumptions!$C$27*(SUM(M5:M6)))</f>
        <v>2019136.6741590514</v>
      </c>
      <c r="N8" s="1">
        <f ca="1">IF(SUM(N5:N6)&gt;0,Assumptions!$C$26*SUM(N5:N6),Assumptions!$C$27*(SUM(N5:N6)))</f>
        <v>2129273.7844302948</v>
      </c>
      <c r="O8" s="1">
        <f ca="1">IF(SUM(O5:O6)&gt;0,Assumptions!$C$26*SUM(O5:O6),Assumptions!$C$27*(SUM(O5:O6)))</f>
        <v>2243192.6047929311</v>
      </c>
      <c r="P8" s="1">
        <f ca="1">IF(SUM(P5:P6)&gt;0,Assumptions!$C$26*SUM(P5:P6),Assumptions!$C$27*(SUM(P5:P6)))</f>
        <v>2360040.6545231803</v>
      </c>
      <c r="Q8" s="1">
        <f ca="1">IF(SUM(Q5:Q6)&gt;0,Assumptions!$C$26*SUM(Q5:Q6),Assumptions!$C$27*(SUM(Q5:Q6)))</f>
        <v>2478825.8082302227</v>
      </c>
      <c r="R8" s="1">
        <f ca="1">IF(SUM(R5:R6)&gt;0,Assumptions!$C$26*SUM(R5:R6),Assumptions!$C$27*(SUM(R5:R6)))</f>
        <v>2598402.7334768451</v>
      </c>
      <c r="S8" s="1">
        <f ca="1">IF(SUM(S5:S6)&gt;0,Assumptions!$C$26*SUM(S5:S6),Assumptions!$C$27*(SUM(S5:S6)))</f>
        <v>2717458.2537619099</v>
      </c>
      <c r="T8" s="1">
        <f ca="1">IF(SUM(T5:T6)&gt;0,Assumptions!$C$26*SUM(T5:T6),Assumptions!$C$27*(SUM(T5:T6)))</f>
        <v>2846315.2126510357</v>
      </c>
      <c r="U8" s="1">
        <f ca="1">IF(SUM(U5:U6)&gt;0,Assumptions!$C$26*SUM(U5:U6),Assumptions!$C$27*(SUM(U5:U6)))</f>
        <v>2985005.0018744539</v>
      </c>
      <c r="V8" s="1">
        <f ca="1">IF(SUM(V5:V6)&gt;0,Assumptions!$C$26*SUM(V5:V6),Assumptions!$C$27*(SUM(V5:V6)))</f>
        <v>3133510.2822088688</v>
      </c>
      <c r="W8" s="1">
        <f ca="1">IF(SUM(W5:W6)&gt;0,Assumptions!$C$26*SUM(W5:W6),Assumptions!$C$27*(SUM(W5:W6)))</f>
        <v>3291759.3359134607</v>
      </c>
      <c r="X8" s="1">
        <f ca="1">IF(SUM(X5:X6)&gt;0,Assumptions!$C$26*SUM(X5:X6),Assumptions!$C$27*(SUM(X5:X6)))</f>
        <v>3459619.968543191</v>
      </c>
      <c r="Y8" s="1">
        <f ca="1">IF(SUM(Y5:Y6)&gt;0,Assumptions!$C$26*SUM(Y5:Y6),Assumptions!$C$27*(SUM(Y5:Y6)))</f>
        <v>3636892.9296463779</v>
      </c>
      <c r="Z8" s="1">
        <f ca="1">IF(SUM(Z5:Z6)&gt;0,Assumptions!$C$26*SUM(Z5:Z6),Assumptions!$C$27*(SUM(Z5:Z6)))</f>
        <v>3823304.8199744183</v>
      </c>
      <c r="AA8" s="1">
        <f ca="1">IF(SUM(AA5:AA6)&gt;0,Assumptions!$C$26*SUM(AA5:AA6),Assumptions!$C$27*(SUM(AA5:AA6)))</f>
        <v>4018500.4508432825</v>
      </c>
      <c r="AB8" s="1">
        <f ca="1">IF(SUM(AB5:AB6)&gt;0,Assumptions!$C$26*SUM(AB5:AB6),Assumptions!$C$27*(SUM(AB5:AB6)))</f>
        <v>4222034.6191829983</v>
      </c>
      <c r="AC8" s="1">
        <f ca="1">IF(SUM(AC5:AC6)&gt;0,Assumptions!$C$26*SUM(AC5:AC6),Assumptions!$C$27*(SUM(AC5:AC6)))</f>
        <v>4433363.2595862839</v>
      </c>
      <c r="AD8" s="1">
        <f ca="1">IF(SUM(AD5:AD6)&gt;0,Assumptions!$C$26*SUM(AD5:AD6),Assumptions!$C$27*(SUM(AD5:AD6)))</f>
        <v>4705742.2431968767</v>
      </c>
      <c r="AE8" s="1">
        <f ca="1">IF(SUM(AE5:AE6)&gt;0,Assumptions!$C$26*SUM(AE5:AE6),Assumptions!$C$27*(SUM(AE5:AE6)))</f>
        <v>5044237.1584694469</v>
      </c>
      <c r="AF8" s="1">
        <f ca="1">IF(SUM(AF5:AF6)&gt;0,Assumptions!$C$26*SUM(AF5:AF6),Assumptions!$C$27*(SUM(AF5:AF6)))</f>
        <v>5454215.8791502481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52"/>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38.832031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0"/>
    </row>
    <row r="6" spans="1:3" ht="18.5" x14ac:dyDescent="0.45">
      <c r="A6" s="90"/>
      <c r="B6" s="180"/>
    </row>
    <row r="7" spans="1:3" ht="18.5" x14ac:dyDescent="0.45">
      <c r="A7" s="90" t="s">
        <v>96</v>
      </c>
      <c r="B7" s="181">
        <f>Assumptions!C24</f>
        <v>2375000</v>
      </c>
      <c r="C7" s="191" t="s">
        <v>199</v>
      </c>
    </row>
    <row r="8" spans="1:3" ht="34" x14ac:dyDescent="0.45">
      <c r="A8" s="90" t="s">
        <v>173</v>
      </c>
      <c r="B8" s="182">
        <f>Assumptions!$C$133</f>
        <v>0.7</v>
      </c>
      <c r="C8" s="191" t="s">
        <v>200</v>
      </c>
    </row>
    <row r="9" spans="1:3" ht="18.5" x14ac:dyDescent="0.45">
      <c r="A9" s="90"/>
      <c r="B9" s="183"/>
      <c r="C9" s="191"/>
    </row>
    <row r="10" spans="1:3" ht="102" x14ac:dyDescent="0.45">
      <c r="A10" s="94" t="s">
        <v>102</v>
      </c>
      <c r="B10" s="184">
        <f>Assumptions!C135</f>
        <v>1481.4814814814813</v>
      </c>
      <c r="C10" s="191" t="s">
        <v>201</v>
      </c>
    </row>
    <row r="11" spans="1:3" ht="18.5" x14ac:dyDescent="0.45">
      <c r="A11" s="94"/>
      <c r="B11" s="185"/>
      <c r="C11" s="191"/>
    </row>
    <row r="12" spans="1:3" ht="18.5" x14ac:dyDescent="0.45">
      <c r="A12" s="94" t="s">
        <v>183</v>
      </c>
      <c r="B12" s="181">
        <f>(B7*B8)/B10</f>
        <v>1122.1875000000002</v>
      </c>
      <c r="C12" s="191"/>
    </row>
    <row r="13" spans="1:3" ht="18.5" x14ac:dyDescent="0.45">
      <c r="A13" s="96"/>
      <c r="B13" s="186"/>
      <c r="C13" s="191"/>
    </row>
    <row r="14" spans="1:3" ht="18.5" x14ac:dyDescent="0.45">
      <c r="A14" s="94" t="s">
        <v>103</v>
      </c>
      <c r="B14" s="103">
        <v>1</v>
      </c>
      <c r="C14" s="191"/>
    </row>
    <row r="15" spans="1:3" ht="18.5" x14ac:dyDescent="0.45">
      <c r="A15" s="96"/>
      <c r="B15" s="99"/>
      <c r="C15" s="191"/>
    </row>
    <row r="16" spans="1:3" ht="18.5" x14ac:dyDescent="0.45">
      <c r="A16" s="96" t="s">
        <v>178</v>
      </c>
      <c r="B16" s="187">
        <f>B12/B14</f>
        <v>1122.1875000000002</v>
      </c>
      <c r="C16" s="191"/>
    </row>
    <row r="17" spans="1:3" ht="18.5" x14ac:dyDescent="0.45">
      <c r="A17" s="94"/>
      <c r="B17" s="188"/>
      <c r="C17" s="191"/>
    </row>
    <row r="18" spans="1:3" ht="18.5" x14ac:dyDescent="0.45">
      <c r="A18" s="102" t="s">
        <v>177</v>
      </c>
      <c r="B18" s="188"/>
      <c r="C18" s="191"/>
    </row>
    <row r="19" spans="1:3" ht="18.5" x14ac:dyDescent="0.45">
      <c r="A19" s="94"/>
      <c r="B19" s="188"/>
      <c r="C19" s="191"/>
    </row>
    <row r="20" spans="1:3" ht="51" x14ac:dyDescent="0.45">
      <c r="A20" s="94" t="s">
        <v>65</v>
      </c>
      <c r="B20" s="181">
        <f>'Profit and Loss'!L5</f>
        <v>21673193.794560011</v>
      </c>
      <c r="C20" s="191" t="s">
        <v>202</v>
      </c>
    </row>
    <row r="21" spans="1:3" ht="34" x14ac:dyDescent="0.45">
      <c r="A21" s="94" t="str">
        <f>A8</f>
        <v>Assumed revenue from households</v>
      </c>
      <c r="B21" s="182">
        <f>B8</f>
        <v>0.7</v>
      </c>
      <c r="C21" s="191" t="s">
        <v>200</v>
      </c>
    </row>
    <row r="22" spans="1:3" ht="18.5" x14ac:dyDescent="0.45">
      <c r="A22" s="94"/>
      <c r="B22" s="185"/>
      <c r="C22" s="191"/>
    </row>
    <row r="23" spans="1:3" ht="34" x14ac:dyDescent="0.45">
      <c r="A23" s="94" t="s">
        <v>101</v>
      </c>
      <c r="B23" s="184">
        <f>Assumptions!M135</f>
        <v>1481.4814814814813</v>
      </c>
      <c r="C23" s="191" t="s">
        <v>203</v>
      </c>
    </row>
    <row r="24" spans="1:3" ht="18.5" x14ac:dyDescent="0.45">
      <c r="A24" s="94"/>
      <c r="B24" s="185"/>
      <c r="C24" s="191"/>
    </row>
    <row r="25" spans="1:3" ht="18.5" x14ac:dyDescent="0.45">
      <c r="A25" s="94" t="s">
        <v>182</v>
      </c>
      <c r="B25" s="181">
        <f>(B20*B21)/B23</f>
        <v>10240.584067929605</v>
      </c>
      <c r="C25" s="191"/>
    </row>
    <row r="26" spans="1:3" ht="18.5" x14ac:dyDescent="0.45">
      <c r="A26" s="94"/>
      <c r="B26" s="181"/>
      <c r="C26" s="191"/>
    </row>
    <row r="27" spans="1:3" ht="51" x14ac:dyDescent="0.45">
      <c r="A27" s="94" t="s">
        <v>103</v>
      </c>
      <c r="B27" s="103">
        <f>1.022^11</f>
        <v>1.2704566586717592</v>
      </c>
      <c r="C27" s="191" t="s">
        <v>204</v>
      </c>
    </row>
    <row r="28" spans="1:3" ht="18.5" x14ac:dyDescent="0.45">
      <c r="A28" s="96"/>
      <c r="B28" s="186"/>
      <c r="C28" s="191"/>
    </row>
    <row r="29" spans="1:3" ht="18.5" x14ac:dyDescent="0.45">
      <c r="A29" s="96" t="s">
        <v>179</v>
      </c>
      <c r="B29" s="181">
        <f>B25/B27</f>
        <v>8060.5536584270112</v>
      </c>
      <c r="C29" s="191"/>
    </row>
    <row r="30" spans="1:3" ht="18.5" x14ac:dyDescent="0.45">
      <c r="A30" s="96"/>
      <c r="B30" s="186"/>
      <c r="C30" s="191"/>
    </row>
    <row r="31" spans="1:3" ht="18.5" x14ac:dyDescent="0.45">
      <c r="A31" s="102" t="s">
        <v>185</v>
      </c>
      <c r="B31" s="189"/>
      <c r="C31" s="191"/>
    </row>
    <row r="32" spans="1:3" ht="18.5" x14ac:dyDescent="0.45">
      <c r="A32" s="94"/>
      <c r="B32" s="181"/>
      <c r="C32" s="191"/>
    </row>
    <row r="33" spans="1:3" ht="51" x14ac:dyDescent="0.45">
      <c r="A33" s="94" t="s">
        <v>66</v>
      </c>
      <c r="B33" s="181">
        <f>'Profit and Loss'!AF5</f>
        <v>56664315.810443625</v>
      </c>
      <c r="C33" s="191" t="s">
        <v>202</v>
      </c>
    </row>
    <row r="34" spans="1:3" ht="34" x14ac:dyDescent="0.45">
      <c r="A34" s="94" t="str">
        <f>A21</f>
        <v>Assumed revenue from households</v>
      </c>
      <c r="B34" s="182">
        <f>B21</f>
        <v>0.7</v>
      </c>
      <c r="C34" s="191" t="s">
        <v>200</v>
      </c>
    </row>
    <row r="35" spans="1:3" ht="18.5" x14ac:dyDescent="0.45">
      <c r="A35" s="94"/>
      <c r="B35" s="185"/>
      <c r="C35" s="191"/>
    </row>
    <row r="36" spans="1:3" ht="34" x14ac:dyDescent="0.45">
      <c r="A36" s="94" t="s">
        <v>100</v>
      </c>
      <c r="B36" s="184">
        <f>Assumptions!AG135</f>
        <v>1481.4814814814813</v>
      </c>
      <c r="C36" s="191" t="s">
        <v>203</v>
      </c>
    </row>
    <row r="37" spans="1:3" ht="18.5" x14ac:dyDescent="0.45">
      <c r="A37" s="94"/>
      <c r="B37" s="185"/>
      <c r="C37" s="191"/>
    </row>
    <row r="38" spans="1:3" ht="18.5" x14ac:dyDescent="0.45">
      <c r="A38" s="94" t="s">
        <v>181</v>
      </c>
      <c r="B38" s="181">
        <f>(B33*B34)/B36</f>
        <v>26773.889220434616</v>
      </c>
      <c r="C38" s="191"/>
    </row>
    <row r="39" spans="1:3" ht="18.5" x14ac:dyDescent="0.45">
      <c r="A39" s="94"/>
      <c r="B39" s="185"/>
      <c r="C39" s="191"/>
    </row>
    <row r="40" spans="1:3" ht="51" x14ac:dyDescent="0.45">
      <c r="A40" s="94" t="s">
        <v>103</v>
      </c>
      <c r="B40" s="103">
        <f>1.022^31</f>
        <v>1.9632597808456462</v>
      </c>
      <c r="C40" s="191" t="s">
        <v>204</v>
      </c>
    </row>
    <row r="41" spans="1:3" ht="18.5" x14ac:dyDescent="0.45">
      <c r="A41" s="96"/>
      <c r="B41" s="186"/>
    </row>
    <row r="42" spans="1:3" ht="18.5" x14ac:dyDescent="0.45">
      <c r="A42" s="96" t="s">
        <v>180</v>
      </c>
      <c r="B42" s="181">
        <f>B38/B40</f>
        <v>13637.466361635617</v>
      </c>
    </row>
    <row r="43" spans="1:3" x14ac:dyDescent="0.35">
      <c r="B43" s="190"/>
    </row>
    <row r="44" spans="1:3" x14ac:dyDescent="0.35">
      <c r="B44" s="190"/>
    </row>
    <row r="45" spans="1:3" x14ac:dyDescent="0.35">
      <c r="B45" s="190"/>
    </row>
    <row r="46" spans="1:3" x14ac:dyDescent="0.35">
      <c r="B46" s="190"/>
    </row>
    <row r="47" spans="1:3" x14ac:dyDescent="0.35">
      <c r="B47" s="190"/>
    </row>
    <row r="48" spans="1:3" x14ac:dyDescent="0.35">
      <c r="B48" s="190"/>
    </row>
    <row r="49" spans="2:2" x14ac:dyDescent="0.35">
      <c r="B49" s="190"/>
    </row>
    <row r="50" spans="2:2" x14ac:dyDescent="0.35">
      <c r="B50" s="190"/>
    </row>
    <row r="51" spans="2:2" x14ac:dyDescent="0.35">
      <c r="B51" s="190"/>
    </row>
    <row r="52" spans="2:2" x14ac:dyDescent="0.35">
      <c r="B52"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0</v>
      </c>
      <c r="D13" s="128">
        <f t="shared" ref="D13:AG13" si="3">(1+$C$13)^D8</f>
        <v>1</v>
      </c>
      <c r="E13" s="128">
        <f t="shared" si="3"/>
        <v>1</v>
      </c>
      <c r="F13" s="128">
        <f t="shared" si="3"/>
        <v>1</v>
      </c>
      <c r="G13" s="128">
        <f t="shared" si="3"/>
        <v>1</v>
      </c>
      <c r="H13" s="128">
        <f t="shared" si="3"/>
        <v>1</v>
      </c>
      <c r="I13" s="128">
        <f t="shared" si="3"/>
        <v>1</v>
      </c>
      <c r="J13" s="128">
        <f t="shared" si="3"/>
        <v>1</v>
      </c>
      <c r="K13" s="128">
        <f t="shared" si="3"/>
        <v>1</v>
      </c>
      <c r="L13" s="128">
        <f t="shared" si="3"/>
        <v>1</v>
      </c>
      <c r="M13" s="128">
        <f t="shared" si="3"/>
        <v>1</v>
      </c>
      <c r="N13" s="128">
        <f t="shared" si="3"/>
        <v>1</v>
      </c>
      <c r="O13" s="128">
        <f t="shared" si="3"/>
        <v>1</v>
      </c>
      <c r="P13" s="128">
        <f t="shared" si="3"/>
        <v>1</v>
      </c>
      <c r="Q13" s="128">
        <f t="shared" si="3"/>
        <v>1</v>
      </c>
      <c r="R13" s="128">
        <f t="shared" si="3"/>
        <v>1</v>
      </c>
      <c r="S13" s="128">
        <f t="shared" si="3"/>
        <v>1</v>
      </c>
      <c r="T13" s="128">
        <f t="shared" si="3"/>
        <v>1</v>
      </c>
      <c r="U13" s="128">
        <f t="shared" si="3"/>
        <v>1</v>
      </c>
      <c r="V13" s="128">
        <f t="shared" si="3"/>
        <v>1</v>
      </c>
      <c r="W13" s="128">
        <f t="shared" si="3"/>
        <v>1</v>
      </c>
      <c r="X13" s="128">
        <f t="shared" si="3"/>
        <v>1</v>
      </c>
      <c r="Y13" s="128">
        <f t="shared" si="3"/>
        <v>1</v>
      </c>
      <c r="Z13" s="128">
        <f t="shared" si="3"/>
        <v>1</v>
      </c>
      <c r="AA13" s="128">
        <f t="shared" si="3"/>
        <v>1</v>
      </c>
      <c r="AB13" s="128">
        <f t="shared" si="3"/>
        <v>1</v>
      </c>
      <c r="AC13" s="128">
        <f t="shared" si="3"/>
        <v>1</v>
      </c>
      <c r="AD13" s="128">
        <f t="shared" si="3"/>
        <v>1</v>
      </c>
      <c r="AE13" s="128">
        <f t="shared" si="3"/>
        <v>1</v>
      </c>
      <c r="AF13" s="128">
        <f t="shared" si="3"/>
        <v>1</v>
      </c>
      <c r="AG13" s="128">
        <f t="shared" si="3"/>
        <v>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62225000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31112500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1441000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2375000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1683000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56350000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68100000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166432.1993292832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284464.85738668073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225448.52835798197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453647.71944108437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729487.05898210779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591567.38921159611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876032.24659827678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179" t="s">
        <v>175</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418318282.36493051</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474583034.68147546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418318282.36493051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474583034.68147546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4000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4000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4000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104579.57059123262</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118645.75867036887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280000000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280000000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280000000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280000000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9333333.333333334</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876032.24659827678</v>
      </c>
      <c r="E111" s="149">
        <f t="shared" si="9"/>
        <v>876032.24659827678</v>
      </c>
      <c r="F111" s="149">
        <f t="shared" si="9"/>
        <v>876032.24659827678</v>
      </c>
      <c r="G111" s="149">
        <f t="shared" si="9"/>
        <v>876032.24659827678</v>
      </c>
      <c r="H111" s="149">
        <f t="shared" si="9"/>
        <v>876032.24659827678</v>
      </c>
      <c r="I111" s="149">
        <f t="shared" si="9"/>
        <v>876032.24659827678</v>
      </c>
      <c r="J111" s="149">
        <f t="shared" si="9"/>
        <v>876032.24659827678</v>
      </c>
      <c r="K111" s="149">
        <f t="shared" si="9"/>
        <v>876032.24659827678</v>
      </c>
      <c r="L111" s="149">
        <f t="shared" si="9"/>
        <v>876032.24659827678</v>
      </c>
      <c r="M111" s="149">
        <f t="shared" si="9"/>
        <v>876032.24659827678</v>
      </c>
      <c r="N111" s="149">
        <f t="shared" si="9"/>
        <v>876032.24659827678</v>
      </c>
      <c r="O111" s="149">
        <f t="shared" si="9"/>
        <v>876032.24659827678</v>
      </c>
      <c r="P111" s="149">
        <f t="shared" si="9"/>
        <v>876032.24659827678</v>
      </c>
      <c r="Q111" s="149">
        <f t="shared" si="9"/>
        <v>876032.24659827678</v>
      </c>
      <c r="R111" s="149">
        <f t="shared" si="9"/>
        <v>876032.24659827678</v>
      </c>
      <c r="S111" s="149">
        <f t="shared" si="9"/>
        <v>876032.24659827678</v>
      </c>
      <c r="T111" s="149">
        <f t="shared" si="9"/>
        <v>876032.24659827678</v>
      </c>
      <c r="U111" s="149">
        <f t="shared" si="9"/>
        <v>876032.24659827678</v>
      </c>
      <c r="V111" s="149">
        <f t="shared" si="9"/>
        <v>876032.24659827678</v>
      </c>
      <c r="W111" s="149">
        <f t="shared" si="9"/>
        <v>876032.24659827678</v>
      </c>
      <c r="X111" s="149">
        <f t="shared" si="9"/>
        <v>876032.24659827678</v>
      </c>
      <c r="Y111" s="149">
        <f t="shared" si="9"/>
        <v>876032.24659827678</v>
      </c>
      <c r="Z111" s="149">
        <f t="shared" si="9"/>
        <v>876032.24659827678</v>
      </c>
      <c r="AA111" s="149">
        <f t="shared" si="9"/>
        <v>876032.24659827678</v>
      </c>
      <c r="AB111" s="149">
        <f t="shared" si="9"/>
        <v>876032.24659827678</v>
      </c>
      <c r="AC111" s="149">
        <f t="shared" si="9"/>
        <v>876032.24659827678</v>
      </c>
      <c r="AD111" s="149">
        <f t="shared" si="9"/>
        <v>876032.24659827678</v>
      </c>
      <c r="AE111" s="149">
        <f t="shared" si="9"/>
        <v>876032.24659827678</v>
      </c>
      <c r="AF111" s="149">
        <f t="shared" si="9"/>
        <v>876032.24659827678</v>
      </c>
      <c r="AG111" s="149">
        <f t="shared" si="9"/>
        <v>876032.24659827678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280000000.00000006</v>
      </c>
      <c r="D113" s="149">
        <f t="shared" ref="D113:AG113" si="10">$C$102</f>
        <v>9333333.333333334</v>
      </c>
      <c r="E113" s="149">
        <f t="shared" si="10"/>
        <v>9333333.333333334</v>
      </c>
      <c r="F113" s="149">
        <f t="shared" si="10"/>
        <v>9333333.333333334</v>
      </c>
      <c r="G113" s="149">
        <f t="shared" si="10"/>
        <v>9333333.333333334</v>
      </c>
      <c r="H113" s="149">
        <f t="shared" si="10"/>
        <v>9333333.333333334</v>
      </c>
      <c r="I113" s="149">
        <f t="shared" si="10"/>
        <v>9333333.333333334</v>
      </c>
      <c r="J113" s="149">
        <f t="shared" si="10"/>
        <v>9333333.333333334</v>
      </c>
      <c r="K113" s="149">
        <f t="shared" si="10"/>
        <v>9333333.333333334</v>
      </c>
      <c r="L113" s="149">
        <f t="shared" si="10"/>
        <v>9333333.333333334</v>
      </c>
      <c r="M113" s="149">
        <f t="shared" si="10"/>
        <v>9333333.333333334</v>
      </c>
      <c r="N113" s="149">
        <f t="shared" si="10"/>
        <v>9333333.333333334</v>
      </c>
      <c r="O113" s="149">
        <f t="shared" si="10"/>
        <v>9333333.333333334</v>
      </c>
      <c r="P113" s="149">
        <f t="shared" si="10"/>
        <v>9333333.333333334</v>
      </c>
      <c r="Q113" s="149">
        <f t="shared" si="10"/>
        <v>9333333.333333334</v>
      </c>
      <c r="R113" s="149">
        <f t="shared" si="10"/>
        <v>9333333.333333334</v>
      </c>
      <c r="S113" s="149">
        <f t="shared" si="10"/>
        <v>9333333.333333334</v>
      </c>
      <c r="T113" s="149">
        <f t="shared" si="10"/>
        <v>9333333.333333334</v>
      </c>
      <c r="U113" s="149">
        <f t="shared" si="10"/>
        <v>9333333.333333334</v>
      </c>
      <c r="V113" s="149">
        <f t="shared" si="10"/>
        <v>9333333.333333334</v>
      </c>
      <c r="W113" s="149">
        <f t="shared" si="10"/>
        <v>9333333.333333334</v>
      </c>
      <c r="X113" s="149">
        <f t="shared" si="10"/>
        <v>9333333.333333334</v>
      </c>
      <c r="Y113" s="149">
        <f t="shared" si="10"/>
        <v>9333333.333333334</v>
      </c>
      <c r="Z113" s="149">
        <f t="shared" si="10"/>
        <v>9333333.333333334</v>
      </c>
      <c r="AA113" s="149">
        <f t="shared" si="10"/>
        <v>9333333.333333334</v>
      </c>
      <c r="AB113" s="149">
        <f t="shared" si="10"/>
        <v>9333333.333333334</v>
      </c>
      <c r="AC113" s="149">
        <f t="shared" si="10"/>
        <v>9333333.333333334</v>
      </c>
      <c r="AD113" s="149">
        <f t="shared" si="10"/>
        <v>9333333.333333334</v>
      </c>
      <c r="AE113" s="149">
        <f t="shared" si="10"/>
        <v>9333333.333333334</v>
      </c>
      <c r="AF113" s="149">
        <f t="shared" si="10"/>
        <v>9333333.333333334</v>
      </c>
      <c r="AG113" s="149">
        <f t="shared" si="10"/>
        <v>9333333.333333334</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9333333.333333334</v>
      </c>
      <c r="E118" s="149">
        <f t="shared" ref="E118:AG118" si="13">E113+E115+E116</f>
        <v>9333333.333333334</v>
      </c>
      <c r="F118" s="149">
        <f>F113+F115+F116</f>
        <v>9333333.333333334</v>
      </c>
      <c r="G118" s="149">
        <f t="shared" si="13"/>
        <v>9333333.333333334</v>
      </c>
      <c r="H118" s="149">
        <f t="shared" si="13"/>
        <v>9333333.333333334</v>
      </c>
      <c r="I118" s="149">
        <f t="shared" si="13"/>
        <v>9333333.333333334</v>
      </c>
      <c r="J118" s="149">
        <f t="shared" si="13"/>
        <v>9333333.333333334</v>
      </c>
      <c r="K118" s="149">
        <f t="shared" si="13"/>
        <v>9333333.333333334</v>
      </c>
      <c r="L118" s="149">
        <f t="shared" si="13"/>
        <v>9333333.333333334</v>
      </c>
      <c r="M118" s="149">
        <f t="shared" si="13"/>
        <v>9333333.333333334</v>
      </c>
      <c r="N118" s="149">
        <f t="shared" si="13"/>
        <v>9333333.333333334</v>
      </c>
      <c r="O118" s="149">
        <f t="shared" si="13"/>
        <v>9333333.333333334</v>
      </c>
      <c r="P118" s="149">
        <f t="shared" si="13"/>
        <v>9333333.333333334</v>
      </c>
      <c r="Q118" s="149">
        <f t="shared" si="13"/>
        <v>9333333.333333334</v>
      </c>
      <c r="R118" s="149">
        <f t="shared" si="13"/>
        <v>9333333.333333334</v>
      </c>
      <c r="S118" s="149">
        <f t="shared" si="13"/>
        <v>9333333.333333334</v>
      </c>
      <c r="T118" s="149">
        <f t="shared" si="13"/>
        <v>9333333.333333334</v>
      </c>
      <c r="U118" s="149">
        <f t="shared" si="13"/>
        <v>9333333.333333334</v>
      </c>
      <c r="V118" s="149">
        <f t="shared" si="13"/>
        <v>9333333.333333334</v>
      </c>
      <c r="W118" s="149">
        <f t="shared" si="13"/>
        <v>9333333.333333334</v>
      </c>
      <c r="X118" s="149">
        <f t="shared" si="13"/>
        <v>9333333.333333334</v>
      </c>
      <c r="Y118" s="149">
        <f t="shared" si="13"/>
        <v>9333333.333333334</v>
      </c>
      <c r="Z118" s="149">
        <f t="shared" si="13"/>
        <v>9333333.333333334</v>
      </c>
      <c r="AA118" s="149">
        <f t="shared" si="13"/>
        <v>9333333.333333334</v>
      </c>
      <c r="AB118" s="149">
        <f t="shared" si="13"/>
        <v>9333333.333333334</v>
      </c>
      <c r="AC118" s="149">
        <f t="shared" si="13"/>
        <v>9333333.333333334</v>
      </c>
      <c r="AD118" s="149">
        <f t="shared" si="13"/>
        <v>9333333.333333334</v>
      </c>
      <c r="AE118" s="149">
        <f t="shared" si="13"/>
        <v>9333333.333333334</v>
      </c>
      <c r="AF118" s="149">
        <f t="shared" si="13"/>
        <v>9333333.333333334</v>
      </c>
      <c r="AG118" s="149">
        <f t="shared" si="13"/>
        <v>9333333.333333334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224000</v>
      </c>
      <c r="E120" s="149">
        <f>(SUM($D$118:E118)*$C$104/$C$106)+(SUM($D$118:E118)*$C$105/$C$107)</f>
        <v>448000</v>
      </c>
      <c r="F120" s="149">
        <f>(SUM($D$118:F118)*$C$104/$C$106)+(SUM($D$118:F118)*$C$105/$C$107)</f>
        <v>672000</v>
      </c>
      <c r="G120" s="149">
        <f>(SUM($D$118:G118)*$C$104/$C$106)+(SUM($D$118:G118)*$C$105/$C$107)</f>
        <v>896000</v>
      </c>
      <c r="H120" s="149">
        <f>(SUM($D$118:H118)*$C$104/$C$106)+(SUM($D$118:H118)*$C$105/$C$107)</f>
        <v>1120000.0000000002</v>
      </c>
      <c r="I120" s="149">
        <f>(SUM($D$118:I118)*$C$104/$C$106)+(SUM($D$118:I118)*$C$105/$C$107)</f>
        <v>1344000</v>
      </c>
      <c r="J120" s="149">
        <f>(SUM($D$118:J118)*$C$104/$C$106)+(SUM($D$118:J118)*$C$105/$C$107)</f>
        <v>1568000.0000000005</v>
      </c>
      <c r="K120" s="149">
        <f>(SUM($D$118:K118)*$C$104/$C$106)+(SUM($D$118:K118)*$C$105/$C$107)</f>
        <v>1792000</v>
      </c>
      <c r="L120" s="149">
        <f>(SUM($D$118:L118)*$C$104/$C$106)+(SUM($D$118:L118)*$C$105/$C$107)</f>
        <v>2016000</v>
      </c>
      <c r="M120" s="149">
        <f>(SUM($D$118:M118)*$C$104/$C$106)+(SUM($D$118:M118)*$C$105/$C$107)</f>
        <v>2240000</v>
      </c>
      <c r="N120" s="149">
        <f>(SUM($D$118:N118)*$C$104/$C$106)+(SUM($D$118:N118)*$C$105/$C$107)</f>
        <v>2463999.9999999995</v>
      </c>
      <c r="O120" s="149">
        <f>(SUM($D$118:O118)*$C$104/$C$106)+(SUM($D$118:O118)*$C$105/$C$107)</f>
        <v>2687999.9999999995</v>
      </c>
      <c r="P120" s="149">
        <f>(SUM($D$118:P118)*$C$104/$C$106)+(SUM($D$118:P118)*$C$105/$C$107)</f>
        <v>2911999.9999999991</v>
      </c>
      <c r="Q120" s="149">
        <f>(SUM($D$118:Q118)*$C$104/$C$106)+(SUM($D$118:Q118)*$C$105/$C$107)</f>
        <v>3135999.9999999995</v>
      </c>
      <c r="R120" s="149">
        <f>(SUM($D$118:R118)*$C$104/$C$106)+(SUM($D$118:R118)*$C$105/$C$107)</f>
        <v>3359999.9999999995</v>
      </c>
      <c r="S120" s="149">
        <f>(SUM($D$118:S118)*$C$104/$C$106)+(SUM($D$118:S118)*$C$105/$C$107)</f>
        <v>3583999.9999999991</v>
      </c>
      <c r="T120" s="149">
        <f>(SUM($D$118:T118)*$C$104/$C$106)+(SUM($D$118:T118)*$C$105/$C$107)</f>
        <v>3807999.9999999995</v>
      </c>
      <c r="U120" s="149">
        <f>(SUM($D$118:U118)*$C$104/$C$106)+(SUM($D$118:U118)*$C$105/$C$107)</f>
        <v>4032000</v>
      </c>
      <c r="V120" s="149">
        <f>(SUM($D$118:V118)*$C$104/$C$106)+(SUM($D$118:V118)*$C$105/$C$107)</f>
        <v>4256000</v>
      </c>
      <c r="W120" s="149">
        <f>(SUM($D$118:W118)*$C$104/$C$106)+(SUM($D$118:W118)*$C$105/$C$107)</f>
        <v>4480000.0000000009</v>
      </c>
      <c r="X120" s="149">
        <f>(SUM($D$118:X118)*$C$104/$C$106)+(SUM($D$118:X118)*$C$105/$C$107)</f>
        <v>4704000.0000000009</v>
      </c>
      <c r="Y120" s="149">
        <f>(SUM($D$118:Y118)*$C$104/$C$106)+(SUM($D$118:Y118)*$C$105/$C$107)</f>
        <v>4928000.0000000009</v>
      </c>
      <c r="Z120" s="149">
        <f>(SUM($D$118:Z118)*$C$104/$C$106)+(SUM($D$118:Z118)*$C$105/$C$107)</f>
        <v>5152000.0000000009</v>
      </c>
      <c r="AA120" s="149">
        <f>(SUM($D$118:AA118)*$C$104/$C$106)+(SUM($D$118:AA118)*$C$105/$C$107)</f>
        <v>5376000.0000000009</v>
      </c>
      <c r="AB120" s="149">
        <f>(SUM($D$118:AB118)*$C$104/$C$106)+(SUM($D$118:AB118)*$C$105/$C$107)</f>
        <v>5600000.0000000019</v>
      </c>
      <c r="AC120" s="149">
        <f>(SUM($D$118:AC118)*$C$104/$C$106)+(SUM($D$118:AC118)*$C$105/$C$107)</f>
        <v>5824000.0000000009</v>
      </c>
      <c r="AD120" s="149">
        <f>(SUM($D$118:AD118)*$C$104/$C$106)+(SUM($D$118:AD118)*$C$105/$C$107)</f>
        <v>6048000.0000000019</v>
      </c>
      <c r="AE120" s="149">
        <f>(SUM($D$118:AE118)*$C$104/$C$106)+(SUM($D$118:AE118)*$C$105/$C$107)</f>
        <v>6272000.0000000028</v>
      </c>
      <c r="AF120" s="149">
        <f>(SUM($D$118:AF118)*$C$104/$C$106)+(SUM($D$118:AF118)*$C$105/$C$107)</f>
        <v>6496000.0000000009</v>
      </c>
      <c r="AG120" s="149">
        <f>(SUM($D$118:AG118)*$C$104/$C$106)+(SUM($D$118:AG118)*$C$105/$C$107)</f>
        <v>6720000.0000000009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280000</v>
      </c>
      <c r="E122" s="72">
        <f>(SUM($D$118:E118)*$C$109)</f>
        <v>560000</v>
      </c>
      <c r="F122" s="72">
        <f>(SUM($D$118:F118)*$C$109)</f>
        <v>840000</v>
      </c>
      <c r="G122" s="72">
        <f>(SUM($D$118:G118)*$C$109)</f>
        <v>1120000</v>
      </c>
      <c r="H122" s="72">
        <f>(SUM($D$118:H118)*$C$109)</f>
        <v>1400000</v>
      </c>
      <c r="I122" s="72">
        <f>(SUM($D$118:I118)*$C$109)</f>
        <v>1680000.0000000002</v>
      </c>
      <c r="J122" s="72">
        <f>(SUM($D$118:J118)*$C$109)</f>
        <v>1960000.0000000002</v>
      </c>
      <c r="K122" s="72">
        <f>(SUM($D$118:K118)*$C$109)</f>
        <v>2240000</v>
      </c>
      <c r="L122" s="72">
        <f>(SUM($D$118:L118)*$C$109)</f>
        <v>2520000</v>
      </c>
      <c r="M122" s="72">
        <f>(SUM($D$118:M118)*$C$109)</f>
        <v>2799999.9999999995</v>
      </c>
      <c r="N122" s="72">
        <f>(SUM($D$118:N118)*$C$109)</f>
        <v>3079999.9999999995</v>
      </c>
      <c r="O122" s="72">
        <f>(SUM($D$118:O118)*$C$109)</f>
        <v>3359999.9999999995</v>
      </c>
      <c r="P122" s="72">
        <f>(SUM($D$118:P118)*$C$109)</f>
        <v>3639999.9999999991</v>
      </c>
      <c r="Q122" s="72">
        <f>(SUM($D$118:Q118)*$C$109)</f>
        <v>3919999.9999999991</v>
      </c>
      <c r="R122" s="72">
        <f>(SUM($D$118:R118)*$C$109)</f>
        <v>4199999.9999999991</v>
      </c>
      <c r="S122" s="72">
        <f>(SUM($D$118:S118)*$C$109)</f>
        <v>4479999.9999999991</v>
      </c>
      <c r="T122" s="72">
        <f>(SUM($D$118:T118)*$C$109)</f>
        <v>4759999.9999999991</v>
      </c>
      <c r="U122" s="72">
        <f>(SUM($D$118:U118)*$C$109)</f>
        <v>5040000</v>
      </c>
      <c r="V122" s="72">
        <f>(SUM($D$118:V118)*$C$109)</f>
        <v>5320000</v>
      </c>
      <c r="W122" s="72">
        <f>(SUM($D$118:W118)*$C$109)</f>
        <v>5600000</v>
      </c>
      <c r="X122" s="72">
        <f>(SUM($D$118:X118)*$C$109)</f>
        <v>5880000.0000000009</v>
      </c>
      <c r="Y122" s="72">
        <f>(SUM($D$118:Y118)*$C$109)</f>
        <v>6160000.0000000009</v>
      </c>
      <c r="Z122" s="72">
        <f>(SUM($D$118:Z118)*$C$109)</f>
        <v>6440000.0000000009</v>
      </c>
      <c r="AA122" s="72">
        <f>(SUM($D$118:AA118)*$C$109)</f>
        <v>6720000.0000000019</v>
      </c>
      <c r="AB122" s="72">
        <f>(SUM($D$118:AB118)*$C$109)</f>
        <v>7000000.0000000019</v>
      </c>
      <c r="AC122" s="72">
        <f>(SUM($D$118:AC118)*$C$109)</f>
        <v>7280000.0000000019</v>
      </c>
      <c r="AD122" s="72">
        <f>(SUM($D$118:AD118)*$C$109)</f>
        <v>7560000.0000000028</v>
      </c>
      <c r="AE122" s="72">
        <f>(SUM($D$118:AE118)*$C$109)</f>
        <v>7840000.0000000028</v>
      </c>
      <c r="AF122" s="72">
        <f>(SUM($D$118:AF118)*$C$109)</f>
        <v>8120000.0000000019</v>
      </c>
      <c r="AG122" s="72">
        <f>(SUM($D$118:AG118)*$C$109)</f>
        <v>8400000.0000000019</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197</v>
      </c>
      <c r="C126" s="126">
        <v>4000</v>
      </c>
      <c r="D126" s="140"/>
    </row>
    <row r="127" spans="1:33" x14ac:dyDescent="0.35">
      <c r="A127" s="77" t="s">
        <v>150</v>
      </c>
      <c r="B127" s="77" t="s">
        <v>133</v>
      </c>
      <c r="C127" s="126">
        <v>4000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4000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1481.4814814814813</v>
      </c>
      <c r="D135" s="157">
        <f t="shared" ref="D135:AG135" si="14">$C$135*D13</f>
        <v>1481.4814814814813</v>
      </c>
      <c r="E135" s="157">
        <f t="shared" si="14"/>
        <v>1481.4814814814813</v>
      </c>
      <c r="F135" s="157">
        <f t="shared" si="14"/>
        <v>1481.4814814814813</v>
      </c>
      <c r="G135" s="157">
        <f t="shared" si="14"/>
        <v>1481.4814814814813</v>
      </c>
      <c r="H135" s="157">
        <f t="shared" si="14"/>
        <v>1481.4814814814813</v>
      </c>
      <c r="I135" s="157">
        <f t="shared" si="14"/>
        <v>1481.4814814814813</v>
      </c>
      <c r="J135" s="157">
        <f t="shared" si="14"/>
        <v>1481.4814814814813</v>
      </c>
      <c r="K135" s="157">
        <f t="shared" si="14"/>
        <v>1481.4814814814813</v>
      </c>
      <c r="L135" s="157">
        <f t="shared" si="14"/>
        <v>1481.4814814814813</v>
      </c>
      <c r="M135" s="157">
        <f t="shared" si="14"/>
        <v>1481.4814814814813</v>
      </c>
      <c r="N135" s="157">
        <f t="shared" si="14"/>
        <v>1481.4814814814813</v>
      </c>
      <c r="O135" s="157">
        <f t="shared" si="14"/>
        <v>1481.4814814814813</v>
      </c>
      <c r="P135" s="157">
        <f t="shared" si="14"/>
        <v>1481.4814814814813</v>
      </c>
      <c r="Q135" s="157">
        <f t="shared" si="14"/>
        <v>1481.4814814814813</v>
      </c>
      <c r="R135" s="157">
        <f t="shared" si="14"/>
        <v>1481.4814814814813</v>
      </c>
      <c r="S135" s="157">
        <f t="shared" si="14"/>
        <v>1481.4814814814813</v>
      </c>
      <c r="T135" s="157">
        <f t="shared" si="14"/>
        <v>1481.4814814814813</v>
      </c>
      <c r="U135" s="157">
        <f t="shared" si="14"/>
        <v>1481.4814814814813</v>
      </c>
      <c r="V135" s="157">
        <f t="shared" si="14"/>
        <v>1481.4814814814813</v>
      </c>
      <c r="W135" s="157">
        <f t="shared" si="14"/>
        <v>1481.4814814814813</v>
      </c>
      <c r="X135" s="157">
        <f t="shared" si="14"/>
        <v>1481.4814814814813</v>
      </c>
      <c r="Y135" s="157">
        <f t="shared" si="14"/>
        <v>1481.4814814814813</v>
      </c>
      <c r="Z135" s="157">
        <f t="shared" si="14"/>
        <v>1481.4814814814813</v>
      </c>
      <c r="AA135" s="157">
        <f t="shared" si="14"/>
        <v>1481.4814814814813</v>
      </c>
      <c r="AB135" s="157">
        <f t="shared" si="14"/>
        <v>1481.4814814814813</v>
      </c>
      <c r="AC135" s="157">
        <f t="shared" si="14"/>
        <v>1481.4814814814813</v>
      </c>
      <c r="AD135" s="157">
        <f t="shared" si="14"/>
        <v>1481.4814814814813</v>
      </c>
      <c r="AE135" s="157">
        <f t="shared" si="14"/>
        <v>1481.4814814814813</v>
      </c>
      <c r="AF135" s="157">
        <f t="shared" si="14"/>
        <v>1481.4814814814813</v>
      </c>
      <c r="AG135" s="157">
        <f t="shared" si="14"/>
        <v>1481.4814814814813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v>
      </c>
      <c r="F4" s="65">
        <v>0.5</v>
      </c>
      <c r="G4" s="65">
        <v>0.4</v>
      </c>
      <c r="H4" s="65">
        <v>0.35</v>
      </c>
      <c r="I4" s="65">
        <v>0.25</v>
      </c>
      <c r="J4" s="65">
        <v>0.12</v>
      </c>
      <c r="K4" s="65">
        <v>0.12</v>
      </c>
      <c r="L4" s="65">
        <v>0.1</v>
      </c>
      <c r="M4" s="65">
        <v>0.08</v>
      </c>
      <c r="N4" s="65">
        <v>0.08</v>
      </c>
      <c r="O4" s="65">
        <v>0.06</v>
      </c>
      <c r="P4" s="65">
        <v>0.06</v>
      </c>
      <c r="Q4" s="65">
        <v>0.06</v>
      </c>
      <c r="R4" s="65">
        <v>0.06</v>
      </c>
      <c r="S4" s="65">
        <v>0.06</v>
      </c>
      <c r="T4" s="65">
        <v>0.06</v>
      </c>
      <c r="U4" s="65">
        <v>0.06</v>
      </c>
      <c r="V4" s="65">
        <v>0.05</v>
      </c>
      <c r="W4" s="65">
        <v>0.05</v>
      </c>
      <c r="X4" s="65">
        <v>0.05</v>
      </c>
      <c r="Y4" s="65">
        <v>0.05</v>
      </c>
      <c r="Z4" s="65">
        <v>0.05</v>
      </c>
      <c r="AA4" s="65">
        <v>0.05</v>
      </c>
      <c r="AB4" s="65">
        <v>0.05</v>
      </c>
      <c r="AC4" s="65">
        <v>0.05</v>
      </c>
      <c r="AD4" s="65">
        <v>0.05</v>
      </c>
      <c r="AE4" s="65">
        <v>0.05</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2.5434183684962646</v>
      </c>
      <c r="C6" s="25"/>
      <c r="D6" s="25"/>
      <c r="E6" s="27">
        <f>'Debt worksheet'!C5/'Profit and Loss'!C5</f>
        <v>0.3792105263157895</v>
      </c>
      <c r="F6" s="28">
        <f ca="1">'Debt worksheet'!D5/'Profit and Loss'!D5</f>
        <v>1.8933586543931318</v>
      </c>
      <c r="G6" s="28">
        <f ca="1">'Debt worksheet'!E5/'Profit and Loss'!E5</f>
        <v>2.4394239564509639</v>
      </c>
      <c r="H6" s="28">
        <f ca="1">'Debt worksheet'!F5/'Profit and Loss'!F5</f>
        <v>2.5144007807502451</v>
      </c>
      <c r="I6" s="28">
        <f ca="1">'Debt worksheet'!G5/'Profit and Loss'!G5</f>
        <v>2.4601218688710667</v>
      </c>
      <c r="J6" s="28">
        <f ca="1">'Debt worksheet'!H5/'Profit and Loss'!H5</f>
        <v>2.4983366593483547</v>
      </c>
      <c r="K6" s="28">
        <f ca="1">'Debt worksheet'!I5/'Profit and Loss'!I5</f>
        <v>2.477608235300401</v>
      </c>
      <c r="L6" s="28">
        <f ca="1">'Debt worksheet'!J5/'Profit and Loss'!J5</f>
        <v>2.4474471763894017</v>
      </c>
      <c r="M6" s="28">
        <f ca="1">'Debt worksheet'!K5/'Profit and Loss'!K5</f>
        <v>2.4272759302099502</v>
      </c>
      <c r="N6" s="28">
        <f ca="1">'Debt worksheet'!L5/'Profit and Loss'!L5</f>
        <v>2.3900409244026646</v>
      </c>
      <c r="O6" s="28">
        <f ca="1">'Debt worksheet'!M5/'Profit and Loss'!M5</f>
        <v>2.3797599775587033</v>
      </c>
      <c r="P6" s="28">
        <f ca="1">'Debt worksheet'!N5/'Profit and Loss'!N5</f>
        <v>2.3689889111574214</v>
      </c>
      <c r="Q6" s="28">
        <f ca="1">'Debt worksheet'!O5/'Profit and Loss'!O5</f>
        <v>2.356801210893027</v>
      </c>
      <c r="R6" s="28">
        <f ca="1">'Debt worksheet'!P5/'Profit and Loss'!P5</f>
        <v>2.3423519190457989</v>
      </c>
      <c r="S6" s="28">
        <f ca="1">'Debt worksheet'!Q5/'Profit and Loss'!Q5</f>
        <v>2.3248728150482894</v>
      </c>
      <c r="T6" s="28">
        <f ca="1">'Debt worksheet'!R5/'Profit and Loss'!R5</f>
        <v>2.3036678369867372</v>
      </c>
      <c r="U6" s="28">
        <f ca="1">'Debt worksheet'!S5/'Profit and Loss'!S5</f>
        <v>2.2781087330209595</v>
      </c>
      <c r="V6" s="28">
        <f ca="1">'Debt worksheet'!T5/'Profit and Loss'!T5</f>
        <v>2.2690369410615165</v>
      </c>
      <c r="W6" s="28">
        <f ca="1">'Debt worksheet'!U5/'Profit and Loss'!U5</f>
        <v>2.2634576874039576</v>
      </c>
      <c r="X6" s="28">
        <f ca="1">'Debt worksheet'!V5/'Profit and Loss'!V5</f>
        <v>2.2607115360946528</v>
      </c>
      <c r="Y6" s="28">
        <f ca="1">'Debt worksheet'!W5/'Profit and Loss'!W5</f>
        <v>2.2601741957718278</v>
      </c>
      <c r="Z6" s="28">
        <f ca="1">'Debt worksheet'!X5/'Profit and Loss'!X5</f>
        <v>2.2612551297393555</v>
      </c>
      <c r="AA6" s="28">
        <f ca="1">'Debt worksheet'!Y5/'Profit and Loss'!Y5</f>
        <v>2.263396214461769</v>
      </c>
      <c r="AB6" s="28">
        <f ca="1">'Debt worksheet'!Z5/'Profit and Loss'!Z5</f>
        <v>2.2660704448993703</v>
      </c>
      <c r="AC6" s="28">
        <f ca="1">'Debt worksheet'!AA5/'Profit and Loss'!AA5</f>
        <v>2.2687806851521004</v>
      </c>
      <c r="AD6" s="28">
        <f ca="1">'Debt worksheet'!AB5/'Profit and Loss'!AB5</f>
        <v>2.2710584629290249</v>
      </c>
      <c r="AE6" s="28">
        <f ca="1">'Debt worksheet'!AC5/'Profit and Loss'!AC5</f>
        <v>2.272462806407046</v>
      </c>
      <c r="AF6" s="28">
        <f ca="1">'Debt worksheet'!AD5/'Profit and Loss'!AD5</f>
        <v>2.334841563788784</v>
      </c>
      <c r="AG6" s="28">
        <f ca="1">'Debt worksheet'!AE5/'Profit and Loss'!AE5</f>
        <v>2.4249418974899832</v>
      </c>
      <c r="AH6" s="28">
        <f ca="1">'Debt worksheet'!AF5/'Profit and Loss'!AF5</f>
        <v>2.5434183684962646</v>
      </c>
      <c r="AI6" s="31"/>
    </row>
    <row r="7" spans="1:35" ht="21" x14ac:dyDescent="0.5">
      <c r="A7" s="19" t="s">
        <v>38</v>
      </c>
      <c r="B7" s="26">
        <f ca="1">MIN('Price and Financial ratios'!E7:AH7)</f>
        <v>0.22093008791554344</v>
      </c>
      <c r="C7" s="26"/>
      <c r="D7" s="26"/>
      <c r="E7" s="56">
        <f ca="1">'Cash Flow'!C7/'Debt worksheet'!C5</f>
        <v>0.98271266373946575</v>
      </c>
      <c r="F7" s="32">
        <f ca="1">'Cash Flow'!D7/'Debt worksheet'!D5</f>
        <v>0.24794806251012369</v>
      </c>
      <c r="G7" s="32">
        <f ca="1">'Cash Flow'!E7/'Debt worksheet'!E5</f>
        <v>0.22288040261919839</v>
      </c>
      <c r="H7" s="32">
        <f ca="1">'Cash Flow'!F7/'Debt worksheet'!F5</f>
        <v>0.24201350047690715</v>
      </c>
      <c r="I7" s="32">
        <f ca="1">'Cash Flow'!G7/'Debt worksheet'!G5</f>
        <v>0.26291626199566859</v>
      </c>
      <c r="J7" s="32">
        <f ca="1">'Cash Flow'!H7/'Debt worksheet'!H5</f>
        <v>0.25969257239553545</v>
      </c>
      <c r="K7" s="32">
        <f ca="1">'Cash Flow'!I7/'Debt worksheet'!I5</f>
        <v>0.26421592394482463</v>
      </c>
      <c r="L7" s="32">
        <f ca="1">'Cash Flow'!J7/'Debt worksheet'!J5</f>
        <v>0.26843215223646022</v>
      </c>
      <c r="M7" s="17">
        <f ca="1">'Cash Flow'!K7/'Debt worksheet'!K5</f>
        <v>0.26981030030670905</v>
      </c>
      <c r="N7" s="17">
        <f ca="1">'Cash Flow'!L7/'Debt worksheet'!L5</f>
        <v>0.27387803056253707</v>
      </c>
      <c r="O7" s="17">
        <f ca="1">'Cash Flow'!M7/'Debt worksheet'!M5</f>
        <v>0.27259598161332854</v>
      </c>
      <c r="P7" s="17">
        <f ca="1">'Cash Flow'!N7/'Debt worksheet'!N5</f>
        <v>0.27171026520212527</v>
      </c>
      <c r="Q7" s="17">
        <f ca="1">'Cash Flow'!O7/'Debt worksheet'!O5</f>
        <v>0.27132538315158883</v>
      </c>
      <c r="R7" s="17">
        <f ca="1">'Cash Flow'!P7/'Debt worksheet'!P5</f>
        <v>0.27153914751009733</v>
      </c>
      <c r="S7" s="17">
        <f ca="1">'Cash Flow'!Q7/'Debt worksheet'!Q5</f>
        <v>0.27244590452082207</v>
      </c>
      <c r="T7" s="17">
        <f ca="1">'Cash Flow'!R7/'Debt worksheet'!R5</f>
        <v>0.27414017416192088</v>
      </c>
      <c r="U7" s="17">
        <f ca="1">'Cash Flow'!S7/'Debt worksheet'!S5</f>
        <v>0.27672071205062471</v>
      </c>
      <c r="V7" s="17">
        <f ca="1">'Cash Flow'!T7/'Debt worksheet'!T5</f>
        <v>0.2759455699831877</v>
      </c>
      <c r="W7" s="17">
        <f ca="1">'Cash Flow'!U7/'Debt worksheet'!U5</f>
        <v>0.27488896937536311</v>
      </c>
      <c r="X7" s="17">
        <f ca="1">'Cash Flow'!V7/'Debt worksheet'!V5</f>
        <v>0.2736346412957868</v>
      </c>
      <c r="Y7" s="17">
        <f ca="1">'Cash Flow'!W7/'Debt worksheet'!W5</f>
        <v>0.27226268094091849</v>
      </c>
      <c r="Z7" s="17">
        <f ca="1">'Cash Flow'!X7/'Debt worksheet'!X5</f>
        <v>0.27084845997833512</v>
      </c>
      <c r="AA7" s="17">
        <f ca="1">'Cash Flow'!Y7/'Debt worksheet'!Y5</f>
        <v>0.26946203495789106</v>
      </c>
      <c r="AB7" s="17">
        <f ca="1">'Cash Flow'!Z7/'Debt worksheet'!Z5</f>
        <v>0.26816798016871723</v>
      </c>
      <c r="AC7" s="17">
        <f ca="1">'Cash Flow'!AA7/'Debt worksheet'!AA5</f>
        <v>0.26702556651719722</v>
      </c>
      <c r="AD7" s="17">
        <f ca="1">'Cash Flow'!AB7/'Debt worksheet'!AB5</f>
        <v>0.26608921070874186</v>
      </c>
      <c r="AE7" s="17">
        <f ca="1">'Cash Flow'!AC7/'Debt worksheet'!AC5</f>
        <v>0.2654091280100313</v>
      </c>
      <c r="AF7" s="17">
        <f ca="1">'Cash Flow'!AD7/'Debt worksheet'!AD5</f>
        <v>0.25287244712236706</v>
      </c>
      <c r="AG7" s="17">
        <f ca="1">'Cash Flow'!AE7/'Debt worksheet'!AE5</f>
        <v>0.23781469322558266</v>
      </c>
      <c r="AH7" s="17">
        <f ca="1">'Cash Flow'!AF7/'Debt worksheet'!AF5</f>
        <v>0.22093008791554344</v>
      </c>
      <c r="AI7" s="29"/>
    </row>
    <row r="8" spans="1:35" ht="21" x14ac:dyDescent="0.5">
      <c r="A8" s="19" t="s">
        <v>33</v>
      </c>
      <c r="B8" s="26">
        <f ca="1">MAX('Price and Financial ratios'!E8:AH8)</f>
        <v>0.55360172804362762</v>
      </c>
      <c r="C8" s="26"/>
      <c r="D8" s="176"/>
      <c r="E8" s="17">
        <f>'Balance Sheet'!B11/'Balance Sheet'!B8</f>
        <v>4.8069759440943015E-2</v>
      </c>
      <c r="F8" s="17">
        <f ca="1">'Balance Sheet'!C11/'Balance Sheet'!C8</f>
        <v>0.35993935582699693</v>
      </c>
      <c r="G8" s="17">
        <f ca="1">'Balance Sheet'!D11/'Balance Sheet'!D8</f>
        <v>0.49118236010877786</v>
      </c>
      <c r="H8" s="17">
        <f ca="1">'Balance Sheet'!E11/'Balance Sheet'!E8</f>
        <v>0.54632094245709628</v>
      </c>
      <c r="I8" s="17">
        <f ca="1">'Balance Sheet'!F11/'Balance Sheet'!F8</f>
        <v>0.55360172804362762</v>
      </c>
      <c r="J8" s="17">
        <f ca="1">'Balance Sheet'!G11/'Balance Sheet'!G8</f>
        <v>0.53506633508738144</v>
      </c>
      <c r="K8" s="17">
        <f ca="1">'Balance Sheet'!H11/'Balance Sheet'!H8</f>
        <v>0.51458227321204519</v>
      </c>
      <c r="L8" s="17">
        <f ca="1">'Balance Sheet'!I11/'Balance Sheet'!I8</f>
        <v>0.4912049050099383</v>
      </c>
      <c r="M8" s="17">
        <f ca="1">'Balance Sheet'!J11/'Balance Sheet'!J8</f>
        <v>0.46754409793317764</v>
      </c>
      <c r="N8" s="17">
        <f ca="1">'Balance Sheet'!K11/'Balance Sheet'!K8</f>
        <v>0.44599161173622748</v>
      </c>
      <c r="O8" s="17">
        <f ca="1">'Balance Sheet'!L11/'Balance Sheet'!L8</f>
        <v>0.42552362288005069</v>
      </c>
      <c r="P8" s="17">
        <f ca="1">'Balance Sheet'!M11/'Balance Sheet'!M8</f>
        <v>0.40856399169675967</v>
      </c>
      <c r="Q8" s="17">
        <f ca="1">'Balance Sheet'!N11/'Balance Sheet'!N8</f>
        <v>0.39422835071664986</v>
      </c>
      <c r="R8" s="17">
        <f ca="1">'Balance Sheet'!O11/'Balance Sheet'!O8</f>
        <v>0.38185149327957019</v>
      </c>
      <c r="S8" s="17">
        <f ca="1">'Balance Sheet'!P11/'Balance Sheet'!P8</f>
        <v>0.37091971743784508</v>
      </c>
      <c r="T8" s="17">
        <f ca="1">'Balance Sheet'!Q11/'Balance Sheet'!Q8</f>
        <v>0.36102659248343699</v>
      </c>
      <c r="U8" s="17">
        <f ca="1">'Balance Sheet'!R11/'Balance Sheet'!R8</f>
        <v>0.35184319756709559</v>
      </c>
      <c r="V8" s="17">
        <f ca="1">'Balance Sheet'!S11/'Balance Sheet'!S8</f>
        <v>0.34309758824518372</v>
      </c>
      <c r="W8" s="17">
        <f ca="1">'Balance Sheet'!T11/'Balance Sheet'!T8</f>
        <v>0.33595540507358218</v>
      </c>
      <c r="X8" s="17">
        <f ca="1">'Balance Sheet'!U11/'Balance Sheet'!U8</f>
        <v>0.33014702280160668</v>
      </c>
      <c r="Y8" s="17">
        <f ca="1">'Balance Sheet'!V11/'Balance Sheet'!V8</f>
        <v>0.32544712254086</v>
      </c>
      <c r="Z8" s="17">
        <f ca="1">'Balance Sheet'!W11/'Balance Sheet'!W8</f>
        <v>0.32166504728870038</v>
      </c>
      <c r="AA8" s="17">
        <f ca="1">'Balance Sheet'!X11/'Balance Sheet'!X8</f>
        <v>0.31863753410927331</v>
      </c>
      <c r="AB8" s="17">
        <f ca="1">'Balance Sheet'!Y11/'Balance Sheet'!Y8</f>
        <v>0.31622316586449906</v>
      </c>
      <c r="AC8" s="17">
        <f ca="1">'Balance Sheet'!Z11/'Balance Sheet'!Z8</f>
        <v>0.31429808512118856</v>
      </c>
      <c r="AD8" s="17">
        <f ca="1">'Balance Sheet'!AA11/'Balance Sheet'!AA8</f>
        <v>0.31275264679410497</v>
      </c>
      <c r="AE8" s="17">
        <f ca="1">'Balance Sheet'!AB11/'Balance Sheet'!AB8</f>
        <v>0.31148877745349252</v>
      </c>
      <c r="AF8" s="17">
        <f ca="1">'Balance Sheet'!AC11/'Balance Sheet'!AC8</f>
        <v>0.31041787254712983</v>
      </c>
      <c r="AG8" s="17">
        <f ca="1">'Balance Sheet'!AD11/'Balance Sheet'!AD8</f>
        <v>0.31304530965823252</v>
      </c>
      <c r="AH8" s="17">
        <f ca="1">'Balance Sheet'!AE11/'Balance Sheet'!AE8</f>
        <v>0.3191393724569504</v>
      </c>
      <c r="AI8" s="29"/>
    </row>
    <row r="9" spans="1:35" ht="21.5" thickBot="1" x14ac:dyDescent="0.55000000000000004">
      <c r="A9" s="20" t="s">
        <v>32</v>
      </c>
      <c r="B9" s="21">
        <f ca="1">MIN('Price and Financial ratios'!E9:AH9)</f>
        <v>4.7489939908202246</v>
      </c>
      <c r="C9" s="21"/>
      <c r="D9" s="177"/>
      <c r="E9" s="21">
        <f ca="1">('Cash Flow'!C7+'Profit and Loss'!C8)/('Profit and Loss'!C8)</f>
        <v>4.7489939908202246</v>
      </c>
      <c r="F9" s="21">
        <f ca="1">('Cash Flow'!D7+'Profit and Loss'!D8)/('Profit and Loss'!D8)</f>
        <v>4.9274461911646013</v>
      </c>
      <c r="G9" s="21">
        <f ca="1">('Cash Flow'!E7+'Profit and Loss'!E8)/('Profit and Loss'!E8)</f>
        <v>5.576388150266693</v>
      </c>
      <c r="H9" s="21">
        <f ca="1">('Cash Flow'!F7+'Profit and Loss'!F8)/('Profit and Loss'!F8)</f>
        <v>6.6537866657381057</v>
      </c>
      <c r="I9" s="21">
        <f ca="1">('Cash Flow'!G7+'Profit and Loss'!G8)/('Profit and Loss'!G8)</f>
        <v>7.6044558759902845</v>
      </c>
      <c r="J9" s="21">
        <f ca="1">('Cash Flow'!H7+'Profit and Loss'!H8)/('Profit and Loss'!H8)</f>
        <v>7.6802357000081063</v>
      </c>
      <c r="K9" s="21">
        <f ca="1">('Cash Flow'!I7+'Profit and Loss'!I8)/('Profit and Loss'!I8)</f>
        <v>7.9473242285296903</v>
      </c>
      <c r="L9" s="21">
        <f ca="1">('Cash Flow'!J7+'Profit and Loss'!J8)/('Profit and Loss'!J8)</f>
        <v>8.1603938602512471</v>
      </c>
      <c r="M9" s="21">
        <f ca="1">('Cash Flow'!K7+'Profit and Loss'!K8)/('Profit and Loss'!K8)</f>
        <v>8.2490406877049853</v>
      </c>
      <c r="N9" s="21">
        <f ca="1">('Cash Flow'!L7+'Profit and Loss'!L8)/('Profit and Loss'!L8)</f>
        <v>8.4140492673296574</v>
      </c>
      <c r="O9" s="21">
        <f ca="1">('Cash Flow'!M7+'Profit and Loss'!M8)/('Profit and Loss'!M8)</f>
        <v>8.3810078701225237</v>
      </c>
      <c r="P9" s="21">
        <f ca="1">('Cash Flow'!N7+'Profit and Loss'!N8)/('Profit and Loss'!N8)</f>
        <v>8.3615999330948423</v>
      </c>
      <c r="Q9" s="21">
        <f ca="1">('Cash Flow'!O7+'Profit and Loss'!O8)/('Profit and Loss'!O8)</f>
        <v>8.3584666038775186</v>
      </c>
      <c r="R9" s="21">
        <f ca="1">('Cash Flow'!P7+'Profit and Loss'!P8)/('Profit and Loss'!P8)</f>
        <v>8.3741418266190468</v>
      </c>
      <c r="S9" s="21">
        <f ca="1">('Cash Flow'!Q7+'Profit and Loss'!Q8)/('Profit and Loss'!Q8)</f>
        <v>8.4111518986430767</v>
      </c>
      <c r="T9" s="21">
        <f ca="1">('Cash Flow'!R7+'Profit and Loss'!R8)/('Profit and Loss'!R8)</f>
        <v>8.4721259666869884</v>
      </c>
      <c r="U9" s="21">
        <f ca="1">('Cash Flow'!S7+'Profit and Loss'!S8)/('Profit and Loss'!S8)</f>
        <v>8.5599201003007792</v>
      </c>
      <c r="V9" s="21">
        <f ca="1">('Cash Flow'!T7+'Profit and Loss'!T8)/('Profit and Loss'!T8)</f>
        <v>8.5272314324839904</v>
      </c>
      <c r="W9" s="21">
        <f ca="1">('Cash Flow'!U7+'Profit and Loss'!U8)/('Profit and Loss'!U8)</f>
        <v>8.4890580928123285</v>
      </c>
      <c r="X9" s="21">
        <f ca="1">('Cash Flow'!V7+'Profit and Loss'!V8)/('Profit and Loss'!V8)</f>
        <v>8.447610775061305</v>
      </c>
      <c r="Y9" s="21">
        <f ca="1">('Cash Flow'!W7+'Profit and Loss'!W8)/('Profit and Loss'!W8)</f>
        <v>8.404966880973614</v>
      </c>
      <c r="Z9" s="21">
        <f ca="1">('Cash Flow'!X7+'Profit and Loss'!X8)/('Profit and Loss'!X8)</f>
        <v>8.3630543640061585</v>
      </c>
      <c r="AA9" s="21">
        <f ca="1">('Cash Flow'!Y7+'Profit and Loss'!Y8)/('Profit and Loss'!Y8)</f>
        <v>8.323647291702656</v>
      </c>
      <c r="AB9" s="21">
        <f ca="1">('Cash Flow'!Z7+'Profit and Loss'!Z8)/('Profit and Loss'!Z8)</f>
        <v>8.2883709397753318</v>
      </c>
      <c r="AC9" s="21">
        <f ca="1">('Cash Flow'!AA7+'Profit and Loss'!AA8)/('Profit and Loss'!AA8)</f>
        <v>8.2587143104755434</v>
      </c>
      <c r="AD9" s="21">
        <f ca="1">('Cash Flow'!AB7+'Profit and Loss'!AB8)/('Profit and Loss'!AB8)</f>
        <v>8.2360482201048875</v>
      </c>
      <c r="AE9" s="21">
        <f ca="1">('Cash Flow'!AC7+'Profit and Loss'!AC8)/('Profit and Loss'!AC8)</f>
        <v>8.2216474497261025</v>
      </c>
      <c r="AF9" s="21">
        <f ca="1">('Cash Flow'!AD7+'Profit and Loss'!AD8)/('Profit and Loss'!AD8)</f>
        <v>7.806731973077139</v>
      </c>
      <c r="AG9" s="21">
        <f ca="1">('Cash Flow'!AE7+'Profit and Loss'!AE8)/('Profit and Loss'!AE8)</f>
        <v>7.3387449468550301</v>
      </c>
      <c r="AH9" s="21">
        <f ca="1">('Cash Flow'!AF7+'Profit and Loss'!AF8)/('Profit and Loss'!AF8)</f>
        <v>6.8378105177454032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876032.24659827678</v>
      </c>
      <c r="D5" s="1">
        <f>Assumptions!E111</f>
        <v>876032.24659827678</v>
      </c>
      <c r="E5" s="1">
        <f>Assumptions!F111</f>
        <v>876032.24659827678</v>
      </c>
      <c r="F5" s="1">
        <f>Assumptions!G111</f>
        <v>876032.24659827678</v>
      </c>
      <c r="G5" s="1">
        <f>Assumptions!H111</f>
        <v>876032.24659827678</v>
      </c>
      <c r="H5" s="1">
        <f>Assumptions!I111</f>
        <v>876032.24659827678</v>
      </c>
      <c r="I5" s="1">
        <f>Assumptions!J111</f>
        <v>876032.24659827678</v>
      </c>
      <c r="J5" s="1">
        <f>Assumptions!K111</f>
        <v>876032.24659827678</v>
      </c>
      <c r="K5" s="1">
        <f>Assumptions!L111</f>
        <v>876032.24659827678</v>
      </c>
      <c r="L5" s="1">
        <f>Assumptions!M111</f>
        <v>876032.24659827678</v>
      </c>
      <c r="M5" s="1">
        <f>Assumptions!N111</f>
        <v>876032.24659827678</v>
      </c>
      <c r="N5" s="1">
        <f>Assumptions!O111</f>
        <v>876032.24659827678</v>
      </c>
      <c r="O5" s="1">
        <f>Assumptions!P111</f>
        <v>876032.24659827678</v>
      </c>
      <c r="P5" s="1">
        <f>Assumptions!Q111</f>
        <v>876032.24659827678</v>
      </c>
      <c r="Q5" s="1">
        <f>Assumptions!R111</f>
        <v>876032.24659827678</v>
      </c>
      <c r="R5" s="1">
        <f>Assumptions!S111</f>
        <v>876032.24659827678</v>
      </c>
      <c r="S5" s="1">
        <f>Assumptions!T111</f>
        <v>876032.24659827678</v>
      </c>
      <c r="T5" s="1">
        <f>Assumptions!U111</f>
        <v>876032.24659827678</v>
      </c>
      <c r="U5" s="1">
        <f>Assumptions!V111</f>
        <v>876032.24659827678</v>
      </c>
      <c r="V5" s="1">
        <f>Assumptions!W111</f>
        <v>876032.24659827678</v>
      </c>
      <c r="W5" s="1">
        <f>Assumptions!X111</f>
        <v>876032.24659827678</v>
      </c>
      <c r="X5" s="1">
        <f>Assumptions!Y111</f>
        <v>876032.24659827678</v>
      </c>
      <c r="Y5" s="1">
        <f>Assumptions!Z111</f>
        <v>876032.24659827678</v>
      </c>
      <c r="Z5" s="1">
        <f>Assumptions!AA111</f>
        <v>876032.24659827678</v>
      </c>
      <c r="AA5" s="1">
        <f>Assumptions!AB111</f>
        <v>876032.24659827678</v>
      </c>
      <c r="AB5" s="1">
        <f>Assumptions!AC111</f>
        <v>876032.24659827678</v>
      </c>
      <c r="AC5" s="1">
        <f>Assumptions!AD111</f>
        <v>876032.24659827678</v>
      </c>
      <c r="AD5" s="1">
        <f>Assumptions!AE111</f>
        <v>876032.24659827678</v>
      </c>
      <c r="AE5" s="1">
        <f>Assumptions!AF111</f>
        <v>876032.24659827678</v>
      </c>
      <c r="AF5" s="1">
        <f>Assumptions!AG111</f>
        <v>876032.24659827678</v>
      </c>
    </row>
    <row r="6" spans="1:32" x14ac:dyDescent="0.35">
      <c r="A6" t="s">
        <v>68</v>
      </c>
      <c r="C6" s="1">
        <f>Assumptions!D113</f>
        <v>9333333.333333334</v>
      </c>
      <c r="D6" s="1">
        <f>Assumptions!E113</f>
        <v>9333333.333333334</v>
      </c>
      <c r="E6" s="1">
        <f>Assumptions!F113</f>
        <v>9333333.333333334</v>
      </c>
      <c r="F6" s="1">
        <f>Assumptions!G113</f>
        <v>9333333.333333334</v>
      </c>
      <c r="G6" s="1">
        <f>Assumptions!H113</f>
        <v>9333333.333333334</v>
      </c>
      <c r="H6" s="1">
        <f>Assumptions!I113</f>
        <v>9333333.333333334</v>
      </c>
      <c r="I6" s="1">
        <f>Assumptions!J113</f>
        <v>9333333.333333334</v>
      </c>
      <c r="J6" s="1">
        <f>Assumptions!K113</f>
        <v>9333333.333333334</v>
      </c>
      <c r="K6" s="1">
        <f>Assumptions!L113</f>
        <v>9333333.333333334</v>
      </c>
      <c r="L6" s="1">
        <f>Assumptions!M113</f>
        <v>9333333.333333334</v>
      </c>
      <c r="M6" s="1">
        <f>Assumptions!N113</f>
        <v>9333333.333333334</v>
      </c>
      <c r="N6" s="1">
        <f>Assumptions!O113</f>
        <v>9333333.333333334</v>
      </c>
      <c r="O6" s="1">
        <f>Assumptions!P113</f>
        <v>9333333.333333334</v>
      </c>
      <c r="P6" s="1">
        <f>Assumptions!Q113</f>
        <v>9333333.333333334</v>
      </c>
      <c r="Q6" s="1">
        <f>Assumptions!R113</f>
        <v>9333333.333333334</v>
      </c>
      <c r="R6" s="1">
        <f>Assumptions!S113</f>
        <v>9333333.333333334</v>
      </c>
      <c r="S6" s="1">
        <f>Assumptions!T113</f>
        <v>9333333.333333334</v>
      </c>
      <c r="T6" s="1">
        <f>Assumptions!U113</f>
        <v>9333333.333333334</v>
      </c>
      <c r="U6" s="1">
        <f>Assumptions!V113</f>
        <v>9333333.333333334</v>
      </c>
      <c r="V6" s="1">
        <f>Assumptions!W113</f>
        <v>9333333.333333334</v>
      </c>
      <c r="W6" s="1">
        <f>Assumptions!X113</f>
        <v>9333333.333333334</v>
      </c>
      <c r="X6" s="1">
        <f>Assumptions!Y113</f>
        <v>9333333.333333334</v>
      </c>
      <c r="Y6" s="1">
        <f>Assumptions!Z113</f>
        <v>9333333.333333334</v>
      </c>
      <c r="Z6" s="1">
        <f>Assumptions!AA113</f>
        <v>9333333.333333334</v>
      </c>
      <c r="AA6" s="1">
        <f>Assumptions!AB113</f>
        <v>9333333.333333334</v>
      </c>
      <c r="AB6" s="1">
        <f>Assumptions!AC113</f>
        <v>9333333.333333334</v>
      </c>
      <c r="AC6" s="1">
        <f>Assumptions!AD113</f>
        <v>9333333.333333334</v>
      </c>
      <c r="AD6" s="1">
        <f>Assumptions!AE113</f>
        <v>9333333.333333334</v>
      </c>
      <c r="AE6" s="1">
        <f>Assumptions!AF113</f>
        <v>9333333.333333334</v>
      </c>
      <c r="AF6" s="1">
        <f>Assumptions!AG113</f>
        <v>9333333.333333334</v>
      </c>
    </row>
    <row r="7" spans="1:32" x14ac:dyDescent="0.35">
      <c r="A7" t="s">
        <v>73</v>
      </c>
      <c r="C7" s="1">
        <f>Assumptions!D120</f>
        <v>224000</v>
      </c>
      <c r="D7" s="1">
        <f>Assumptions!E120</f>
        <v>448000</v>
      </c>
      <c r="E7" s="1">
        <f>Assumptions!F120</f>
        <v>672000</v>
      </c>
      <c r="F7" s="1">
        <f>Assumptions!G120</f>
        <v>896000</v>
      </c>
      <c r="G7" s="1">
        <f>Assumptions!H120</f>
        <v>1120000.0000000002</v>
      </c>
      <c r="H7" s="1">
        <f>Assumptions!I120</f>
        <v>1344000</v>
      </c>
      <c r="I7" s="1">
        <f>Assumptions!J120</f>
        <v>1568000.0000000005</v>
      </c>
      <c r="J7" s="1">
        <f>Assumptions!K120</f>
        <v>1792000</v>
      </c>
      <c r="K7" s="1">
        <f>Assumptions!L120</f>
        <v>2016000</v>
      </c>
      <c r="L7" s="1">
        <f>Assumptions!M120</f>
        <v>2240000</v>
      </c>
      <c r="M7" s="1">
        <f>Assumptions!N120</f>
        <v>2463999.9999999995</v>
      </c>
      <c r="N7" s="1">
        <f>Assumptions!O120</f>
        <v>2687999.9999999995</v>
      </c>
      <c r="O7" s="1">
        <f>Assumptions!P120</f>
        <v>2911999.9999999991</v>
      </c>
      <c r="P7" s="1">
        <f>Assumptions!Q120</f>
        <v>3135999.9999999995</v>
      </c>
      <c r="Q7" s="1">
        <f>Assumptions!R120</f>
        <v>3359999.9999999995</v>
      </c>
      <c r="R7" s="1">
        <f>Assumptions!S120</f>
        <v>3583999.9999999991</v>
      </c>
      <c r="S7" s="1">
        <f>Assumptions!T120</f>
        <v>3807999.9999999995</v>
      </c>
      <c r="T7" s="1">
        <f>Assumptions!U120</f>
        <v>4032000</v>
      </c>
      <c r="U7" s="1">
        <f>Assumptions!V120</f>
        <v>4256000</v>
      </c>
      <c r="V7" s="1">
        <f>Assumptions!W120</f>
        <v>4480000.0000000009</v>
      </c>
      <c r="W7" s="1">
        <f>Assumptions!X120</f>
        <v>4704000.0000000009</v>
      </c>
      <c r="X7" s="1">
        <f>Assumptions!Y120</f>
        <v>4928000.0000000009</v>
      </c>
      <c r="Y7" s="1">
        <f>Assumptions!Z120</f>
        <v>5152000.0000000009</v>
      </c>
      <c r="Z7" s="1">
        <f>Assumptions!AA120</f>
        <v>5376000.0000000009</v>
      </c>
      <c r="AA7" s="1">
        <f>Assumptions!AB120</f>
        <v>5600000.0000000019</v>
      </c>
      <c r="AB7" s="1">
        <f>Assumptions!AC120</f>
        <v>5824000.0000000009</v>
      </c>
      <c r="AC7" s="1">
        <f>Assumptions!AD120</f>
        <v>6048000.0000000019</v>
      </c>
      <c r="AD7" s="1">
        <f>Assumptions!AE120</f>
        <v>6272000.0000000028</v>
      </c>
      <c r="AE7" s="1">
        <f>Assumptions!AF120</f>
        <v>6496000.0000000009</v>
      </c>
      <c r="AF7" s="1">
        <f>Assumptions!AG120</f>
        <v>6720000.0000000009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904065.2784894217</v>
      </c>
      <c r="D11" s="1">
        <f>D5*D$9</f>
        <v>932995.36740108312</v>
      </c>
      <c r="E11" s="1">
        <f t="shared" ref="D11:AF13" si="1">E5*E$9</f>
        <v>962851.21915791766</v>
      </c>
      <c r="F11" s="1">
        <f t="shared" si="1"/>
        <v>993662.45817097113</v>
      </c>
      <c r="G11" s="1">
        <f t="shared" si="1"/>
        <v>1025459.6568324423</v>
      </c>
      <c r="H11" s="1">
        <f t="shared" si="1"/>
        <v>1058274.3658510803</v>
      </c>
      <c r="I11" s="1">
        <f t="shared" si="1"/>
        <v>1092139.1455583146</v>
      </c>
      <c r="J11" s="1">
        <f t="shared" si="1"/>
        <v>1127087.5982161809</v>
      </c>
      <c r="K11" s="1">
        <f t="shared" si="1"/>
        <v>1163154.4013590987</v>
      </c>
      <c r="L11" s="1">
        <f t="shared" si="1"/>
        <v>1200375.3422025898</v>
      </c>
      <c r="M11" s="1">
        <f t="shared" si="1"/>
        <v>1238787.3531530728</v>
      </c>
      <c r="N11" s="1">
        <f t="shared" si="1"/>
        <v>1278428.548453971</v>
      </c>
      <c r="O11" s="1">
        <f t="shared" si="1"/>
        <v>1319338.2620044982</v>
      </c>
      <c r="P11" s="1">
        <f t="shared" si="1"/>
        <v>1361557.086388642</v>
      </c>
      <c r="Q11" s="1">
        <f t="shared" si="1"/>
        <v>1405126.9131530782</v>
      </c>
      <c r="R11" s="1">
        <f t="shared" si="1"/>
        <v>1450090.9743739772</v>
      </c>
      <c r="S11" s="1">
        <f t="shared" si="1"/>
        <v>1496493.8855539444</v>
      </c>
      <c r="T11" s="1">
        <f t="shared" si="1"/>
        <v>1544381.6898916706</v>
      </c>
      <c r="U11" s="1">
        <f t="shared" si="1"/>
        <v>1593801.9039682038</v>
      </c>
      <c r="V11" s="1">
        <f t="shared" si="1"/>
        <v>1644803.5648951866</v>
      </c>
      <c r="W11" s="1">
        <f t="shared" si="1"/>
        <v>1697437.2789718327</v>
      </c>
      <c r="X11" s="1">
        <f t="shared" si="1"/>
        <v>1751755.2718989311</v>
      </c>
      <c r="Y11" s="1">
        <f t="shared" si="1"/>
        <v>1807811.4405996967</v>
      </c>
      <c r="Z11" s="1">
        <f t="shared" si="1"/>
        <v>1865661.406698887</v>
      </c>
      <c r="AA11" s="1">
        <f t="shared" si="1"/>
        <v>1925362.5717132518</v>
      </c>
      <c r="AB11" s="1">
        <f t="shared" si="1"/>
        <v>1986974.1740080756</v>
      </c>
      <c r="AC11" s="1">
        <f t="shared" si="1"/>
        <v>2050557.3475763337</v>
      </c>
      <c r="AD11" s="1">
        <f t="shared" si="1"/>
        <v>2116175.1826987769</v>
      </c>
      <c r="AE11" s="1">
        <f t="shared" si="1"/>
        <v>2183892.7885451377</v>
      </c>
      <c r="AF11" s="1">
        <f t="shared" si="1"/>
        <v>2253777.3577785818</v>
      </c>
    </row>
    <row r="12" spans="1:32" x14ac:dyDescent="0.35">
      <c r="A12" t="s">
        <v>71</v>
      </c>
      <c r="C12" s="1">
        <f t="shared" ref="C12:R12" si="2">C6*C$9</f>
        <v>9632000</v>
      </c>
      <c r="D12" s="1">
        <f t="shared" si="2"/>
        <v>9940224</v>
      </c>
      <c r="E12" s="1">
        <f t="shared" si="2"/>
        <v>10258311.168</v>
      </c>
      <c r="F12" s="1">
        <f t="shared" si="2"/>
        <v>10586577.125375999</v>
      </c>
      <c r="G12" s="1">
        <f t="shared" si="2"/>
        <v>10925347.593388034</v>
      </c>
      <c r="H12" s="1">
        <f t="shared" si="2"/>
        <v>11274958.716376448</v>
      </c>
      <c r="I12" s="1">
        <f t="shared" si="2"/>
        <v>11635757.395300493</v>
      </c>
      <c r="J12" s="1">
        <f t="shared" si="2"/>
        <v>12008101.63195011</v>
      </c>
      <c r="K12" s="1">
        <f t="shared" si="2"/>
        <v>12392360.884172516</v>
      </c>
      <c r="L12" s="1">
        <f t="shared" si="2"/>
        <v>12788916.432466034</v>
      </c>
      <c r="M12" s="1">
        <f t="shared" si="2"/>
        <v>13198161.758304948</v>
      </c>
      <c r="N12" s="1">
        <f t="shared" si="2"/>
        <v>13620502.934570706</v>
      </c>
      <c r="O12" s="1">
        <f t="shared" si="2"/>
        <v>14056359.02847697</v>
      </c>
      <c r="P12" s="1">
        <f t="shared" si="2"/>
        <v>14506162.51738823</v>
      </c>
      <c r="Q12" s="1">
        <f t="shared" si="2"/>
        <v>14970359.717944652</v>
      </c>
      <c r="R12" s="1">
        <f t="shared" si="2"/>
        <v>15449411.228918884</v>
      </c>
      <c r="S12" s="1">
        <f t="shared" si="1"/>
        <v>15943792.38824429</v>
      </c>
      <c r="T12" s="1">
        <f t="shared" si="1"/>
        <v>16453993.744668104</v>
      </c>
      <c r="U12" s="1">
        <f t="shared" si="1"/>
        <v>16980521.544497482</v>
      </c>
      <c r="V12" s="1">
        <f t="shared" si="1"/>
        <v>17523898.233921405</v>
      </c>
      <c r="W12" s="1">
        <f t="shared" si="1"/>
        <v>18084662.977406889</v>
      </c>
      <c r="X12" s="1">
        <f t="shared" si="1"/>
        <v>18663372.192683909</v>
      </c>
      <c r="Y12" s="1">
        <f t="shared" si="1"/>
        <v>19260600.102849789</v>
      </c>
      <c r="Z12" s="1">
        <f t="shared" si="1"/>
        <v>19876939.306140985</v>
      </c>
      <c r="AA12" s="1">
        <f t="shared" si="1"/>
        <v>20513001.363937501</v>
      </c>
      <c r="AB12" s="1">
        <f t="shared" si="1"/>
        <v>21169417.407583497</v>
      </c>
      <c r="AC12" s="1">
        <f t="shared" si="1"/>
        <v>21846838.764626168</v>
      </c>
      <c r="AD12" s="1">
        <f t="shared" si="1"/>
        <v>22545937.605094209</v>
      </c>
      <c r="AE12" s="1">
        <f t="shared" si="1"/>
        <v>23267407.608457223</v>
      </c>
      <c r="AF12" s="1">
        <f t="shared" si="1"/>
        <v>24011964.651927851</v>
      </c>
    </row>
    <row r="13" spans="1:32" x14ac:dyDescent="0.35">
      <c r="A13" t="s">
        <v>74</v>
      </c>
      <c r="C13" s="1">
        <f>C7*C$9</f>
        <v>231168</v>
      </c>
      <c r="D13" s="1">
        <f t="shared" si="1"/>
        <v>477130.75199999998</v>
      </c>
      <c r="E13" s="1">
        <f t="shared" si="1"/>
        <v>738598.4040959999</v>
      </c>
      <c r="F13" s="1">
        <f t="shared" si="1"/>
        <v>1016311.4040360959</v>
      </c>
      <c r="G13" s="1">
        <f t="shared" si="1"/>
        <v>1311041.7112065642</v>
      </c>
      <c r="H13" s="1">
        <f t="shared" si="1"/>
        <v>1623594.0551582086</v>
      </c>
      <c r="I13" s="1">
        <f t="shared" si="1"/>
        <v>1954807.2424104833</v>
      </c>
      <c r="J13" s="1">
        <f t="shared" si="1"/>
        <v>2305555.513334421</v>
      </c>
      <c r="K13" s="1">
        <f t="shared" si="1"/>
        <v>2676749.9509812631</v>
      </c>
      <c r="L13" s="1">
        <f t="shared" si="1"/>
        <v>3069339.9437918481</v>
      </c>
      <c r="M13" s="1">
        <f t="shared" si="1"/>
        <v>3484314.7041925052</v>
      </c>
      <c r="N13" s="1">
        <f t="shared" si="1"/>
        <v>3922704.8451563623</v>
      </c>
      <c r="O13" s="1">
        <f t="shared" si="1"/>
        <v>4385584.0168848131</v>
      </c>
      <c r="P13" s="1">
        <f t="shared" si="1"/>
        <v>4874070.6058424441</v>
      </c>
      <c r="Q13" s="1">
        <f t="shared" si="1"/>
        <v>5389329.498460073</v>
      </c>
      <c r="R13" s="1">
        <f t="shared" si="1"/>
        <v>5932573.9119048491</v>
      </c>
      <c r="S13" s="1">
        <f t="shared" si="1"/>
        <v>6505067.2944036685</v>
      </c>
      <c r="T13" s="1">
        <f t="shared" si="1"/>
        <v>7108125.2976966202</v>
      </c>
      <c r="U13" s="1">
        <f t="shared" si="1"/>
        <v>7743117.8242908511</v>
      </c>
      <c r="V13" s="1">
        <f t="shared" si="1"/>
        <v>8411471.1522822753</v>
      </c>
      <c r="W13" s="1">
        <f t="shared" si="1"/>
        <v>9114670.1406130735</v>
      </c>
      <c r="X13" s="1">
        <f t="shared" si="1"/>
        <v>9854260.5177371055</v>
      </c>
      <c r="Y13" s="1">
        <f t="shared" si="1"/>
        <v>10631851.256773086</v>
      </c>
      <c r="Z13" s="1">
        <f t="shared" si="1"/>
        <v>11449117.040337209</v>
      </c>
      <c r="AA13" s="1">
        <f t="shared" si="1"/>
        <v>12307800.818362504</v>
      </c>
      <c r="AB13" s="1">
        <f t="shared" si="1"/>
        <v>13209716.462332103</v>
      </c>
      <c r="AC13" s="1">
        <f t="shared" si="1"/>
        <v>14156751.51947776</v>
      </c>
      <c r="AD13" s="1">
        <f t="shared" si="1"/>
        <v>15150870.070623314</v>
      </c>
      <c r="AE13" s="1">
        <f t="shared" si="1"/>
        <v>16194115.695486229</v>
      </c>
      <c r="AF13" s="1">
        <f t="shared" si="1"/>
        <v>17288614.549388055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10767233.278489422</v>
      </c>
      <c r="D25" s="40">
        <f>SUM(D11:D13,D18:D23)</f>
        <v>11350350.119401084</v>
      </c>
      <c r="E25" s="40">
        <f t="shared" ref="E25:AF25" si="7">SUM(E11:E13,E18:E23)</f>
        <v>11959760.791253917</v>
      </c>
      <c r="F25" s="40">
        <f t="shared" si="7"/>
        <v>12596550.987583065</v>
      </c>
      <c r="G25" s="40">
        <f t="shared" si="7"/>
        <v>13261848.96142704</v>
      </c>
      <c r="H25" s="40">
        <f t="shared" si="7"/>
        <v>13956827.137385737</v>
      </c>
      <c r="I25" s="40">
        <f t="shared" si="7"/>
        <v>14682703.78326929</v>
      </c>
      <c r="J25" s="40">
        <f t="shared" si="7"/>
        <v>15440744.743500713</v>
      </c>
      <c r="K25" s="40">
        <f t="shared" si="7"/>
        <v>16232265.236512877</v>
      </c>
      <c r="L25" s="40">
        <f t="shared" si="7"/>
        <v>17058631.71846047</v>
      </c>
      <c r="M25" s="40">
        <f t="shared" si="7"/>
        <v>17921263.815650526</v>
      </c>
      <c r="N25" s="40">
        <f t="shared" si="7"/>
        <v>18821636.32818104</v>
      </c>
      <c r="O25" s="40">
        <f t="shared" si="7"/>
        <v>19761281.307366282</v>
      </c>
      <c r="P25" s="40">
        <f t="shared" si="7"/>
        <v>20741790.209619317</v>
      </c>
      <c r="Q25" s="40">
        <f t="shared" si="7"/>
        <v>21764816.129557803</v>
      </c>
      <c r="R25" s="40">
        <f t="shared" si="7"/>
        <v>22832076.115197711</v>
      </c>
      <c r="S25" s="40">
        <f t="shared" si="7"/>
        <v>23945353.568201903</v>
      </c>
      <c r="T25" s="40">
        <f t="shared" si="7"/>
        <v>25106500.732256394</v>
      </c>
      <c r="U25" s="40">
        <f t="shared" si="7"/>
        <v>26317441.272756539</v>
      </c>
      <c r="V25" s="40">
        <f t="shared" si="7"/>
        <v>27580172.951098867</v>
      </c>
      <c r="W25" s="40">
        <f t="shared" si="7"/>
        <v>28896770.396991797</v>
      </c>
      <c r="X25" s="40">
        <f t="shared" si="7"/>
        <v>30269387.982319947</v>
      </c>
      <c r="Y25" s="40">
        <f t="shared" si="7"/>
        <v>31700262.800222568</v>
      </c>
      <c r="Z25" s="40">
        <f t="shared" si="7"/>
        <v>33191717.75317708</v>
      </c>
      <c r="AA25" s="40">
        <f t="shared" si="7"/>
        <v>34746164.754013255</v>
      </c>
      <c r="AB25" s="40">
        <f t="shared" si="7"/>
        <v>36366108.043923676</v>
      </c>
      <c r="AC25" s="40">
        <f t="shared" si="7"/>
        <v>38054147.631680265</v>
      </c>
      <c r="AD25" s="40">
        <f t="shared" si="7"/>
        <v>39812982.858416304</v>
      </c>
      <c r="AE25" s="40">
        <f t="shared" si="7"/>
        <v>41645416.092488587</v>
      </c>
      <c r="AF25" s="40">
        <f t="shared" si="7"/>
        <v>43554356.559094489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3800000</v>
      </c>
      <c r="D5" s="59">
        <f>C5*('Price and Financial ratios'!F4+1)*(1+Assumptions!$C$13)</f>
        <v>5700000</v>
      </c>
      <c r="E5" s="59">
        <f>D5*('Price and Financial ratios'!G4+1)*(1+Assumptions!$C$13)</f>
        <v>7979999.9999999991</v>
      </c>
      <c r="F5" s="59">
        <f>E5*('Price and Financial ratios'!H4+1)*(1+Assumptions!$C$13)</f>
        <v>10773000</v>
      </c>
      <c r="G5" s="59">
        <f>F5*('Price and Financial ratios'!I4+1)*(1+Assumptions!$C$13)</f>
        <v>13466250</v>
      </c>
      <c r="H5" s="59">
        <f>G5*('Price and Financial ratios'!J4+1)*(1+Assumptions!$C$13)</f>
        <v>15082200.000000002</v>
      </c>
      <c r="I5" s="59">
        <f>H5*('Price and Financial ratios'!K4+1)*(1+Assumptions!$C$13)</f>
        <v>16892064.000000004</v>
      </c>
      <c r="J5" s="59">
        <f>I5*('Price and Financial ratios'!L4+1)*(1+Assumptions!$C$13)</f>
        <v>18581270.400000006</v>
      </c>
      <c r="K5" s="59">
        <f>J5*('Price and Financial ratios'!M4+1)*(1+Assumptions!$C$13)</f>
        <v>20067772.032000009</v>
      </c>
      <c r="L5" s="59">
        <f>K5*('Price and Financial ratios'!N4+1)*(1+Assumptions!$C$13)</f>
        <v>21673193.794560011</v>
      </c>
      <c r="M5" s="59">
        <f>L5*('Price and Financial ratios'!O4+1)*(1+Assumptions!$C$13)</f>
        <v>22973585.422233615</v>
      </c>
      <c r="N5" s="59">
        <f>M5*('Price and Financial ratios'!P4+1)*(1+Assumptions!$C$13)</f>
        <v>24352000.547567632</v>
      </c>
      <c r="O5" s="59">
        <f>N5*('Price and Financial ratios'!Q4+1)*(1+Assumptions!$C$13)</f>
        <v>25813120.58042169</v>
      </c>
      <c r="P5" s="59">
        <f>O5*('Price and Financial ratios'!R4+1)*(1+Assumptions!$C$13)</f>
        <v>27361907.815246992</v>
      </c>
      <c r="Q5" s="59">
        <f>P5*('Price and Financial ratios'!S4+1)*(1+Assumptions!$C$13)</f>
        <v>29003622.284161814</v>
      </c>
      <c r="R5" s="59">
        <f>Q5*('Price and Financial ratios'!T4+1)*(1+Assumptions!$C$13)</f>
        <v>30743839.621211525</v>
      </c>
      <c r="S5" s="59">
        <f>R5*('Price and Financial ratios'!U4+1)*(1+Assumptions!$C$13)</f>
        <v>32588469.998484217</v>
      </c>
      <c r="T5" s="59">
        <f>S5*('Price and Financial ratios'!V4+1)*(1+Assumptions!$C$13)</f>
        <v>34217893.498408429</v>
      </c>
      <c r="U5" s="59">
        <f>T5*('Price and Financial ratios'!W4+1)*(1+Assumptions!$C$13)</f>
        <v>35928788.173328854</v>
      </c>
      <c r="V5" s="59">
        <f>U5*('Price and Financial ratios'!X4+1)*(1+Assumptions!$C$13)</f>
        <v>37725227.581995301</v>
      </c>
      <c r="W5" s="59">
        <f>V5*('Price and Financial ratios'!Y4+1)*(1+Assumptions!$C$13)</f>
        <v>39611488.961095065</v>
      </c>
      <c r="X5" s="59">
        <f>W5*('Price and Financial ratios'!Z4+1)*(1+Assumptions!$C$13)</f>
        <v>41592063.409149818</v>
      </c>
      <c r="Y5" s="59">
        <f>X5*('Price and Financial ratios'!AA4+1)*(1+Assumptions!$C$13)</f>
        <v>43671666.579607308</v>
      </c>
      <c r="Z5" s="59">
        <f>Y5*('Price and Financial ratios'!AB4+1)*(1+Assumptions!$C$13)</f>
        <v>45855249.908587672</v>
      </c>
      <c r="AA5" s="59">
        <f>Z5*('Price and Financial ratios'!AC4+1)*(1+Assumptions!$C$13)</f>
        <v>48148012.404017061</v>
      </c>
      <c r="AB5" s="59">
        <f>AA5*('Price and Financial ratios'!AD4+1)*(1+Assumptions!$C$13)</f>
        <v>50555413.024217919</v>
      </c>
      <c r="AC5" s="59">
        <f>AB5*('Price and Financial ratios'!AE4+1)*(1+Assumptions!$C$13)</f>
        <v>53083183.675428815</v>
      </c>
      <c r="AD5" s="59">
        <f>AC5*('Price and Financial ratios'!AF4+1)*(1+Assumptions!$C$13)</f>
        <v>54251013.716288254</v>
      </c>
      <c r="AE5" s="59">
        <f>AD5*('Price and Financial ratios'!AG4+1)*(1+Assumptions!$C$13)</f>
        <v>55444536.018046595</v>
      </c>
      <c r="AF5" s="59">
        <f>AE5*('Price and Financial ratios'!AH4+1)*(1+Assumptions!$C$13)</f>
        <v>56664315.810443625</v>
      </c>
    </row>
    <row r="6" spans="1:32" s="11" customFormat="1" x14ac:dyDescent="0.35">
      <c r="A6" s="11" t="s">
        <v>20</v>
      </c>
      <c r="C6" s="59">
        <f>C27</f>
        <v>2006186</v>
      </c>
      <c r="D6" s="59">
        <f t="shared" ref="D6:AF6" si="1">D27</f>
        <v>2342777.6119999997</v>
      </c>
      <c r="E6" s="59">
        <f>E27</f>
        <v>2693208.2609040001</v>
      </c>
      <c r="F6" s="59">
        <f t="shared" si="1"/>
        <v>3057923.9539955682</v>
      </c>
      <c r="G6" s="59">
        <f t="shared" si="1"/>
        <v>3437383.6247848878</v>
      </c>
      <c r="H6" s="59">
        <f t="shared" si="1"/>
        <v>3832059.4858952034</v>
      </c>
      <c r="I6" s="59">
        <f t="shared" si="1"/>
        <v>4242437.3912199773</v>
      </c>
      <c r="J6" s="59">
        <f t="shared" si="1"/>
        <v>4669017.207587868</v>
      </c>
      <c r="K6" s="59">
        <f t="shared" si="1"/>
        <v>5112313.1961785946</v>
      </c>
      <c r="L6" s="59">
        <f t="shared" si="1"/>
        <v>5572854.4039388411</v>
      </c>
      <c r="M6" s="59">
        <f t="shared" si="1"/>
        <v>6051185.0652535884</v>
      </c>
      <c r="N6" s="59">
        <f t="shared" si="1"/>
        <v>6547865.014134679</v>
      </c>
      <c r="O6" s="59">
        <f t="shared" si="1"/>
        <v>7063470.1071949527</v>
      </c>
      <c r="P6" s="59">
        <f t="shared" si="1"/>
        <v>7598592.6576830363</v>
      </c>
      <c r="Q6" s="59">
        <f t="shared" si="1"/>
        <v>8153841.880860717</v>
      </c>
      <c r="R6" s="59">
        <f t="shared" si="1"/>
        <v>8729844.3510118946</v>
      </c>
      <c r="S6" s="59">
        <f t="shared" si="1"/>
        <v>9327244.470379388</v>
      </c>
      <c r="T6" s="59">
        <f t="shared" si="1"/>
        <v>9946704.9503331631</v>
      </c>
      <c r="U6" s="59">
        <f t="shared" si="1"/>
        <v>10588907.305081241</v>
      </c>
      <c r="V6" s="59">
        <f t="shared" si="1"/>
        <v>11254552.358242271</v>
      </c>
      <c r="W6" s="59">
        <f t="shared" si="1"/>
        <v>11944360.762606729</v>
      </c>
      <c r="X6" s="59">
        <f t="shared" si="1"/>
        <v>12659073.533421829</v>
      </c>
      <c r="Y6" s="59">
        <f t="shared" si="1"/>
        <v>13399452.595543694</v>
      </c>
      <c r="Z6" s="59">
        <f t="shared" si="1"/>
        <v>14166281.34480875</v>
      </c>
      <c r="AA6" s="59">
        <f t="shared" si="1"/>
        <v>14960365.223985221</v>
      </c>
      <c r="AB6" s="59">
        <f t="shared" si="1"/>
        <v>15782532.313674571</v>
      </c>
      <c r="AC6" s="59">
        <f t="shared" si="1"/>
        <v>16633633.938541843</v>
      </c>
      <c r="AD6" s="59">
        <f t="shared" si="1"/>
        <v>17514545.289263453</v>
      </c>
      <c r="AE6" s="59">
        <f t="shared" si="1"/>
        <v>18426166.060590565</v>
      </c>
      <c r="AF6" s="59">
        <f t="shared" si="1"/>
        <v>19369421.105936062</v>
      </c>
    </row>
    <row r="7" spans="1:32" x14ac:dyDescent="0.35">
      <c r="A7" t="s">
        <v>21</v>
      </c>
      <c r="C7" s="4">
        <f>Depreciation!C8+Depreciation!C9</f>
        <v>1135233.2784894216</v>
      </c>
      <c r="D7" s="4">
        <f>Depreciation!D8+Depreciation!D9</f>
        <v>1410126.1194010831</v>
      </c>
      <c r="E7" s="4">
        <f>Depreciation!E8+Depreciation!E9</f>
        <v>1701449.6232539176</v>
      </c>
      <c r="F7" s="4">
        <f>Depreciation!F8+Depreciation!F9</f>
        <v>2009973.8622070672</v>
      </c>
      <c r="G7" s="4">
        <f>Depreciation!G8+Depreciation!G9</f>
        <v>2336501.3680390064</v>
      </c>
      <c r="H7" s="4">
        <f>Depreciation!H8+Depreciation!H9</f>
        <v>2681868.4210092891</v>
      </c>
      <c r="I7" s="4">
        <f>Depreciation!I8+Depreciation!I9</f>
        <v>3046946.3879687982</v>
      </c>
      <c r="J7" s="4">
        <f>Depreciation!J8+Depreciation!J9</f>
        <v>3432643.1115506021</v>
      </c>
      <c r="K7" s="4">
        <f>Depreciation!K8+Depreciation!K9</f>
        <v>3839904.352340362</v>
      </c>
      <c r="L7" s="4">
        <f>Depreciation!L8+Depreciation!L9</f>
        <v>4269715.2859944385</v>
      </c>
      <c r="M7" s="4">
        <f>Depreciation!M8+Depreciation!M9</f>
        <v>4723102.0573455784</v>
      </c>
      <c r="N7" s="4">
        <f>Depreciation!N8+Depreciation!N9</f>
        <v>5201133.3936103331</v>
      </c>
      <c r="O7" s="4">
        <f>Depreciation!O8+Depreciation!O9</f>
        <v>5704922.2788893115</v>
      </c>
      <c r="P7" s="4">
        <f>Depreciation!P8+Depreciation!P9</f>
        <v>6235627.6922310861</v>
      </c>
      <c r="Q7" s="4">
        <f>Depreciation!Q8+Depreciation!Q9</f>
        <v>6794456.4116131514</v>
      </c>
      <c r="R7" s="4">
        <f>Depreciation!R8+Depreciation!R9</f>
        <v>7382664.8862788267</v>
      </c>
      <c r="S7" s="4">
        <f>Depreciation!S8+Depreciation!S9</f>
        <v>8001561.1799576133</v>
      </c>
      <c r="T7" s="4">
        <f>Depreciation!T8+Depreciation!T9</f>
        <v>8652506.9875882901</v>
      </c>
      <c r="U7" s="4">
        <f>Depreciation!U8+Depreciation!U9</f>
        <v>9336919.7282590549</v>
      </c>
      <c r="V7" s="4">
        <f>Depreciation!V8+Depreciation!V9</f>
        <v>10056274.717177462</v>
      </c>
      <c r="W7" s="4">
        <f>Depreciation!W8+Depreciation!W9</f>
        <v>10812107.419584906</v>
      </c>
      <c r="X7" s="4">
        <f>Depreciation!X8+Depreciation!X9</f>
        <v>11606015.789636036</v>
      </c>
      <c r="Y7" s="4">
        <f>Depreciation!Y8+Depreciation!Y9</f>
        <v>12439662.697372783</v>
      </c>
      <c r="Z7" s="4">
        <f>Depreciation!Z8+Depreciation!Z9</f>
        <v>13314778.447036095</v>
      </c>
      <c r="AA7" s="4">
        <f>Depreciation!AA8+Depreciation!AA9</f>
        <v>14233163.390075756</v>
      </c>
      <c r="AB7" s="4">
        <f>Depreciation!AB8+Depreciation!AB9</f>
        <v>15196690.636340179</v>
      </c>
      <c r="AC7" s="4">
        <f>Depreciation!AC8+Depreciation!AC9</f>
        <v>16207308.867054094</v>
      </c>
      <c r="AD7" s="4">
        <f>Depreciation!AD8+Depreciation!AD9</f>
        <v>17267045.253322091</v>
      </c>
      <c r="AE7" s="4">
        <f>Depreciation!AE8+Depreciation!AE9</f>
        <v>18378008.484031368</v>
      </c>
      <c r="AF7" s="4">
        <f>Depreciation!AF8+Depreciation!AF9</f>
        <v>19542391.907166637</v>
      </c>
    </row>
    <row r="8" spans="1:32" x14ac:dyDescent="0.35">
      <c r="A8" t="s">
        <v>6</v>
      </c>
      <c r="C8" s="4">
        <f ca="1">'Debt worksheet'!C8</f>
        <v>377725.05155142985</v>
      </c>
      <c r="D8" s="4">
        <f ca="1">'Debt worksheet'!D8</f>
        <v>681331.11103675421</v>
      </c>
      <c r="E8" s="4">
        <f ca="1">'Debt worksheet'!E8</f>
        <v>948067.38638578379</v>
      </c>
      <c r="F8" s="4">
        <f ca="1">'Debt worksheet'!F8</f>
        <v>1159501.564083975</v>
      </c>
      <c r="G8" s="4">
        <f ca="1">'Debt worksheet'!G8</f>
        <v>1318814.4607268316</v>
      </c>
      <c r="H8" s="4">
        <f ca="1">'Debt worksheet'!H8</f>
        <v>1464817.0907167506</v>
      </c>
      <c r="I8" s="4">
        <f ca="1">'Debt worksheet'!I8</f>
        <v>1591683.7220972795</v>
      </c>
      <c r="J8" s="4">
        <f ca="1">'Debt worksheet'!J8</f>
        <v>1704850.7009174919</v>
      </c>
      <c r="K8" s="4">
        <f ca="1">'Debt worksheet'!K8</f>
        <v>1812993.7046027908</v>
      </c>
      <c r="L8" s="4">
        <f ca="1">'Debt worksheet'!L8</f>
        <v>1913506.6695100169</v>
      </c>
      <c r="M8" s="4">
        <f ca="1">'Debt worksheet'!M8</f>
        <v>2019136.6741590514</v>
      </c>
      <c r="N8" s="4">
        <f ca="1">'Debt worksheet'!N8</f>
        <v>2129273.7844302948</v>
      </c>
      <c r="O8" s="4">
        <f ca="1">'Debt worksheet'!O8</f>
        <v>2243192.6047929311</v>
      </c>
      <c r="P8" s="4">
        <f ca="1">'Debt worksheet'!P8</f>
        <v>2360040.6545231803</v>
      </c>
      <c r="Q8" s="4">
        <f ca="1">'Debt worksheet'!Q8</f>
        <v>2478825.8082302227</v>
      </c>
      <c r="R8" s="4">
        <f ca="1">'Debt worksheet'!R8</f>
        <v>2598402.7334768451</v>
      </c>
      <c r="S8" s="4">
        <f ca="1">'Debt worksheet'!S8</f>
        <v>2717458.2537619099</v>
      </c>
      <c r="T8" s="4">
        <f ca="1">'Debt worksheet'!T8</f>
        <v>2846315.2126510357</v>
      </c>
      <c r="U8" s="4">
        <f ca="1">'Debt worksheet'!U8</f>
        <v>2985005.0018744539</v>
      </c>
      <c r="V8" s="4">
        <f ca="1">'Debt worksheet'!V8</f>
        <v>3133510.2822088688</v>
      </c>
      <c r="W8" s="4">
        <f ca="1">'Debt worksheet'!W8</f>
        <v>3291759.3359134607</v>
      </c>
      <c r="X8" s="4">
        <f ca="1">'Debt worksheet'!X8</f>
        <v>3459619.968543191</v>
      </c>
      <c r="Y8" s="4">
        <f ca="1">'Debt worksheet'!Y8</f>
        <v>3636892.9296463779</v>
      </c>
      <c r="Z8" s="4">
        <f ca="1">'Debt worksheet'!Z8</f>
        <v>3823304.8199744183</v>
      </c>
      <c r="AA8" s="4">
        <f ca="1">'Debt worksheet'!AA8</f>
        <v>4018500.4508432825</v>
      </c>
      <c r="AB8" s="4">
        <f ca="1">'Debt worksheet'!AB8</f>
        <v>4222034.6191829983</v>
      </c>
      <c r="AC8" s="4">
        <f ca="1">'Debt worksheet'!AC8</f>
        <v>4433363.2595862839</v>
      </c>
      <c r="AD8" s="4">
        <f ca="1">'Debt worksheet'!AD8</f>
        <v>4705742.2431968767</v>
      </c>
      <c r="AE8" s="4">
        <f ca="1">'Debt worksheet'!AE8</f>
        <v>5044237.1584694469</v>
      </c>
      <c r="AF8" s="4">
        <f ca="1">'Debt worksheet'!AF8</f>
        <v>5454215.8791502481</v>
      </c>
    </row>
    <row r="9" spans="1:32" x14ac:dyDescent="0.35">
      <c r="A9" t="s">
        <v>22</v>
      </c>
      <c r="C9" s="4">
        <f ca="1">C5-C6-C7-C8</f>
        <v>280855.66995914857</v>
      </c>
      <c r="D9" s="4">
        <f t="shared" ref="D9:AF9" ca="1" si="2">D5-D6-D7-D8</f>
        <v>1265765.157562163</v>
      </c>
      <c r="E9" s="4">
        <f t="shared" ca="1" si="2"/>
        <v>2637274.7294562981</v>
      </c>
      <c r="F9" s="4">
        <f t="shared" ca="1" si="2"/>
        <v>4545600.6197133893</v>
      </c>
      <c r="G9" s="4">
        <f t="shared" ca="1" si="2"/>
        <v>6373550.5464492757</v>
      </c>
      <c r="H9" s="4">
        <f t="shared" ca="1" si="2"/>
        <v>7103455.002378759</v>
      </c>
      <c r="I9" s="4">
        <f t="shared" ca="1" si="2"/>
        <v>8010996.4987139497</v>
      </c>
      <c r="J9" s="4">
        <f t="shared" ca="1" si="2"/>
        <v>8774759.3799440432</v>
      </c>
      <c r="K9" s="4">
        <f t="shared" ca="1" si="2"/>
        <v>9302560.7788782623</v>
      </c>
      <c r="L9" s="4">
        <f t="shared" ca="1" si="2"/>
        <v>9917117.4351167157</v>
      </c>
      <c r="M9" s="4">
        <f t="shared" ca="1" si="2"/>
        <v>10180161.625475395</v>
      </c>
      <c r="N9" s="4">
        <f t="shared" ca="1" si="2"/>
        <v>10473728.355392326</v>
      </c>
      <c r="O9" s="4">
        <f t="shared" ca="1" si="2"/>
        <v>10801535.589544494</v>
      </c>
      <c r="P9" s="4">
        <f t="shared" ca="1" si="2"/>
        <v>11167646.810809689</v>
      </c>
      <c r="Q9" s="4">
        <f t="shared" ca="1" si="2"/>
        <v>11576498.183457723</v>
      </c>
      <c r="R9" s="4">
        <f t="shared" ca="1" si="2"/>
        <v>12032927.650443958</v>
      </c>
      <c r="S9" s="4">
        <f t="shared" ca="1" si="2"/>
        <v>12542206.094385304</v>
      </c>
      <c r="T9" s="4">
        <f t="shared" ca="1" si="2"/>
        <v>12772366.347835939</v>
      </c>
      <c r="U9" s="4">
        <f t="shared" ca="1" si="2"/>
        <v>13017956.138114104</v>
      </c>
      <c r="V9" s="4">
        <f t="shared" ca="1" si="2"/>
        <v>13280890.224366697</v>
      </c>
      <c r="W9" s="4">
        <f t="shared" ca="1" si="2"/>
        <v>13563261.442989971</v>
      </c>
      <c r="X9" s="4">
        <f t="shared" ca="1" si="2"/>
        <v>13867354.11754876</v>
      </c>
      <c r="Y9" s="4">
        <f t="shared" ca="1" si="2"/>
        <v>14195658.357044453</v>
      </c>
      <c r="Z9" s="4">
        <f t="shared" ca="1" si="2"/>
        <v>14550885.296768408</v>
      </c>
      <c r="AA9" s="4">
        <f t="shared" ca="1" si="2"/>
        <v>14935983.339112803</v>
      </c>
      <c r="AB9" s="4">
        <f t="shared" ca="1" si="2"/>
        <v>15354155.455020173</v>
      </c>
      <c r="AC9" s="4">
        <f t="shared" ca="1" si="2"/>
        <v>15808877.610246593</v>
      </c>
      <c r="AD9" s="4">
        <f t="shared" ca="1" si="2"/>
        <v>14763680.930505829</v>
      </c>
      <c r="AE9" s="4">
        <f t="shared" ca="1" si="2"/>
        <v>13596124.314955216</v>
      </c>
      <c r="AF9" s="4">
        <f t="shared" ca="1" si="2"/>
        <v>12298286.918190673</v>
      </c>
    </row>
    <row r="12" spans="1:32" x14ac:dyDescent="0.35">
      <c r="A12" t="s">
        <v>79</v>
      </c>
      <c r="C12" s="2">
        <f>Assumptions!$C$25*Assumptions!D9*Assumptions!D13</f>
        <v>1720026</v>
      </c>
      <c r="D12" s="2">
        <f>Assumptions!$C$25*Assumptions!E9*Assumptions!E13</f>
        <v>1757866.5719999999</v>
      </c>
      <c r="E12" s="2">
        <f>Assumptions!$C$25*Assumptions!F9*Assumptions!F13</f>
        <v>1796539.636584</v>
      </c>
      <c r="F12" s="2">
        <f>Assumptions!$C$25*Assumptions!G9*Assumptions!G13</f>
        <v>1836063.5085888482</v>
      </c>
      <c r="G12" s="2">
        <f>Assumptions!$C$25*Assumptions!H9*Assumptions!H13</f>
        <v>1876456.9057778027</v>
      </c>
      <c r="H12" s="2">
        <f>Assumptions!$C$25*Assumptions!I9*Assumptions!I13</f>
        <v>1917738.9577049143</v>
      </c>
      <c r="I12" s="2">
        <f>Assumptions!$C$25*Assumptions!J9*Assumptions!J13</f>
        <v>1959929.2147744223</v>
      </c>
      <c r="J12" s="2">
        <f>Assumptions!$C$25*Assumptions!K9*Assumptions!K13</f>
        <v>2003047.65749946</v>
      </c>
      <c r="K12" s="2">
        <f>Assumptions!$C$25*Assumptions!L9*Assumptions!L13</f>
        <v>2047114.7059644479</v>
      </c>
      <c r="L12" s="2">
        <f>Assumptions!$C$25*Assumptions!M9*Assumptions!M13</f>
        <v>2092151.229495666</v>
      </c>
      <c r="M12" s="2">
        <f>Assumptions!$C$25*Assumptions!N9*Assumptions!N13</f>
        <v>2138178.5565445707</v>
      </c>
      <c r="N12" s="2">
        <f>Assumptions!$C$25*Assumptions!O9*Assumptions!O13</f>
        <v>2185218.4847885515</v>
      </c>
      <c r="O12" s="2">
        <f>Assumptions!$C$25*Assumptions!P9*Assumptions!P13</f>
        <v>2233293.2914538994</v>
      </c>
      <c r="P12" s="2">
        <f>Assumptions!$C$25*Assumptions!Q9*Assumptions!Q13</f>
        <v>2282425.7438658848</v>
      </c>
      <c r="Q12" s="2">
        <f>Assumptions!$C$25*Assumptions!R9*Assumptions!R13</f>
        <v>2332639.1102309348</v>
      </c>
      <c r="R12" s="2">
        <f>Assumptions!$C$25*Assumptions!S9*Assumptions!S13</f>
        <v>2383957.1706560152</v>
      </c>
      <c r="S12" s="2">
        <f>Assumptions!$C$25*Assumptions!T9*Assumptions!T13</f>
        <v>2436404.2284104475</v>
      </c>
      <c r="T12" s="2">
        <f>Assumptions!$C$25*Assumptions!U9*Assumptions!U13</f>
        <v>2490005.1214354774</v>
      </c>
      <c r="U12" s="2">
        <f>Assumptions!$C$25*Assumptions!V9*Assumptions!V13</f>
        <v>2544785.234107058</v>
      </c>
      <c r="V12" s="2">
        <f>Assumptions!$C$25*Assumptions!W9*Assumptions!W13</f>
        <v>2600770.5092574134</v>
      </c>
      <c r="W12" s="2">
        <f>Assumptions!$C$25*Assumptions!X9*Assumptions!X13</f>
        <v>2657987.4604610763</v>
      </c>
      <c r="X12" s="2">
        <f>Assumptions!$C$25*Assumptions!Y9*Assumptions!Y13</f>
        <v>2716463.1845912198</v>
      </c>
      <c r="Y12" s="2">
        <f>Assumptions!$C$25*Assumptions!Z9*Assumptions!Z13</f>
        <v>2776225.3746522265</v>
      </c>
      <c r="Z12" s="2">
        <f>Assumptions!$C$25*Assumptions!AA9*Assumptions!AA13</f>
        <v>2837302.3328945758</v>
      </c>
      <c r="AA12" s="2">
        <f>Assumptions!$C$25*Assumptions!AB9*Assumptions!AB13</f>
        <v>2899722.9842182565</v>
      </c>
      <c r="AB12" s="2">
        <f>Assumptions!$C$25*Assumptions!AC9*Assumptions!AC13</f>
        <v>2963516.8898710585</v>
      </c>
      <c r="AC12" s="2">
        <f>Assumptions!$C$25*Assumptions!AD9*Assumptions!AD13</f>
        <v>3028714.2614482217</v>
      </c>
      <c r="AD12" s="2">
        <f>Assumptions!$C$25*Assumptions!AE9*Assumptions!AE13</f>
        <v>3095345.9752000826</v>
      </c>
      <c r="AE12" s="2">
        <f>Assumptions!$C$25*Assumptions!AF9*Assumptions!AF13</f>
        <v>3163443.5866544847</v>
      </c>
      <c r="AF12" s="2">
        <f>Assumptions!$C$25*Assumptions!AG9*Assumptions!AG13</f>
        <v>3233039.3455608827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286160</v>
      </c>
      <c r="D14" s="5">
        <f>Assumptions!E122*Assumptions!E9</f>
        <v>584911.04</v>
      </c>
      <c r="E14" s="5">
        <f>Assumptions!F122*Assumptions!F9</f>
        <v>896668.62432000006</v>
      </c>
      <c r="F14" s="5">
        <f>Assumptions!G122*Assumptions!G9</f>
        <v>1221860.44540672</v>
      </c>
      <c r="G14" s="5">
        <f>Assumptions!H122*Assumptions!H9</f>
        <v>1560926.7190070848</v>
      </c>
      <c r="H14" s="5">
        <f>Assumptions!I122*Assumptions!I9</f>
        <v>1914320.5281902889</v>
      </c>
      <c r="I14" s="5">
        <f>Assumptions!J122*Assumptions!J9</f>
        <v>2282508.1764455545</v>
      </c>
      <c r="J14" s="5">
        <f>Assumptions!K122*Assumptions!K9</f>
        <v>2665969.5500884079</v>
      </c>
      <c r="K14" s="5">
        <f>Assumptions!L122*Assumptions!L9</f>
        <v>3065198.4902141467</v>
      </c>
      <c r="L14" s="5">
        <f>Assumptions!M122*Assumptions!M9</f>
        <v>3480703.1744431751</v>
      </c>
      <c r="M14" s="5">
        <f>Assumptions!N122*Assumptions!N9</f>
        <v>3913006.5087090177</v>
      </c>
      <c r="N14" s="5">
        <f>Assumptions!O122*Assumptions!O9</f>
        <v>4362646.5293461271</v>
      </c>
      <c r="O14" s="5">
        <f>Assumptions!P122*Assumptions!P9</f>
        <v>4830176.8157410529</v>
      </c>
      <c r="P14" s="5">
        <f>Assumptions!Q122*Assumptions!Q9</f>
        <v>5316166.9138171514</v>
      </c>
      <c r="Q14" s="5">
        <f>Assumptions!R122*Assumptions!R9</f>
        <v>5821202.7706297822</v>
      </c>
      <c r="R14" s="5">
        <f>Assumptions!S122*Assumptions!S9</f>
        <v>6345887.1803558804</v>
      </c>
      <c r="S14" s="5">
        <f>Assumptions!T122*Assumptions!T9</f>
        <v>6890840.2419689409</v>
      </c>
      <c r="T14" s="5">
        <f>Assumptions!U122*Assumptions!U9</f>
        <v>7456699.8288976857</v>
      </c>
      <c r="U14" s="5">
        <f>Assumptions!V122*Assumptions!V9</f>
        <v>8044122.0709741823</v>
      </c>
      <c r="V14" s="5">
        <f>Assumptions!W122*Assumptions!W9</f>
        <v>8653781.848984858</v>
      </c>
      <c r="W14" s="5">
        <f>Assumptions!X122*Assumptions!X9</f>
        <v>9286373.3021456525</v>
      </c>
      <c r="X14" s="5">
        <f>Assumptions!Y122*Assumptions!Y9</f>
        <v>9942610.3488306105</v>
      </c>
      <c r="Y14" s="5">
        <f>Assumptions!Z122*Assumptions!Z9</f>
        <v>10623227.220891468</v>
      </c>
      <c r="Z14" s="5">
        <f>Assumptions!AA122*Assumptions!AA9</f>
        <v>11328979.011914175</v>
      </c>
      <c r="AA14" s="5">
        <f>Assumptions!AB122*Assumptions!AB9</f>
        <v>12060642.239766965</v>
      </c>
      <c r="AB14" s="5">
        <f>Assumptions!AC122*Assumptions!AC9</f>
        <v>12819015.423803512</v>
      </c>
      <c r="AC14" s="5">
        <f>Assumptions!AD122*Assumptions!AD9</f>
        <v>13604919.677093621</v>
      </c>
      <c r="AD14" s="5">
        <f>Assumptions!AE122*Assumptions!AE9</f>
        <v>14419199.314063372</v>
      </c>
      <c r="AE14" s="5">
        <f>Assumptions!AF122*Assumptions!AF9</f>
        <v>15262722.473936079</v>
      </c>
      <c r="AF14" s="5">
        <f>Assumptions!AG122*Assumptions!AG9</f>
        <v>16136381.760375177</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2006186</v>
      </c>
      <c r="D27" s="2">
        <f t="shared" ref="D27:AF27" si="8">D12+D13+D14+D19+D20+D22+D24+D25</f>
        <v>2342777.6119999997</v>
      </c>
      <c r="E27" s="2">
        <f t="shared" si="8"/>
        <v>2693208.2609040001</v>
      </c>
      <c r="F27" s="2">
        <f t="shared" si="8"/>
        <v>3057923.9539955682</v>
      </c>
      <c r="G27" s="2">
        <f t="shared" si="8"/>
        <v>3437383.6247848878</v>
      </c>
      <c r="H27" s="2">
        <f t="shared" si="8"/>
        <v>3832059.4858952034</v>
      </c>
      <c r="I27" s="2">
        <f t="shared" si="8"/>
        <v>4242437.3912199773</v>
      </c>
      <c r="J27" s="2">
        <f t="shared" si="8"/>
        <v>4669017.207587868</v>
      </c>
      <c r="K27" s="2">
        <f t="shared" si="8"/>
        <v>5112313.1961785946</v>
      </c>
      <c r="L27" s="2">
        <f t="shared" si="8"/>
        <v>5572854.4039388411</v>
      </c>
      <c r="M27" s="2">
        <f t="shared" si="8"/>
        <v>6051185.0652535884</v>
      </c>
      <c r="N27" s="2">
        <f t="shared" si="8"/>
        <v>6547865.014134679</v>
      </c>
      <c r="O27" s="2">
        <f t="shared" si="8"/>
        <v>7063470.1071949527</v>
      </c>
      <c r="P27" s="2">
        <f t="shared" si="8"/>
        <v>7598592.6576830363</v>
      </c>
      <c r="Q27" s="2">
        <f t="shared" si="8"/>
        <v>8153841.880860717</v>
      </c>
      <c r="R27" s="2">
        <f t="shared" si="8"/>
        <v>8729844.3510118946</v>
      </c>
      <c r="S27" s="2">
        <f t="shared" si="8"/>
        <v>9327244.470379388</v>
      </c>
      <c r="T27" s="2">
        <f t="shared" si="8"/>
        <v>9946704.9503331631</v>
      </c>
      <c r="U27" s="2">
        <f t="shared" si="8"/>
        <v>10588907.305081241</v>
      </c>
      <c r="V27" s="2">
        <f t="shared" si="8"/>
        <v>11254552.358242271</v>
      </c>
      <c r="W27" s="2">
        <f t="shared" si="8"/>
        <v>11944360.762606729</v>
      </c>
      <c r="X27" s="2">
        <f t="shared" si="8"/>
        <v>12659073.533421829</v>
      </c>
      <c r="Y27" s="2">
        <f t="shared" si="8"/>
        <v>13399452.595543694</v>
      </c>
      <c r="Z27" s="2">
        <f t="shared" si="8"/>
        <v>14166281.34480875</v>
      </c>
      <c r="AA27" s="2">
        <f t="shared" si="8"/>
        <v>14960365.223985221</v>
      </c>
      <c r="AB27" s="2">
        <f t="shared" si="8"/>
        <v>15782532.313674571</v>
      </c>
      <c r="AC27" s="2">
        <f t="shared" si="8"/>
        <v>16633633.938541843</v>
      </c>
      <c r="AD27" s="2">
        <f t="shared" si="8"/>
        <v>17514545.289263453</v>
      </c>
      <c r="AE27" s="2">
        <f t="shared" si="8"/>
        <v>18426166.060590565</v>
      </c>
      <c r="AF27" s="2">
        <f t="shared" si="8"/>
        <v>19369421.105936062</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3W2DU3RAJ5R2-1900874439-794</_dlc_DocId>
    <_dlc_DocIdUrl xmlns="f54e2983-00ce-40fc-8108-18f351fc47bf">
      <Url>https://dia.cohesion.net.nz/Sites/LGV/TWRP/CAE/_layouts/15/DocIdRedir.aspx?ID=3W2DU3RAJ5R2-1900874439-794</Url>
      <Description>3W2DU3RAJ5R2-1900874439-794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sharepoint/v3"/>
    <ds:schemaRef ds:uri="http://schemas.microsoft.com/office/2006/documentManagement/types"/>
    <ds:schemaRef ds:uri="http://schemas.openxmlformats.org/package/2006/metadata/core-properties"/>
    <ds:schemaRef ds:uri="http://purl.org/dc/elements/1.1/"/>
    <ds:schemaRef ds:uri="65b6d800-2dda-48d6-88d8-9e2b35e6f7ea"/>
    <ds:schemaRef ds:uri="08a23fc5-e034-477c-ac83-93bc1440f322"/>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13A79B4-37D0-41FC-904E-C152D10C7A8D}"/>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CACB36B5-9160-4CD1-883E-84C6A2619A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2021-07-06T14:36:07Z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0bbb1413-e12b-45f1-a07f-ad65c05981e8</vt:lpwstr>
  </property>
</Properties>
</file>