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204" documentId="8_{EA265F0A-1EA8-416B-90B8-99D96AAA6A46}" xr6:coauthVersionLast="47" xr6:coauthVersionMax="47" xr10:uidLastSave="{BBA6FE19-8321-4A14-9603-068AB609436D}"/>
  <bookViews>
    <workbookView xWindow="1290" yWindow="-110" windowWidth="37220" windowHeight="2182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1" l="1"/>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<sst xmlns="http://schemas.openxmlformats.org/spreadsheetml/2006/main" count="276" uniqueCount="204">
  <si>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</si>
  <si>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</si>
  <si>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</si>
  <si>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</si>
  <si>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</si>
  <si>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</si>
  <si>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</si>
  <si>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</si>
  <si>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</si>
  <si>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</si>
  <si>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</si>
  <si>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</si>
  <si>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</si>
  <si>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</si>
  <si>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</si>
  <si>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</si>
  <si>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</si>
  <si>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</si>
  <si>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</si>
  <si>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</si>
  <si>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</si>
  <si>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</si>
  <si>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</si>
  <si>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</si>
  <si>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</si>
  <si>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</si>
  <si>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</si>
  <si>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</si>
  <si>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</si>
  <si>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</si>
  <si>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</si>
  <si>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</si>
  <si>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</si>
  <si>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</si>
  <si>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</si>
  <si>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</si>
  <si>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</si>
  <si>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</si>
  <si>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</si>
  <si>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</si>
  <si>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</si>
  <si>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</si>
  <si>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</si>
  <si>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</si>
  <si>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</si>
  <si>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</si>
  <si>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</si>
  <si>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</si>
  <si>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</si>
  <si>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</si>
  <si>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</si>
  <si>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</si>
  <si>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</si>
  <si>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</si>
  <si>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</si>
  <si>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</si>
  <si>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</si>
  <si>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</si>
  <si>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</si>
  <si>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</si>
  <si>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</si>
  <si>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</si>
  <si>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</si>
  <si>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</si>
  <si>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</si>
  <si>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</si>
  <si>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</si>
  <si>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</si>
  <si>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</si>
  <si>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</si>
  <si>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</si>
  <si>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</si>
  <si>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</si>
  <si>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</si>
  <si>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</si>
  <si>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</si>
  <si>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</si>
  <si>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</si>
  <si>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</si>
  <si>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</si>
  <si>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</si>
  <si>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</si>
  <si>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</si>
  <si>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</si>
  <si>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</si>
  <si>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</si>
  <si>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</si>
  <si>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</si>
  <si>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</si>
  <si>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</si>
  <si>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</si>
  <si>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</si>
  <si>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</si>
  <si>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</si>
  <si>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</si>
  <si>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</si>
  <si>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</si>
  <si>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</si>
  <si>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</si>
  <si>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</si>
  <si>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</si>
  <si>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</si>
  <si>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</si>
  <si>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</si>
  <si>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</si>
  <si>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</si>
  <si>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</si>
  <si>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</si>
  <si>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</si>
  <si>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</si>
  <si>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</si>
  <si>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</si>
  <si>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</si>
  <si>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</si>
  <si>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</si>
  <si>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</si>
  <si>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</si>
  <si>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</si>
  <si>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</si>
  <si>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</si>
  <si>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</si>
  <si>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</si>
  <si>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</si>
  <si>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</si>
  <si>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</si>
  <si>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</si>
  <si>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</si>
  <si>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</si>
  <si>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</si>
  <si>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</si>
  <si>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</si>
  <si>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</si>
  <si>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</si>
  <si>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</si>
  <si>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</si>
  <si>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</si>
  <si>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</si>
  <si>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</si>
  <si>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</si>
  <si>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</si>
  <si>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</si>
  <si>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</si>
  <si>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</si>
  <si>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</si>
  <si>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</si>
  <si>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</si>
  <si>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</si>
  <si>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</si>
  <si>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</si>
  <si>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</si>
  <si>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</si>
  <si>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</si>
  <si>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</si>
  <si>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</si>
  <si>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</si>
  <si>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</si>
  <si>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</si>
  <si>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</si>
  <si>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</si>
  <si>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</si>
  <si>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</si>
  <si>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</si>
  <si>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</si>
  <si>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</si>
  <si>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</si>
  <si>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</si>
  <si>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</si>
  <si>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</si>
  <si>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</si>
  <si>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</si>
  <si>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</si>
  <si>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</si>
  <si>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</si>
  <si>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</si>
  <si>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</si>
  <si>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</si>
  <si>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Tables G2, G3, G4</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</si>
  <si>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</si>
  <si>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</si>
  <si>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</si>
  <si>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</si>
  <si>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</si>
  <si>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</si>
  <si>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</si>
  <si>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</si>
  <si>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</si>
  <si>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</si>
  <si>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</si>
  <si>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</si>
  <si>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</si>
  <si>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</si>
  <si>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</si>
  <si>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</si>
  <si>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</si>
  <si>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</si>
  <si>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</si>
  <si>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</si>
  <si>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A1.47</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</si>
  <si>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</si>
  <si>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</si>
  <si>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</si>
  <si>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</si>
  <si>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</si>
  <si>
    <t>Invercargill Stand-alone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</si>
</sst>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5">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1" fontId="10" fillId="0" borderId="9" xfId="0" applyNumberFormat="1" applyFont="1" applyFill="1" applyBorder="1" applyAlignment="1">
      <alignment vertical="top"/>
    </xf>
    <xf numFmtId="0" fontId="18"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right"/>
    </xf>
    <xf numFmtId="0" fontId="16" fillId="0" borderId="0" xfId="0" applyFont="1" applyAlignment="1">
      <alignment horizontal="right"/>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externalLink" Target="externalLinks/externalLink57.xml"/><Relationship Id="rId75"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sharedStrings" Target="sharedStrings.xml"/><Relationship Id="rId78"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2.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sites/commission-business/DIA2/Information_release/Council%20Financial%20Models/Christchurch_mode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ide outputs and checklist"/>
      <sheetName val="Model overview and manual"/>
      <sheetName val="Model output==&gt;"/>
      <sheetName val="Average cost per household"/>
      <sheetName val="Input sheets ===&gt;"/>
      <sheetName val="Assumptions"/>
      <sheetName val="Price and Financial ratios"/>
      <sheetName val="Processing sheets ===&gt;"/>
      <sheetName val="Investment"/>
      <sheetName val="Profit and Loss"/>
      <sheetName val="Balance Sheet"/>
      <sheetName val="Cash Flow"/>
      <sheetName val="Depreciation"/>
      <sheetName val="Debt worksheet"/>
    </sheetNames>
    <sheetDataSet>
      <sheetData sheetId="0" refreshError="1"/>
      <sheetData sheetId="1" refreshError="1"/>
      <sheetData sheetId="2" refreshError="1"/>
      <sheetData sheetId="3" refreshError="1"/>
      <sheetData sheetId="4" refreshError="1"/>
      <sheetData sheetId="5">
        <row r="24">
          <cell r="B24" t="str">
            <v>RFI Table F10; Lines F10.62 + F10.70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203</v>
      </c>
      <c r="C2" s="171"/>
      <c r="D2" s="60"/>
      <c r="E2" s="14"/>
      <c r="F2" s="60"/>
    </row>
    <row r="3" spans="1:6" x14ac:dyDescent="0.35">
      <c r="C3" s="14"/>
      <c r="D3" s="14"/>
    </row>
    <row r="4" spans="1:6" x14ac:dyDescent="0.35">
      <c r="A4" s="14" t="s">
        <v>158</v>
      </c>
      <c r="B4" s="14"/>
      <c r="D4" s="14"/>
    </row>
    <row r="6" spans="1:6" ht="21" x14ac:dyDescent="0.5">
      <c r="A6" s="15" t="s">
        <v>167</v>
      </c>
    </row>
    <row r="7" spans="1:6" ht="241" customHeight="1" x14ac:dyDescent="0.35">
      <c r="A7" s="107">
        <v>1</v>
      </c>
      <c r="B7" s="104" t="s">
        <v>168</v>
      </c>
    </row>
    <row r="8" spans="1:6" ht="408" customHeight="1" x14ac:dyDescent="0.35">
      <c r="A8" s="107">
        <v>2</v>
      </c>
      <c r="B8" s="104" t="s">
        <v>189</v>
      </c>
    </row>
    <row r="9" spans="1:6" ht="195.5" customHeight="1" x14ac:dyDescent="0.35">
      <c r="A9" s="107">
        <f>A8+1</f>
        <v>3</v>
      </c>
      <c r="B9" s="105" t="s">
        <v>172</v>
      </c>
    </row>
    <row r="10" spans="1:6" ht="236" customHeight="1" x14ac:dyDescent="0.35">
      <c r="A10" s="107">
        <v>4</v>
      </c>
      <c r="B10" s="105" t="s">
        <v>173</v>
      </c>
    </row>
    <row r="11" spans="1:6" ht="21" x14ac:dyDescent="0.35">
      <c r="A11" s="107">
        <f>A10+1</f>
        <v>5</v>
      </c>
      <c r="B11" s="63" t="s">
        <v>187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150" zoomScaleNormal="150" workbookViewId="0">
      <pane xSplit="1" topLeftCell="B1" activePane="topRight" state="frozen"/>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164</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190</v>
      </c>
      <c r="B6" s="1">
        <f>Assumptions!C17</f>
        <v>1197925587.5</v>
      </c>
      <c r="C6" s="12">
        <f ca="1">B6+Depreciation!C18+'Cash Flow'!C13</f>
        <v>1213427270.992238</v>
      </c>
      <c r="D6" s="1">
        <f ca="1">C6+Depreciation!D18</f>
        <v>1280718583.6696286</v>
      </c>
      <c r="E6" s="1">
        <f ca="1">D6+Depreciation!E18</f>
        <v>1351311522.0630577</v>
      </c>
      <c r="F6" s="1">
        <f ca="1">E6+Depreciation!F18</f>
        <v>1425348483.9141703</v>
      </c>
      <c r="G6" s="1">
        <f ca="1">F6+Depreciation!G18</f>
        <v>1502977599.5553434</v>
      </c>
      <c r="H6" s="1">
        <f ca="1">G6+Depreciation!H18</f>
        <v>1584352952.9802053</v>
      </c>
      <c r="I6" s="1">
        <f ca="1">H6+Depreciation!I18</f>
        <v>1669634811.1924953</v>
      </c>
      <c r="J6" s="1">
        <f ca="1">I6+Depreciation!J18</f>
        <v>1758989862.1367021</v>
      </c>
      <c r="K6" s="1">
        <f ca="1">J6+Depreciation!K18</f>
        <v>1852591461.5248585</v>
      </c>
      <c r="L6" s="1">
        <f ca="1">K6+Depreciation!L18</f>
        <v>1950619888.8852108</v>
      </c>
      <c r="M6" s="1">
        <f ca="1">L6+Depreciation!M18</f>
        <v>2053262613.1702058</v>
      </c>
      <c r="N6" s="1">
        <f ca="1">M6+Depreciation!N18</f>
        <v>2160714568.2734041</v>
      </c>
      <c r="O6" s="1">
        <f ca="1">N6+Depreciation!O18</f>
        <v>2273178438.8175025</v>
      </c>
      <c r="P6" s="1">
        <f ca="1">O6+Depreciation!P18</f>
        <v>2390864956.5886927</v>
      </c>
      <c r="Q6" s="1">
        <f ca="1">P6+Depreciation!Q18</f>
        <v>2513993208.0060716</v>
      </c>
      <c r="R6" s="1">
        <f ca="1">Q6+Depreciation!R18</f>
        <v>2642790953.0287981</v>
      </c>
      <c r="S6" s="1">
        <f ca="1">R6+Depreciation!S18</f>
        <v>2777494955.9181623</v>
      </c>
      <c r="T6" s="1">
        <f ca="1">S6+Depreciation!T18</f>
        <v>2918351328.2867265</v>
      </c>
      <c r="U6" s="1">
        <f ca="1">T6+Depreciation!U18</f>
        <v>3065615884.8822002</v>
      </c>
      <c r="V6" s="1">
        <f ca="1">U6+Depreciation!V18</f>
        <v>3219554512.5698004</v>
      </c>
      <c r="W6" s="1">
        <f ca="1">V6+Depreciation!W18</f>
        <v>3380443552.9934692</v>
      </c>
      <c r="X6" s="1">
        <f ca="1">W6+Depreciation!X18</f>
        <v>3548570199.4135633</v>
      </c>
      <c r="Y6" s="1">
        <f ca="1">X6+Depreciation!Y18</f>
        <v>3724232908.2364597</v>
      </c>
      <c r="Z6" s="1">
        <f ca="1">Y6+Depreciation!Z18</f>
        <v>3907741825.7700038</v>
      </c>
      <c r="AA6" s="1">
        <f ca="1">Z6+Depreciation!AA18</f>
        <v>4099419230.7578421</v>
      </c>
      <c r="AB6" s="1">
        <f ca="1">AA6+Depreciation!AB18</f>
        <v>4299599993.2654953</v>
      </c>
      <c r="AC6" s="1">
        <f ca="1">AB6+Depreciation!AC18</f>
        <v>4508632050.5115242</v>
      </c>
      <c r="AD6" s="1">
        <f ca="1">AC6+Depreciation!AD18</f>
        <v>4726876900.2583771</v>
      </c>
      <c r="AE6" s="1">
        <f ca="1">AD6+Depreciation!AE18</f>
        <v>4954710112.3994865</v>
      </c>
      <c r="AF6" s="1"/>
      <c r="AG6" s="1"/>
      <c r="AH6" s="1"/>
      <c r="AI6" s="1"/>
      <c r="AJ6" s="1"/>
      <c r="AK6" s="1"/>
      <c r="AL6" s="1"/>
      <c r="AM6" s="1"/>
      <c r="AN6" s="1"/>
      <c r="AO6" s="1"/>
      <c r="AP6" s="1"/>
    </row>
    <row r="7" spans="1:42" x14ac:dyDescent="0.35">
      <c r="A7" t="s">
        <v>12</v>
      </c>
      <c r="B7" s="1">
        <f>Depreciation!C12</f>
        <v>618164561.07256401</v>
      </c>
      <c r="C7" s="1">
        <f>Depreciation!D12</f>
        <v>639093482.34321189</v>
      </c>
      <c r="D7" s="1">
        <f>Depreciation!E12</f>
        <v>661840432.80488265</v>
      </c>
      <c r="E7" s="1">
        <f>Depreciation!F12</f>
        <v>686500335.1104207</v>
      </c>
      <c r="F7" s="1">
        <f>Depreciation!G12</f>
        <v>713172325.30056083</v>
      </c>
      <c r="G7" s="1">
        <f>Depreciation!H12</f>
        <v>741959925.2599566</v>
      </c>
      <c r="H7" s="1">
        <f>Depreciation!I12</f>
        <v>772971221.89588559</v>
      </c>
      <c r="I7" s="1">
        <f>Depreciation!J12</f>
        <v>806319053.29328775</v>
      </c>
      <c r="J7" s="1">
        <f>Depreciation!K12</f>
        <v>842121202.10914207</v>
      </c>
      <c r="K7" s="1">
        <f>Depreciation!L12</f>
        <v>880500596.47887838</v>
      </c>
      <c r="L7" s="1">
        <f>Depreciation!M12</f>
        <v>921585518.71755791</v>
      </c>
      <c r="M7" s="1">
        <f>Depreciation!N12</f>
        <v>965509822.10895824</v>
      </c>
      <c r="N7" s="1">
        <f>Depreciation!O12</f>
        <v>1012413156.0864812</v>
      </c>
      <c r="O7" s="1">
        <f>Depreciation!P12</f>
        <v>1062441200.1209658</v>
      </c>
      <c r="P7" s="1">
        <f>Depreciation!Q12</f>
        <v>1115745906.6420646</v>
      </c>
      <c r="Q7" s="1">
        <f>Depreciation!R12</f>
        <v>1172485753.3318295</v>
      </c>
      <c r="R7" s="1">
        <f>Depreciation!S12</f>
        <v>1232826005.141578</v>
      </c>
      <c r="S7" s="1">
        <f>Depreciation!T12</f>
        <v>1296938986.3959782</v>
      </c>
      <c r="T7" s="1">
        <f>Depreciation!U12</f>
        <v>1365004363.3616347</v>
      </c>
      <c r="U7" s="1">
        <f>Depreciation!V12</f>
        <v>1437209437.6712637</v>
      </c>
      <c r="V7" s="1">
        <f>Depreciation!W12</f>
        <v>1513749451.0088665</v>
      </c>
      <c r="W7" s="1">
        <f>Depreciation!X12</f>
        <v>1594827901.47614</v>
      </c>
      <c r="X7" s="1">
        <f>Depreciation!Y12</f>
        <v>1680656872.0757258</v>
      </c>
      <c r="Y7" s="1">
        <f>Depreciation!Z12</f>
        <v>1771457371.7628136</v>
      </c>
      <c r="Z7" s="1">
        <f>Depreciation!AA12</f>
        <v>1867459689.5331089</v>
      </c>
      <c r="AA7" s="1">
        <f>Depreciation!AB12</f>
        <v>1968903762.0322578</v>
      </c>
      <c r="AB7" s="1">
        <f>Depreciation!AC12</f>
        <v>2076039555.1895101</v>
      </c>
      <c r="AC7" s="1">
        <f>Depreciation!AD12</f>
        <v>2189127460.3967452</v>
      </c>
      <c r="AD7" s="1">
        <f>Depreciation!AE12</f>
        <v>2308438705.7729692</v>
      </c>
      <c r="AE7" s="1">
        <f>Depreciation!AF12</f>
        <v>2434255783.0740652</v>
      </c>
      <c r="AF7" s="1"/>
      <c r="AG7" s="1"/>
      <c r="AH7" s="1"/>
      <c r="AI7" s="1"/>
      <c r="AJ7" s="1"/>
      <c r="AK7" s="1"/>
      <c r="AL7" s="1"/>
      <c r="AM7" s="1"/>
      <c r="AN7" s="1"/>
      <c r="AO7" s="1"/>
      <c r="AP7" s="1"/>
    </row>
    <row r="8" spans="1:42" x14ac:dyDescent="0.35">
      <c r="A8" t="s">
        <v>191</v>
      </c>
      <c r="B8" s="1">
        <f t="shared" ref="B8:AE8" si="1">B6-B7</f>
        <v>579761026.42743599</v>
      </c>
      <c r="C8" s="1">
        <f t="shared" ca="1" si="1"/>
        <v>574333788.64902616</v>
      </c>
      <c r="D8" s="1">
        <f ca="1">D6-D7</f>
        <v>618878150.86474597</v>
      </c>
      <c r="E8" s="1">
        <f t="shared" ca="1" si="1"/>
        <v>664811186.95263696</v>
      </c>
      <c r="F8" s="1">
        <f t="shared" ca="1" si="1"/>
        <v>712176158.61360943</v>
      </c>
      <c r="G8" s="1">
        <f t="shared" ca="1" si="1"/>
        <v>761017674.29538679</v>
      </c>
      <c r="H8" s="1">
        <f t="shared" ca="1" si="1"/>
        <v>811381731.08431971</v>
      </c>
      <c r="I8" s="1">
        <f t="shared" ca="1" si="1"/>
        <v>863315757.89920759</v>
      </c>
      <c r="J8" s="1">
        <f t="shared" ca="1" si="1"/>
        <v>916868660.02756</v>
      </c>
      <c r="K8" s="1">
        <f t="shared" ca="1" si="1"/>
        <v>972090865.0459801</v>
      </c>
      <c r="L8" s="1">
        <f t="shared" ca="1" si="1"/>
        <v>1029034370.1676528</v>
      </c>
      <c r="M8" s="1">
        <f t="shared" ca="1" si="1"/>
        <v>1087752791.0612476</v>
      </c>
      <c r="N8" s="1">
        <f t="shared" ca="1" si="1"/>
        <v>1148301412.186923</v>
      </c>
      <c r="O8" s="1">
        <f t="shared" ca="1" si="1"/>
        <v>1210737238.6965365</v>
      </c>
      <c r="P8" s="1">
        <f t="shared" ca="1" si="1"/>
        <v>1275119049.9466281</v>
      </c>
      <c r="Q8" s="1">
        <f t="shared" ca="1" si="1"/>
        <v>1341507454.674242</v>
      </c>
      <c r="R8" s="1">
        <f t="shared" ca="1" si="1"/>
        <v>1409964947.8872201</v>
      </c>
      <c r="S8" s="1">
        <f t="shared" ca="1" si="1"/>
        <v>1480555969.5221841</v>
      </c>
      <c r="T8" s="1">
        <f t="shared" ca="1" si="1"/>
        <v>1553346964.9250917</v>
      </c>
      <c r="U8" s="1">
        <f t="shared" ca="1" si="1"/>
        <v>1628406447.2109365</v>
      </c>
      <c r="V8" s="1">
        <f t="shared" ca="1" si="1"/>
        <v>1705805061.5609338</v>
      </c>
      <c r="W8" s="1">
        <f t="shared" ca="1" si="1"/>
        <v>1785615651.5173292</v>
      </c>
      <c r="X8" s="1">
        <f t="shared" ca="1" si="1"/>
        <v>1867913327.3378375</v>
      </c>
      <c r="Y8" s="1">
        <f t="shared" ca="1" si="1"/>
        <v>1952775536.4736462</v>
      </c>
      <c r="Z8" s="1">
        <f t="shared" ca="1" si="1"/>
        <v>2040282136.2368948</v>
      </c>
      <c r="AA8" s="1">
        <f t="shared" ca="1" si="1"/>
        <v>2130515468.7255843</v>
      </c>
      <c r="AB8" s="1">
        <f t="shared" ca="1" si="1"/>
        <v>2223560438.075985</v>
      </c>
      <c r="AC8" s="1">
        <f t="shared" ca="1" si="1"/>
        <v>2319504590.114779</v>
      </c>
      <c r="AD8" s="1">
        <f t="shared" ca="1" si="1"/>
        <v>2418438194.4854078</v>
      </c>
      <c r="AE8" s="1">
        <f t="shared" ca="1" si="1"/>
        <v>2520454329.3254213</v>
      </c>
      <c r="AF8" s="1"/>
      <c r="AG8" s="1"/>
      <c r="AH8" s="1"/>
      <c r="AI8" s="1"/>
      <c r="AJ8" s="1"/>
      <c r="AK8" s="1"/>
      <c r="AL8" s="1"/>
      <c r="AM8" s="1"/>
      <c r="AN8" s="1"/>
      <c r="AO8" s="1"/>
      <c r="AP8" s="1"/>
    </row>
    <row r="10" spans="1:42" x14ac:dyDescent="0.35">
      <c r="A10" t="s">
        <v>17</v>
      </c>
      <c r="B10" s="1">
        <f>B8-B11</f>
        <v>541205026.42743599</v>
      </c>
      <c r="C10" s="1">
        <f ca="1">C8-C11</f>
        <v>487152906.94394958</v>
      </c>
      <c r="D10" s="1">
        <f ca="1">D8-D11</f>
        <v>487456274.9667182</v>
      </c>
      <c r="E10" s="1">
        <f t="shared" ref="E10:AE10" ca="1" si="2">E8-E11</f>
        <v>495329212.6868645</v>
      </c>
      <c r="F10" s="1">
        <f t="shared" ca="1" si="2"/>
        <v>514808289.11183572</v>
      </c>
      <c r="G10" s="1">
        <f ca="1">G8-G11</f>
        <v>540368642.23657393</v>
      </c>
      <c r="H10" s="1">
        <f t="shared" ca="1" si="2"/>
        <v>571220747.18968749</v>
      </c>
      <c r="I10" s="1">
        <f t="shared" ca="1" si="2"/>
        <v>605783241.41419649</v>
      </c>
      <c r="J10" s="1">
        <f t="shared" ca="1" si="2"/>
        <v>643749795.5408392</v>
      </c>
      <c r="K10" s="1">
        <f t="shared" ca="1" si="2"/>
        <v>684598727.18290663</v>
      </c>
      <c r="L10" s="1">
        <f t="shared" ca="1" si="2"/>
        <v>726971575.72791445</v>
      </c>
      <c r="M10" s="1">
        <f t="shared" ca="1" si="2"/>
        <v>770426572.59746361</v>
      </c>
      <c r="N10" s="1">
        <f t="shared" ca="1" si="2"/>
        <v>815089706.6526103</v>
      </c>
      <c r="O10" s="1">
        <f t="shared" ca="1" si="2"/>
        <v>861101950.88391995</v>
      </c>
      <c r="P10" s="1">
        <f t="shared" ca="1" si="2"/>
        <v>908620605.19713914</v>
      </c>
      <c r="Q10" s="1">
        <f t="shared" ca="1" si="2"/>
        <v>957820740.30681074</v>
      </c>
      <c r="R10" s="1">
        <f t="shared" ca="1" si="2"/>
        <v>1008896749.5949476</v>
      </c>
      <c r="S10" s="1">
        <f t="shared" ca="1" si="2"/>
        <v>1062064016.2272477</v>
      </c>
      <c r="T10" s="1">
        <f t="shared" ca="1" si="2"/>
        <v>1117560703.2811999</v>
      </c>
      <c r="U10" s="1">
        <f t="shared" ca="1" si="2"/>
        <v>1175649675.1303089</v>
      </c>
      <c r="V10" s="1">
        <f t="shared" ca="1" si="2"/>
        <v>1236620558.848268</v>
      </c>
      <c r="W10" s="1">
        <f t="shared" ca="1" si="2"/>
        <v>1298589756.523958</v>
      </c>
      <c r="X10" s="1">
        <f t="shared" ca="1" si="2"/>
        <v>1361605685.2217937</v>
      </c>
      <c r="Y10" s="1">
        <f t="shared" ca="1" si="2"/>
        <v>1425722920.9494963</v>
      </c>
      <c r="Z10" s="1">
        <f t="shared" ca="1" si="2"/>
        <v>1491002779.8176641</v>
      </c>
      <c r="AA10" s="1">
        <f t="shared" ca="1" si="2"/>
        <v>1557513942.3620181</v>
      </c>
      <c r="AB10" s="1">
        <f t="shared" ca="1" si="2"/>
        <v>1620386211.9810421</v>
      </c>
      <c r="AC10" s="1">
        <f t="shared" ca="1" si="2"/>
        <v>1679166941.8376026</v>
      </c>
      <c r="AD10" s="1">
        <f t="shared" ca="1" si="2"/>
        <v>1733373581.7477913</v>
      </c>
      <c r="AE10" s="1">
        <f t="shared" ca="1" si="2"/>
        <v>1782492072.9181831</v>
      </c>
      <c r="AF10" s="1"/>
      <c r="AG10" s="1"/>
      <c r="AH10" s="1"/>
      <c r="AI10" s="1"/>
      <c r="AJ10" s="1"/>
      <c r="AK10" s="1"/>
      <c r="AL10" s="1"/>
      <c r="AM10" s="1"/>
      <c r="AN10" s="1"/>
      <c r="AO10" s="1"/>
    </row>
    <row r="11" spans="1:42" x14ac:dyDescent="0.35">
      <c r="A11" t="s">
        <v>9</v>
      </c>
      <c r="B11" s="1">
        <f>Assumptions!$C$20</f>
        <v>38556000</v>
      </c>
      <c r="C11" s="1">
        <f ca="1">'Debt worksheet'!D5</f>
        <v>87180881.705076545</v>
      </c>
      <c r="D11" s="1">
        <f ca="1">'Debt worksheet'!E5</f>
        <v>131421875.89802781</v>
      </c>
      <c r="E11" s="1">
        <f ca="1">'Debt worksheet'!F5</f>
        <v>169481974.26577249</v>
      </c>
      <c r="F11" s="1">
        <f ca="1">'Debt worksheet'!G5</f>
        <v>197367869.50177372</v>
      </c>
      <c r="G11" s="1">
        <f ca="1">'Debt worksheet'!H5</f>
        <v>220649032.0588128</v>
      </c>
      <c r="H11" s="1">
        <f ca="1">'Debt worksheet'!I5</f>
        <v>240160983.89463219</v>
      </c>
      <c r="I11" s="1">
        <f ca="1">'Debt worksheet'!J5</f>
        <v>257532516.48501104</v>
      </c>
      <c r="J11" s="1">
        <f ca="1">'Debt worksheet'!K5</f>
        <v>273118864.4867208</v>
      </c>
      <c r="K11" s="1">
        <f ca="1">'Debt worksheet'!L5</f>
        <v>287492137.86307341</v>
      </c>
      <c r="L11" s="1">
        <f ca="1">'Debt worksheet'!M5</f>
        <v>302062794.43973839</v>
      </c>
      <c r="M11" s="1">
        <f ca="1">'Debt worksheet'!N5</f>
        <v>317326218.46378398</v>
      </c>
      <c r="N11" s="1">
        <f ca="1">'Debt worksheet'!O5</f>
        <v>333211705.53431273</v>
      </c>
      <c r="O11" s="1">
        <f ca="1">'Debt worksheet'!P5</f>
        <v>349635287.81261665</v>
      </c>
      <c r="P11" s="1">
        <f ca="1">'Debt worksheet'!Q5</f>
        <v>366498444.74948895</v>
      </c>
      <c r="Q11" s="1">
        <f ca="1">'Debt worksheet'!R5</f>
        <v>383686714.36743128</v>
      </c>
      <c r="R11" s="1">
        <f ca="1">'Debt worksheet'!S5</f>
        <v>401068198.29227251</v>
      </c>
      <c r="S11" s="1">
        <f ca="1">'Debt worksheet'!T5</f>
        <v>418491953.29493642</v>
      </c>
      <c r="T11" s="1">
        <f ca="1">'Debt worksheet'!U5</f>
        <v>435786261.64389181</v>
      </c>
      <c r="U11" s="1">
        <f ca="1">'Debt worksheet'!V5</f>
        <v>452756772.08062774</v>
      </c>
      <c r="V11" s="1">
        <f ca="1">'Debt worksheet'!W5</f>
        <v>469184502.71266592</v>
      </c>
      <c r="W11" s="1">
        <f ca="1">'Debt worksheet'!X5</f>
        <v>487025894.99337119</v>
      </c>
      <c r="X11" s="1">
        <f ca="1">'Debt worksheet'!Y5</f>
        <v>506307642.11604393</v>
      </c>
      <c r="Y11" s="1">
        <f ca="1">'Debt worksheet'!Z5</f>
        <v>527052615.52414984</v>
      </c>
      <c r="Z11" s="1">
        <f ca="1">'Debt worksheet'!AA5</f>
        <v>549279356.4192307</v>
      </c>
      <c r="AA11" s="1">
        <f ca="1">'Debt worksheet'!AB5</f>
        <v>573001526.36356616</v>
      </c>
      <c r="AB11" s="1">
        <f ca="1">'Debt worksheet'!AC5</f>
        <v>603174226.09494281</v>
      </c>
      <c r="AC11" s="1">
        <f ca="1">'Debt worksheet'!AD5</f>
        <v>640337648.27717626</v>
      </c>
      <c r="AD11" s="1">
        <f ca="1">'Debt worksheet'!AE5</f>
        <v>685064612.73761666</v>
      </c>
      <c r="AE11" s="1">
        <f ca="1">'Debt worksheet'!AF5</f>
        <v>737962256.40723825</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150" zoomScaleNormal="150" workbookViewId="0">
      <pane xSplit="1" topLeftCell="B1" activePane="topRight" state="frozen"/>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165</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-3700083.8303259681</v>
      </c>
      <c r="D5" s="4">
        <f ca="1">'Profit and Loss'!D9</f>
        <v>2121397.2137913192</v>
      </c>
      <c r="E5" s="4">
        <f ca="1">'Profit and Loss'!E9</f>
        <v>9785889.5640136637</v>
      </c>
      <c r="F5" s="4">
        <f ca="1">'Profit and Loss'!F9</f>
        <v>21491164.309573397</v>
      </c>
      <c r="G5" s="4">
        <f ca="1">'Profit and Loss'!G9</f>
        <v>27675962.893993925</v>
      </c>
      <c r="H5" s="4">
        <f ca="1">'Profit and Loss'!H9</f>
        <v>33075801.62964667</v>
      </c>
      <c r="I5" s="4">
        <f ca="1">'Profit and Loss'!I9</f>
        <v>36899028.98598209</v>
      </c>
      <c r="J5" s="4">
        <f ca="1">'Profit and Loss'!J9</f>
        <v>40420871.545094758</v>
      </c>
      <c r="K5" s="4">
        <f ca="1">'Profit and Loss'!K9</f>
        <v>43426177.195949651</v>
      </c>
      <c r="L5" s="4">
        <f ca="1">'Profit and Loss'!L9</f>
        <v>45078376.413950972</v>
      </c>
      <c r="M5" s="4">
        <f ca="1">'Profit and Loss'!M9</f>
        <v>46294378.022270024</v>
      </c>
      <c r="N5" s="4">
        <f ca="1">'Profit and Loss'!N9</f>
        <v>47642164.641269021</v>
      </c>
      <c r="O5" s="4">
        <f ca="1">'Profit and Loss'!O9</f>
        <v>49136954.288271368</v>
      </c>
      <c r="P5" s="4">
        <f ca="1">'Profit and Loss'!P9</f>
        <v>50795316.799833387</v>
      </c>
      <c r="Q5" s="4">
        <f ca="1">'Profit and Loss'!Q9</f>
        <v>52635275.278337926</v>
      </c>
      <c r="R5" s="4">
        <f ca="1">'Profit and Loss'!R9</f>
        <v>54676414.408120021</v>
      </c>
      <c r="S5" s="4">
        <f ca="1">'Profit and Loss'!S9</f>
        <v>56939996.076952077</v>
      </c>
      <c r="T5" s="4">
        <f ca="1">'Profit and Loss'!T9</f>
        <v>59449082.765208326</v>
      </c>
      <c r="U5" s="4">
        <f ca="1">'Profit and Loss'!U9</f>
        <v>62228669.193081014</v>
      </c>
      <c r="V5" s="4">
        <f ca="1">'Profit and Loss'!V9</f>
        <v>65305822.745932885</v>
      </c>
      <c r="W5" s="4">
        <f ca="1">'Profit and Loss'!W9</f>
        <v>66507634.805360854</v>
      </c>
      <c r="X5" s="4">
        <f ca="1">'Profit and Loss'!X9</f>
        <v>67766448.83014752</v>
      </c>
      <c r="Y5" s="4">
        <f ca="1">'Profit and Loss'!Y9</f>
        <v>69088764.815204591</v>
      </c>
      <c r="Z5" s="4">
        <f ca="1">'Profit and Loss'!Z9</f>
        <v>70481676.951375589</v>
      </c>
      <c r="AA5" s="4">
        <f ca="1">'Profit and Loss'!AA9</f>
        <v>71952917.27320756</v>
      </c>
      <c r="AB5" s="4">
        <f ca="1">'Profit and Loss'!AB9</f>
        <v>68563990.277127713</v>
      </c>
      <c r="AC5" s="4">
        <f ca="1">'Profit and Loss'!AC9</f>
        <v>64732841.906543106</v>
      </c>
      <c r="AD5" s="4">
        <f ca="1">'Profit and Loss'!AD9</f>
        <v>60429980.079177044</v>
      </c>
      <c r="AE5" s="4">
        <f ca="1">'Profit and Loss'!AE9</f>
        <v>55624323.095263615</v>
      </c>
      <c r="AF5" s="4">
        <f ca="1">'Profit and Loss'!AF9</f>
        <v>50283122.698105976</v>
      </c>
      <c r="AG5" s="4"/>
      <c r="AH5" s="4"/>
      <c r="AI5" s="4"/>
      <c r="AJ5" s="4"/>
      <c r="AK5" s="4"/>
      <c r="AL5" s="4"/>
      <c r="AM5" s="4"/>
      <c r="AN5" s="4"/>
      <c r="AO5" s="4"/>
      <c r="AP5" s="4"/>
    </row>
    <row r="6" spans="1:42" x14ac:dyDescent="0.35">
      <c r="A6" t="s">
        <v>21</v>
      </c>
      <c r="C6" s="4">
        <f>Depreciation!C8+Depreciation!C9</f>
        <v>19201767.322564006</v>
      </c>
      <c r="D6" s="4">
        <f>Depreciation!D8+Depreciation!D9</f>
        <v>20928921.270647876</v>
      </c>
      <c r="E6" s="4">
        <f>Depreciation!E8+Depreciation!E9</f>
        <v>22746950.461670805</v>
      </c>
      <c r="F6" s="4">
        <f>Depreciation!F8+Depreciation!F9</f>
        <v>24659902.305538066</v>
      </c>
      <c r="G6" s="4">
        <f>Depreciation!G8+Depreciation!G9</f>
        <v>26671990.190140076</v>
      </c>
      <c r="H6" s="4">
        <f>Depreciation!H8+Depreciation!H9</f>
        <v>28787599.95939574</v>
      </c>
      <c r="I6" s="4">
        <f>Depreciation!I8+Depreciation!I9</f>
        <v>31011296.635929063</v>
      </c>
      <c r="J6" s="4">
        <f>Depreciation!J8+Depreciation!J9</f>
        <v>33347831.397402108</v>
      </c>
      <c r="K6" s="4">
        <f>Depreciation!K8+Depreciation!K9</f>
        <v>35802148.815854236</v>
      </c>
      <c r="L6" s="4">
        <f>Depreciation!L8+Depreciation!L9</f>
        <v>38379394.369736344</v>
      </c>
      <c r="M6" s="4">
        <f>Depreciation!M8+Depreciation!M9</f>
        <v>41084922.238679484</v>
      </c>
      <c r="N6" s="4">
        <f>Depreciation!N8+Depreciation!N9</f>
        <v>43924303.391400367</v>
      </c>
      <c r="O6" s="4">
        <f>Depreciation!O8+Depreciation!O9</f>
        <v>46903333.977522999</v>
      </c>
      <c r="P6" s="4">
        <f>Depreciation!P8+Depreciation!P9</f>
        <v>50028044.034484655</v>
      </c>
      <c r="Q6" s="4">
        <f>Depreciation!Q8+Depreciation!Q9</f>
        <v>53304706.521098882</v>
      </c>
      <c r="R6" s="4">
        <f>Depreciation!R8+Depreciation!R9</f>
        <v>56739846.689765126</v>
      </c>
      <c r="S6" s="4">
        <f>Depreciation!S8+Depreciation!S9</f>
        <v>60340251.809748396</v>
      </c>
      <c r="T6" s="4">
        <f>Depreciation!T8+Depreciation!T9</f>
        <v>64112981.254400261</v>
      </c>
      <c r="U6" s="4">
        <f>Depreciation!U8+Depreciation!U9</f>
        <v>68065376.965656668</v>
      </c>
      <c r="V6" s="4">
        <f>Depreciation!V8+Depreciation!V9</f>
        <v>72205074.309628993</v>
      </c>
      <c r="W6" s="4">
        <f>Depreciation!W8+Depreciation!W9</f>
        <v>76540013.33760272</v>
      </c>
      <c r="X6" s="4">
        <f>Depreciation!X8+Depreciation!X9</f>
        <v>81078450.467273682</v>
      </c>
      <c r="Y6" s="4">
        <f>Depreciation!Y8+Depreciation!Y9</f>
        <v>85828970.599585861</v>
      </c>
      <c r="Z6" s="4">
        <f>Depreciation!Z8+Depreciation!Z9</f>
        <v>90800499.687087566</v>
      </c>
      <c r="AA6" s="4">
        <f>Depreciation!AA8+Depreciation!AA9</f>
        <v>96002317.770295426</v>
      </c>
      <c r="AB6" s="4">
        <f>Depreciation!AB8+Depreciation!AB9</f>
        <v>101444072.49914898</v>
      </c>
      <c r="AC6" s="4">
        <f>Depreciation!AC8+Depreciation!AC9</f>
        <v>107135793.15725237</v>
      </c>
      <c r="AD6" s="4">
        <f>Depreciation!AD8+Depreciation!AD9</f>
        <v>113087905.20723528</v>
      </c>
      <c r="AE6" s="4">
        <f>Depreciation!AE8+Depreciation!AE9</f>
        <v>119311245.37622404</v>
      </c>
      <c r="AF6" s="4">
        <f>Depreciation!AF8+Depreciation!AF9</f>
        <v>125817077.30109584</v>
      </c>
      <c r="AG6" s="4"/>
      <c r="AH6" s="4"/>
      <c r="AI6" s="4"/>
      <c r="AJ6" s="4"/>
      <c r="AK6" s="4"/>
      <c r="AL6" s="4"/>
      <c r="AM6" s="4"/>
      <c r="AN6" s="4"/>
      <c r="AO6" s="4"/>
      <c r="AP6" s="4"/>
    </row>
    <row r="7" spans="1:42" x14ac:dyDescent="0.35">
      <c r="A7" t="s">
        <v>23</v>
      </c>
      <c r="C7" s="4">
        <f ca="1">C6+C5</f>
        <v>15501683.492238037</v>
      </c>
      <c r="D7" s="4">
        <f ca="1">D6+D5</f>
        <v>23050318.484439194</v>
      </c>
      <c r="E7" s="4">
        <f t="shared" ref="E7:AF7" ca="1" si="1">E6+E5</f>
        <v>32532840.025684468</v>
      </c>
      <c r="F7" s="4">
        <f t="shared" ca="1" si="1"/>
        <v>46151066.615111463</v>
      </c>
      <c r="G7" s="4">
        <f ca="1">G6+G5</f>
        <v>54347953.084133998</v>
      </c>
      <c r="H7" s="4">
        <f t="shared" ca="1" si="1"/>
        <v>61863401.58904241</v>
      </c>
      <c r="I7" s="4">
        <f t="shared" ca="1" si="1"/>
        <v>67910325.621911153</v>
      </c>
      <c r="J7" s="4">
        <f t="shared" ca="1" si="1"/>
        <v>73768702.942496866</v>
      </c>
      <c r="K7" s="4">
        <f t="shared" ca="1" si="1"/>
        <v>79228326.011803895</v>
      </c>
      <c r="L7" s="4">
        <f t="shared" ca="1" si="1"/>
        <v>83457770.783687323</v>
      </c>
      <c r="M7" s="4">
        <f t="shared" ca="1" si="1"/>
        <v>87379300.260949507</v>
      </c>
      <c r="N7" s="4">
        <f t="shared" ca="1" si="1"/>
        <v>91566468.032669395</v>
      </c>
      <c r="O7" s="4">
        <f t="shared" ca="1" si="1"/>
        <v>96040288.265794367</v>
      </c>
      <c r="P7" s="4">
        <f t="shared" ca="1" si="1"/>
        <v>100823360.83431804</v>
      </c>
      <c r="Q7" s="4">
        <f t="shared" ca="1" si="1"/>
        <v>105939981.79943681</v>
      </c>
      <c r="R7" s="4">
        <f t="shared" ca="1" si="1"/>
        <v>111416261.09788515</v>
      </c>
      <c r="S7" s="4">
        <f t="shared" ca="1" si="1"/>
        <v>117280247.88670048</v>
      </c>
      <c r="T7" s="4">
        <f t="shared" ca="1" si="1"/>
        <v>123562064.01960859</v>
      </c>
      <c r="U7" s="4">
        <f t="shared" ca="1" si="1"/>
        <v>130294046.15873769</v>
      </c>
      <c r="V7" s="4">
        <f t="shared" ca="1" si="1"/>
        <v>137510897.05556187</v>
      </c>
      <c r="W7" s="4">
        <f t="shared" ca="1" si="1"/>
        <v>143047648.14296359</v>
      </c>
      <c r="X7" s="4">
        <f t="shared" ca="1" si="1"/>
        <v>148844899.29742122</v>
      </c>
      <c r="Y7" s="4">
        <f t="shared" ca="1" si="1"/>
        <v>154917735.41479045</v>
      </c>
      <c r="Z7" s="4">
        <f t="shared" ca="1" si="1"/>
        <v>161282176.63846314</v>
      </c>
      <c r="AA7" s="4">
        <f t="shared" ca="1" si="1"/>
        <v>167955235.04350299</v>
      </c>
      <c r="AB7" s="4">
        <f t="shared" ca="1" si="1"/>
        <v>170008062.77627671</v>
      </c>
      <c r="AC7" s="4">
        <f t="shared" ca="1" si="1"/>
        <v>171868635.06379548</v>
      </c>
      <c r="AD7" s="4">
        <f t="shared" ca="1" si="1"/>
        <v>173517885.28641233</v>
      </c>
      <c r="AE7" s="4">
        <f t="shared" ca="1" si="1"/>
        <v>174935568.47148764</v>
      </c>
      <c r="AF7" s="4">
        <f t="shared" ca="1" si="1"/>
        <v>176100199.99920183</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64126565.197314575</v>
      </c>
      <c r="D10" s="9">
        <f>Investment!D25</f>
        <v>67291312.677390456</v>
      </c>
      <c r="E10" s="9">
        <f>Investment!E25</f>
        <v>70592938.393429145</v>
      </c>
      <c r="F10" s="9">
        <f>Investment!F25</f>
        <v>74036961.851112679</v>
      </c>
      <c r="G10" s="9">
        <f>Investment!G25</f>
        <v>77629115.641173095</v>
      </c>
      <c r="H10" s="9">
        <f>Investment!H25</f>
        <v>81375353.424861804</v>
      </c>
      <c r="I10" s="9">
        <f>Investment!I25</f>
        <v>85281858.212290019</v>
      </c>
      <c r="J10" s="9">
        <f>Investment!J25</f>
        <v>89355050.944206625</v>
      </c>
      <c r="K10" s="9">
        <f>Investment!K25</f>
        <v>93601599.388156503</v>
      </c>
      <c r="L10" s="9">
        <f>Investment!L25</f>
        <v>98028427.360352278</v>
      </c>
      <c r="M10" s="9">
        <f>Investment!M25</f>
        <v>102642724.28499512</v>
      </c>
      <c r="N10" s="9">
        <f>Investment!N25</f>
        <v>107451955.10319811</v>
      </c>
      <c r="O10" s="9">
        <f>Investment!O25</f>
        <v>112463870.54409827</v>
      </c>
      <c r="P10" s="9">
        <f>Investment!P25</f>
        <v>117686517.77119035</v>
      </c>
      <c r="Q10" s="9">
        <f>Investment!Q25</f>
        <v>123128251.41737913</v>
      </c>
      <c r="R10" s="9">
        <f>Investment!R25</f>
        <v>128797745.02272636</v>
      </c>
      <c r="S10" s="9">
        <f>Investment!S25</f>
        <v>134704002.88936439</v>
      </c>
      <c r="T10" s="9">
        <f>Investment!T25</f>
        <v>140856372.36856395</v>
      </c>
      <c r="U10" s="9">
        <f>Investment!U25</f>
        <v>147264556.59547362</v>
      </c>
      <c r="V10" s="9">
        <f>Investment!V25</f>
        <v>153938627.68760008</v>
      </c>
      <c r="W10" s="9">
        <f>Investment!W25</f>
        <v>160889040.42366886</v>
      </c>
      <c r="X10" s="9">
        <f>Investment!X25</f>
        <v>168126646.42009395</v>
      </c>
      <c r="Y10" s="9">
        <f>Investment!Y25</f>
        <v>175662708.82289636</v>
      </c>
      <c r="Z10" s="9">
        <f>Investment!Z25</f>
        <v>183508917.533544</v>
      </c>
      <c r="AA10" s="9">
        <f>Investment!AA25</f>
        <v>191677404.98783851</v>
      </c>
      <c r="AB10" s="9">
        <f>Investment!AB25</f>
        <v>200180762.50765342</v>
      </c>
      <c r="AC10" s="9">
        <f>Investment!AC25</f>
        <v>209032057.24602893</v>
      </c>
      <c r="AD10" s="9">
        <f>Investment!AD25</f>
        <v>218244849.7468527</v>
      </c>
      <c r="AE10" s="9">
        <f>Investment!AE25</f>
        <v>227833212.14110923</v>
      </c>
      <c r="AF10" s="9">
        <f>Investment!AF25</f>
        <v>237811747.00245735</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-48624881.705076538</v>
      </c>
      <c r="D12" s="1">
        <f t="shared" ref="D12:AF12" ca="1" si="2">D7-D9-D10</f>
        <v>-44240994.192951262</v>
      </c>
      <c r="E12" s="1">
        <f ca="1">E7-E9-E10</f>
        <v>-38060098.367744677</v>
      </c>
      <c r="F12" s="1">
        <f t="shared" ca="1" si="2"/>
        <v>-27885895.236001216</v>
      </c>
      <c r="G12" s="1">
        <f ca="1">G7-G9-G10</f>
        <v>-23281162.557039097</v>
      </c>
      <c r="H12" s="1">
        <f t="shared" ca="1" si="2"/>
        <v>-19511951.835819393</v>
      </c>
      <c r="I12" s="1">
        <f t="shared" ca="1" si="2"/>
        <v>-17371532.590378866</v>
      </c>
      <c r="J12" s="1">
        <f t="shared" ca="1" si="2"/>
        <v>-15586348.001709759</v>
      </c>
      <c r="K12" s="1">
        <f t="shared" ca="1" si="2"/>
        <v>-14373273.376352608</v>
      </c>
      <c r="L12" s="1">
        <f t="shared" ca="1" si="2"/>
        <v>-14570656.576664954</v>
      </c>
      <c r="M12" s="1">
        <f t="shared" ca="1" si="2"/>
        <v>-15263424.024045616</v>
      </c>
      <c r="N12" s="1">
        <f t="shared" ca="1" si="2"/>
        <v>-15885487.070528716</v>
      </c>
      <c r="O12" s="1">
        <f t="shared" ca="1" si="2"/>
        <v>-16423582.278303906</v>
      </c>
      <c r="P12" s="1">
        <f t="shared" ca="1" si="2"/>
        <v>-16863156.936872303</v>
      </c>
      <c r="Q12" s="1">
        <f t="shared" ca="1" si="2"/>
        <v>-17188269.617942318</v>
      </c>
      <c r="R12" s="1">
        <f t="shared" ca="1" si="2"/>
        <v>-17381483.92484121</v>
      </c>
      <c r="S12" s="1">
        <f t="shared" ca="1" si="2"/>
        <v>-17423755.00266391</v>
      </c>
      <c r="T12" s="1">
        <f t="shared" ca="1" si="2"/>
        <v>-17294308.348955363</v>
      </c>
      <c r="U12" s="1">
        <f t="shared" ca="1" si="2"/>
        <v>-16970510.436735928</v>
      </c>
      <c r="V12" s="1">
        <f t="shared" ca="1" si="2"/>
        <v>-16427730.632038206</v>
      </c>
      <c r="W12" s="1">
        <f t="shared" ca="1" si="2"/>
        <v>-17841392.280705273</v>
      </c>
      <c r="X12" s="1">
        <f t="shared" ca="1" si="2"/>
        <v>-19281747.122672737</v>
      </c>
      <c r="Y12" s="1">
        <f t="shared" ca="1" si="2"/>
        <v>-20744973.40810591</v>
      </c>
      <c r="Z12" s="1">
        <f t="shared" ca="1" si="2"/>
        <v>-22226740.895080864</v>
      </c>
      <c r="AA12" s="1">
        <f t="shared" ca="1" si="2"/>
        <v>-23722169.94433552</v>
      </c>
      <c r="AB12" s="1">
        <f t="shared" ca="1" si="2"/>
        <v>-30172699.731376708</v>
      </c>
      <c r="AC12" s="1">
        <f t="shared" ca="1" si="2"/>
        <v>-37163422.182233453</v>
      </c>
      <c r="AD12" s="1">
        <f t="shared" ca="1" si="2"/>
        <v>-44726964.460440367</v>
      </c>
      <c r="AE12" s="1">
        <f t="shared" ca="1" si="2"/>
        <v>-52897643.669621587</v>
      </c>
      <c r="AF12" s="1">
        <f t="shared" ca="1" si="2"/>
        <v>-61711547.003255516</v>
      </c>
      <c r="AG12" s="1"/>
      <c r="AH12" s="1"/>
      <c r="AI12" s="1"/>
      <c r="AJ12" s="1"/>
      <c r="AK12" s="1"/>
      <c r="AL12" s="1"/>
      <c r="AM12" s="1"/>
      <c r="AN12" s="1"/>
      <c r="AO12" s="1"/>
      <c r="AP12" s="1"/>
    </row>
    <row r="13" spans="1:42" x14ac:dyDescent="0.35">
      <c r="A13" t="s">
        <v>19</v>
      </c>
      <c r="C13" s="1">
        <f ca="1">C12</f>
        <v>-48624881.705076538</v>
      </c>
      <c r="D13" s="1">
        <f ca="1">D12</f>
        <v>-44240994.192951262</v>
      </c>
      <c r="E13" s="1">
        <f ca="1">E12</f>
        <v>-38060098.367744677</v>
      </c>
      <c r="F13" s="1">
        <f t="shared" ref="F13:AF13" ca="1" si="3">F12</f>
        <v>-27885895.236001216</v>
      </c>
      <c r="G13" s="1">
        <f ca="1">G12</f>
        <v>-23281162.557039097</v>
      </c>
      <c r="H13" s="1">
        <f t="shared" ca="1" si="3"/>
        <v>-19511951.835819393</v>
      </c>
      <c r="I13" s="1">
        <f t="shared" ca="1" si="3"/>
        <v>-17371532.590378866</v>
      </c>
      <c r="J13" s="1">
        <f t="shared" ca="1" si="3"/>
        <v>-15586348.001709759</v>
      </c>
      <c r="K13" s="1">
        <f t="shared" ca="1" si="3"/>
        <v>-14373273.376352608</v>
      </c>
      <c r="L13" s="1">
        <f t="shared" ca="1" si="3"/>
        <v>-14570656.576664954</v>
      </c>
      <c r="M13" s="1">
        <f t="shared" ca="1" si="3"/>
        <v>-15263424.024045616</v>
      </c>
      <c r="N13" s="1">
        <f t="shared" ca="1" si="3"/>
        <v>-15885487.070528716</v>
      </c>
      <c r="O13" s="1">
        <f t="shared" ca="1" si="3"/>
        <v>-16423582.278303906</v>
      </c>
      <c r="P13" s="1">
        <f t="shared" ca="1" si="3"/>
        <v>-16863156.936872303</v>
      </c>
      <c r="Q13" s="1">
        <f t="shared" ca="1" si="3"/>
        <v>-17188269.617942318</v>
      </c>
      <c r="R13" s="1">
        <f t="shared" ca="1" si="3"/>
        <v>-17381483.92484121</v>
      </c>
      <c r="S13" s="1">
        <f t="shared" ca="1" si="3"/>
        <v>-17423755.00266391</v>
      </c>
      <c r="T13" s="1">
        <f t="shared" ca="1" si="3"/>
        <v>-17294308.348955363</v>
      </c>
      <c r="U13" s="1">
        <f t="shared" ca="1" si="3"/>
        <v>-16970510.436735928</v>
      </c>
      <c r="V13" s="1">
        <f t="shared" ca="1" si="3"/>
        <v>-16427730.632038206</v>
      </c>
      <c r="W13" s="1">
        <f t="shared" ca="1" si="3"/>
        <v>-17841392.280705273</v>
      </c>
      <c r="X13" s="1">
        <f t="shared" ca="1" si="3"/>
        <v>-19281747.122672737</v>
      </c>
      <c r="Y13" s="1">
        <f t="shared" ca="1" si="3"/>
        <v>-20744973.40810591</v>
      </c>
      <c r="Z13" s="1">
        <f t="shared" ca="1" si="3"/>
        <v>-22226740.895080864</v>
      </c>
      <c r="AA13" s="1">
        <f t="shared" ca="1" si="3"/>
        <v>-23722169.94433552</v>
      </c>
      <c r="AB13" s="1">
        <f t="shared" ca="1" si="3"/>
        <v>-30172699.731376708</v>
      </c>
      <c r="AC13" s="1">
        <f t="shared" ca="1" si="3"/>
        <v>-37163422.182233453</v>
      </c>
      <c r="AD13" s="1">
        <f t="shared" ca="1" si="3"/>
        <v>-44726964.460440367</v>
      </c>
      <c r="AE13" s="1">
        <f t="shared" ca="1" si="3"/>
        <v>-52897643.669621587</v>
      </c>
      <c r="AF13" s="1">
        <f t="shared" ca="1" si="3"/>
        <v>-61711547.003255516</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120" zoomScaleNormal="120" workbookViewId="0">
      <pane xSplit="1" topLeftCell="B1" activePane="topRight" state="frozen"/>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139</v>
      </c>
      <c r="C6" s="9">
        <f>Assumptions!C17</f>
        <v>1197925587.5</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598962793.75</v>
      </c>
      <c r="D7" s="9">
        <f>C12</f>
        <v>618164561.07256401</v>
      </c>
      <c r="E7" s="9">
        <f>D12</f>
        <v>639093482.34321189</v>
      </c>
      <c r="F7" s="9">
        <f t="shared" ref="F7:H7" si="1">E12</f>
        <v>661840432.80488265</v>
      </c>
      <c r="G7" s="9">
        <f t="shared" si="1"/>
        <v>686500335.1104207</v>
      </c>
      <c r="H7" s="9">
        <f t="shared" si="1"/>
        <v>713172325.30056083</v>
      </c>
      <c r="I7" s="9">
        <f t="shared" ref="I7" si="2">H12</f>
        <v>741959925.2599566</v>
      </c>
      <c r="J7" s="9">
        <f t="shared" ref="J7" si="3">I12</f>
        <v>772971221.89588559</v>
      </c>
      <c r="K7" s="9">
        <f t="shared" ref="K7" si="4">J12</f>
        <v>806319053.29328775</v>
      </c>
      <c r="L7" s="9">
        <f t="shared" ref="L7" si="5">K12</f>
        <v>842121202.10914207</v>
      </c>
      <c r="M7" s="9">
        <f t="shared" ref="M7" si="6">L12</f>
        <v>880500596.47887838</v>
      </c>
      <c r="N7" s="9">
        <f t="shared" ref="N7" si="7">M12</f>
        <v>921585518.71755791</v>
      </c>
      <c r="O7" s="9">
        <f t="shared" ref="O7" si="8">N12</f>
        <v>965509822.10895824</v>
      </c>
      <c r="P7" s="9">
        <f t="shared" ref="P7" si="9">O12</f>
        <v>1012413156.0864812</v>
      </c>
      <c r="Q7" s="9">
        <f t="shared" ref="Q7" si="10">P12</f>
        <v>1062441200.1209658</v>
      </c>
      <c r="R7" s="9">
        <f t="shared" ref="R7" si="11">Q12</f>
        <v>1115745906.6420646</v>
      </c>
      <c r="S7" s="9">
        <f t="shared" ref="S7" si="12">R12</f>
        <v>1172485753.3318295</v>
      </c>
      <c r="T7" s="9">
        <f t="shared" ref="T7" si="13">S12</f>
        <v>1232826005.141578</v>
      </c>
      <c r="U7" s="9">
        <f t="shared" ref="U7" si="14">T12</f>
        <v>1296938986.3959782</v>
      </c>
      <c r="V7" s="9">
        <f t="shared" ref="V7" si="15">U12</f>
        <v>1365004363.3616347</v>
      </c>
      <c r="W7" s="9">
        <f t="shared" ref="W7" si="16">V12</f>
        <v>1437209437.6712637</v>
      </c>
      <c r="X7" s="9">
        <f t="shared" ref="X7" si="17">W12</f>
        <v>1513749451.0088665</v>
      </c>
      <c r="Y7" s="9">
        <f t="shared" ref="Y7" si="18">X12</f>
        <v>1594827901.47614</v>
      </c>
      <c r="Z7" s="9">
        <f t="shared" ref="Z7" si="19">Y12</f>
        <v>1680656872.0757258</v>
      </c>
      <c r="AA7" s="9">
        <f t="shared" ref="AA7" si="20">Z12</f>
        <v>1771457371.7628136</v>
      </c>
      <c r="AB7" s="9">
        <f t="shared" ref="AB7" si="21">AA12</f>
        <v>1867459689.5331089</v>
      </c>
      <c r="AC7" s="9">
        <f t="shared" ref="AC7" si="22">AB12</f>
        <v>1968903762.0322578</v>
      </c>
      <c r="AD7" s="9">
        <f t="shared" ref="AD7" si="23">AC12</f>
        <v>2076039555.1895101</v>
      </c>
      <c r="AE7" s="9">
        <f t="shared" ref="AE7" si="24">AD12</f>
        <v>2189127460.3967452</v>
      </c>
      <c r="AF7" s="9">
        <f t="shared" ref="AF7" si="25">AE12</f>
        <v>2308438705.7729692</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140</v>
      </c>
      <c r="C8" s="9">
        <f>Assumptions!D111*Assumptions!D11</f>
        <v>18123572.173569992</v>
      </c>
      <c r="D8" s="9">
        <f>Assumptions!E111*Assumptions!E11</f>
        <v>18703526.48312423</v>
      </c>
      <c r="E8" s="9">
        <f>Assumptions!F111*Assumptions!F11</f>
        <v>19302039.330584206</v>
      </c>
      <c r="F8" s="9">
        <f>Assumptions!G111*Assumptions!G11</f>
        <v>19919704.589162901</v>
      </c>
      <c r="G8" s="9">
        <f>Assumptions!H111*Assumptions!H11</f>
        <v>20557135.136016116</v>
      </c>
      <c r="H8" s="9">
        <f>Assumptions!I111*Assumptions!I11</f>
        <v>21214963.46036863</v>
      </c>
      <c r="I8" s="9">
        <f>Assumptions!J111*Assumptions!J11</f>
        <v>21893842.29110042</v>
      </c>
      <c r="J8" s="9">
        <f>Assumptions!K111*Assumptions!K11</f>
        <v>22594445.244415637</v>
      </c>
      <c r="K8" s="9">
        <f>Assumptions!L111*Assumptions!L11</f>
        <v>23317467.492236942</v>
      </c>
      <c r="L8" s="9">
        <f>Assumptions!M111*Assumptions!M11</f>
        <v>24063626.451988518</v>
      </c>
      <c r="M8" s="9">
        <f>Assumptions!N111*Assumptions!N11</f>
        <v>24833662.498452153</v>
      </c>
      <c r="N8" s="9">
        <f>Assumptions!O111*Assumptions!O11</f>
        <v>25628339.698402621</v>
      </c>
      <c r="O8" s="9">
        <f>Assumptions!P111*Assumptions!P11</f>
        <v>26448446.568751507</v>
      </c>
      <c r="P8" s="9">
        <f>Assumptions!Q111*Assumptions!Q11</f>
        <v>27294796.85895155</v>
      </c>
      <c r="Q8" s="9">
        <f>Assumptions!R111*Assumptions!R11</f>
        <v>28168230.358437996</v>
      </c>
      <c r="R8" s="9">
        <f>Assumptions!S111*Assumptions!S11</f>
        <v>29069613.729908019</v>
      </c>
      <c r="S8" s="9">
        <f>Assumptions!T111*Assumptions!T11</f>
        <v>29999841.369265079</v>
      </c>
      <c r="T8" s="9">
        <f>Assumptions!U111*Assumptions!U11</f>
        <v>30959836.293081556</v>
      </c>
      <c r="U8" s="9">
        <f>Assumptions!V111*Assumptions!V11</f>
        <v>31950551.054460164</v>
      </c>
      <c r="V8" s="9">
        <f>Assumptions!W111*Assumptions!W11</f>
        <v>32972968.688202891</v>
      </c>
      <c r="W8" s="9">
        <f>Assumptions!X111*Assumptions!X11</f>
        <v>34028103.686225392</v>
      </c>
      <c r="X8" s="9">
        <f>Assumptions!Y111*Assumptions!Y11</f>
        <v>35117003.004184596</v>
      </c>
      <c r="Y8" s="9">
        <f>Assumptions!Z111*Assumptions!Z11</f>
        <v>36240747.100318499</v>
      </c>
      <c r="Z8" s="9">
        <f>Assumptions!AA111*Assumptions!AA11</f>
        <v>37400451.007528692</v>
      </c>
      <c r="AA8" s="9">
        <f>Assumptions!AB111*Assumptions!AB11</f>
        <v>38597265.439769618</v>
      </c>
      <c r="AB8" s="9">
        <f>Assumptions!AC111*Assumptions!AC11</f>
        <v>39832377.933842242</v>
      </c>
      <c r="AC8" s="9">
        <f>Assumptions!AD111*Assumptions!AD11</f>
        <v>41107014.02772519</v>
      </c>
      <c r="AD8" s="9">
        <f>Assumptions!AE111*Assumptions!AE11</f>
        <v>42422438.476612397</v>
      </c>
      <c r="AE8" s="9">
        <f>Assumptions!AF111*Assumptions!AF11</f>
        <v>43779956.507863998</v>
      </c>
      <c r="AF8" s="9">
        <f>Assumptions!AG111*Assumptions!AG11</f>
        <v>45180915.116115637</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1078195.1489940137</v>
      </c>
      <c r="D9" s="9">
        <f>Assumptions!E120*Assumptions!E11</f>
        <v>2225394.787523644</v>
      </c>
      <c r="E9" s="9">
        <f>Assumptions!F120*Assumptions!F11</f>
        <v>3444911.1310866005</v>
      </c>
      <c r="F9" s="9">
        <f>Assumptions!G120*Assumptions!G11</f>
        <v>4740197.7163751628</v>
      </c>
      <c r="G9" s="9">
        <f>Assumptions!H120*Assumptions!H11</f>
        <v>6114855.0541239604</v>
      </c>
      <c r="H9" s="9">
        <f>Assumptions!I120*Assumptions!I11</f>
        <v>7572636.4990271116</v>
      </c>
      <c r="I9" s="9">
        <f>Assumptions!J120*Assumptions!J11</f>
        <v>9117454.344828641</v>
      </c>
      <c r="J9" s="9">
        <f>Assumptions!K120*Assumptions!K11</f>
        <v>10753386.152986469</v>
      </c>
      <c r="K9" s="9">
        <f>Assumptions!L120*Assumptions!L11</f>
        <v>12484681.323617291</v>
      </c>
      <c r="L9" s="9">
        <f>Assumptions!M120*Assumptions!M11</f>
        <v>14315767.917747825</v>
      </c>
      <c r="M9" s="9">
        <f>Assumptions!N120*Assumptions!N11</f>
        <v>16251259.74022733</v>
      </c>
      <c r="N9" s="9">
        <f>Assumptions!O120*Assumptions!O11</f>
        <v>18295963.69299775</v>
      </c>
      <c r="O9" s="9">
        <f>Assumptions!P120*Assumptions!P11</f>
        <v>20454887.408771489</v>
      </c>
      <c r="P9" s="9">
        <f>Assumptions!Q120*Assumptions!Q11</f>
        <v>22733247.175533108</v>
      </c>
      <c r="Q9" s="9">
        <f>Assumptions!R120*Assumptions!R11</f>
        <v>25136476.162660886</v>
      </c>
      <c r="R9" s="9">
        <f>Assumptions!S120*Assumptions!S11</f>
        <v>27670232.959857106</v>
      </c>
      <c r="S9" s="9">
        <f>Assumptions!T120*Assumptions!T11</f>
        <v>30340410.440483317</v>
      </c>
      <c r="T9" s="9">
        <f>Assumptions!U120*Assumptions!U11</f>
        <v>33153144.961318705</v>
      </c>
      <c r="U9" s="9">
        <f>Assumptions!V120*Assumptions!V11</f>
        <v>36114825.911196508</v>
      </c>
      <c r="V9" s="9">
        <f>Assumptions!W120*Assumptions!W11</f>
        <v>39232105.621426105</v>
      </c>
      <c r="W9" s="9">
        <f>Assumptions!X120*Assumptions!X11</f>
        <v>42511909.651377328</v>
      </c>
      <c r="X9" s="9">
        <f>Assumptions!Y120*Assumptions!Y11</f>
        <v>45961447.463089079</v>
      </c>
      <c r="Y9" s="9">
        <f>Assumptions!Z120*Assumptions!Z11</f>
        <v>49588223.49926737</v>
      </c>
      <c r="Z9" s="9">
        <f>Assumptions!AA120*Assumptions!AA11</f>
        <v>53400048.679558881</v>
      </c>
      <c r="AA9" s="9">
        <f>Assumptions!AB120*Assumptions!AB11</f>
        <v>57405052.330525808</v>
      </c>
      <c r="AB9" s="9">
        <f>Assumptions!AC120*Assumptions!AC11</f>
        <v>61611694.565306738</v>
      </c>
      <c r="AC9" s="9">
        <f>Assumptions!AD120*Assumptions!AD11</f>
        <v>66028779.129527174</v>
      </c>
      <c r="AD9" s="9">
        <f>Assumptions!AE120*Assumptions!AE11</f>
        <v>70665466.730622873</v>
      </c>
      <c r="AE9" s="9">
        <f>Assumptions!AF120*Assumptions!AF11</f>
        <v>75531288.868360043</v>
      </c>
      <c r="AF9" s="9">
        <f>Assumptions!AG120*Assumptions!AG11</f>
        <v>80636162.184980214</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19201767.322564006</v>
      </c>
      <c r="D10" s="9">
        <f>SUM($C$8:D9)</f>
        <v>40130688.593211874</v>
      </c>
      <c r="E10" s="9">
        <f>SUM($C$8:E9)</f>
        <v>62877639.054882683</v>
      </c>
      <c r="F10" s="9">
        <f>SUM($C$8:F9)</f>
        <v>87537541.360420734</v>
      </c>
      <c r="G10" s="9">
        <f>SUM($C$8:G9)</f>
        <v>114209531.5505608</v>
      </c>
      <c r="H10" s="9">
        <f>SUM($C$8:H9)</f>
        <v>142997131.50995654</v>
      </c>
      <c r="I10" s="9">
        <f>SUM($C$8:I9)</f>
        <v>174008428.14588565</v>
      </c>
      <c r="J10" s="9">
        <f>SUM($C$8:J9)</f>
        <v>207356259.54328775</v>
      </c>
      <c r="K10" s="9">
        <f>SUM($C$8:K9)</f>
        <v>243158408.35914195</v>
      </c>
      <c r="L10" s="9">
        <f>SUM($C$8:L9)</f>
        <v>281537802.72887826</v>
      </c>
      <c r="M10" s="9">
        <f>SUM($C$8:M9)</f>
        <v>322622724.96755779</v>
      </c>
      <c r="N10" s="9">
        <f>SUM($C$8:N9)</f>
        <v>366547028.35895818</v>
      </c>
      <c r="O10" s="9">
        <f>SUM($C$8:O9)</f>
        <v>413450362.33648115</v>
      </c>
      <c r="P10" s="9">
        <f>SUM($C$8:P9)</f>
        <v>463478406.37096584</v>
      </c>
      <c r="Q10" s="9">
        <f>SUM($C$8:Q9)</f>
        <v>516783112.89206475</v>
      </c>
      <c r="R10" s="9">
        <f>SUM($C$8:R9)</f>
        <v>573522959.58182991</v>
      </c>
      <c r="S10" s="9">
        <f>SUM($C$8:S9)</f>
        <v>633863211.39157832</v>
      </c>
      <c r="T10" s="9">
        <f>SUM($C$8:T9)</f>
        <v>697976192.64597845</v>
      </c>
      <c r="U10" s="9">
        <f>SUM($C$8:U9)</f>
        <v>766041569.61163509</v>
      </c>
      <c r="V10" s="9">
        <f>SUM($C$8:V9)</f>
        <v>838246643.92126429</v>
      </c>
      <c r="W10" s="9">
        <f>SUM($C$8:W9)</f>
        <v>914786657.25886703</v>
      </c>
      <c r="X10" s="9">
        <f>SUM($C$8:X9)</f>
        <v>995865107.72614062</v>
      </c>
      <c r="Y10" s="9">
        <f>SUM($C$8:Y9)</f>
        <v>1081694078.3257265</v>
      </c>
      <c r="Z10" s="9">
        <f>SUM($C$8:Z9)</f>
        <v>1172494578.0128143</v>
      </c>
      <c r="AA10" s="9">
        <f>SUM($C$8:AA9)</f>
        <v>1268496895.7831097</v>
      </c>
      <c r="AB10" s="9">
        <f>SUM($C$8:AB9)</f>
        <v>1369940968.2822585</v>
      </c>
      <c r="AC10" s="9">
        <f>SUM($C$8:AC9)</f>
        <v>1477076761.4395111</v>
      </c>
      <c r="AD10" s="9">
        <f>SUM($C$8:AD9)</f>
        <v>1590164666.6467462</v>
      </c>
      <c r="AE10" s="9">
        <f>SUM($C$8:AE9)</f>
        <v>1709475912.0229702</v>
      </c>
      <c r="AF10" s="9">
        <f>SUM($C$8:AF9)</f>
        <v>1835292989.3240659</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618164561.07256401</v>
      </c>
      <c r="D12" s="9">
        <f>D7+D8+D9</f>
        <v>639093482.34321189</v>
      </c>
      <c r="E12" s="9">
        <f>E7+E8+E9</f>
        <v>661840432.80488265</v>
      </c>
      <c r="F12" s="9">
        <f t="shared" ref="F12:H12" si="26">F7+F8+F9</f>
        <v>686500335.1104207</v>
      </c>
      <c r="G12" s="9">
        <f t="shared" si="26"/>
        <v>713172325.30056083</v>
      </c>
      <c r="H12" s="9">
        <f t="shared" si="26"/>
        <v>741959925.2599566</v>
      </c>
      <c r="I12" s="9">
        <f t="shared" ref="I12:AF12" si="27">I7+I8+I9</f>
        <v>772971221.89588559</v>
      </c>
      <c r="J12" s="9">
        <f t="shared" si="27"/>
        <v>806319053.29328775</v>
      </c>
      <c r="K12" s="9">
        <f t="shared" si="27"/>
        <v>842121202.10914207</v>
      </c>
      <c r="L12" s="9">
        <f t="shared" si="27"/>
        <v>880500596.47887838</v>
      </c>
      <c r="M12" s="9">
        <f t="shared" si="27"/>
        <v>921585518.71755791</v>
      </c>
      <c r="N12" s="9">
        <f t="shared" si="27"/>
        <v>965509822.10895824</v>
      </c>
      <c r="O12" s="9">
        <f t="shared" si="27"/>
        <v>1012413156.0864812</v>
      </c>
      <c r="P12" s="9">
        <f t="shared" si="27"/>
        <v>1062441200.1209658</v>
      </c>
      <c r="Q12" s="9">
        <f t="shared" si="27"/>
        <v>1115745906.6420646</v>
      </c>
      <c r="R12" s="9">
        <f t="shared" si="27"/>
        <v>1172485753.3318295</v>
      </c>
      <c r="S12" s="9">
        <f t="shared" si="27"/>
        <v>1232826005.141578</v>
      </c>
      <c r="T12" s="9">
        <f t="shared" si="27"/>
        <v>1296938986.3959782</v>
      </c>
      <c r="U12" s="9">
        <f t="shared" si="27"/>
        <v>1365004363.3616347</v>
      </c>
      <c r="V12" s="9">
        <f t="shared" si="27"/>
        <v>1437209437.6712637</v>
      </c>
      <c r="W12" s="9">
        <f t="shared" si="27"/>
        <v>1513749451.0088665</v>
      </c>
      <c r="X12" s="9">
        <f t="shared" si="27"/>
        <v>1594827901.47614</v>
      </c>
      <c r="Y12" s="9">
        <f t="shared" si="27"/>
        <v>1680656872.0757258</v>
      </c>
      <c r="Z12" s="9">
        <f t="shared" si="27"/>
        <v>1771457371.7628136</v>
      </c>
      <c r="AA12" s="9">
        <f t="shared" si="27"/>
        <v>1867459689.5331089</v>
      </c>
      <c r="AB12" s="9">
        <f t="shared" si="27"/>
        <v>1968903762.0322578</v>
      </c>
      <c r="AC12" s="9">
        <f t="shared" si="27"/>
        <v>2076039555.1895101</v>
      </c>
      <c r="AD12" s="9">
        <f t="shared" si="27"/>
        <v>2189127460.3967452</v>
      </c>
      <c r="AE12" s="9">
        <f t="shared" si="27"/>
        <v>2308438705.7729692</v>
      </c>
      <c r="AF12" s="9">
        <f t="shared" si="27"/>
        <v>2434255783.0740652</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64126565.197314575</v>
      </c>
      <c r="D18" s="9">
        <f>Investment!D25</f>
        <v>67291312.677390456</v>
      </c>
      <c r="E18" s="9">
        <f>Investment!E25</f>
        <v>70592938.393429145</v>
      </c>
      <c r="F18" s="9">
        <f>Investment!F25</f>
        <v>74036961.851112679</v>
      </c>
      <c r="G18" s="9">
        <f>Investment!G25</f>
        <v>77629115.641173095</v>
      </c>
      <c r="H18" s="9">
        <f>Investment!H25</f>
        <v>81375353.424861804</v>
      </c>
      <c r="I18" s="9">
        <f>Investment!I25</f>
        <v>85281858.212290019</v>
      </c>
      <c r="J18" s="9">
        <f>Investment!J25</f>
        <v>89355050.944206625</v>
      </c>
      <c r="K18" s="9">
        <f>Investment!K25</f>
        <v>93601599.388156503</v>
      </c>
      <c r="L18" s="9">
        <f>Investment!L25</f>
        <v>98028427.360352278</v>
      </c>
      <c r="M18" s="9">
        <f>Investment!M25</f>
        <v>102642724.28499512</v>
      </c>
      <c r="N18" s="9">
        <f>Investment!N25</f>
        <v>107451955.10319811</v>
      </c>
      <c r="O18" s="9">
        <f>Investment!O25</f>
        <v>112463870.54409827</v>
      </c>
      <c r="P18" s="9">
        <f>Investment!P25</f>
        <v>117686517.77119035</v>
      </c>
      <c r="Q18" s="9">
        <f>Investment!Q25</f>
        <v>123128251.41737913</v>
      </c>
      <c r="R18" s="9">
        <f>Investment!R25</f>
        <v>128797745.02272636</v>
      </c>
      <c r="S18" s="9">
        <f>Investment!S25</f>
        <v>134704002.88936439</v>
      </c>
      <c r="T18" s="9">
        <f>Investment!T25</f>
        <v>140856372.36856395</v>
      </c>
      <c r="U18" s="9">
        <f>Investment!U25</f>
        <v>147264556.59547362</v>
      </c>
      <c r="V18" s="9">
        <f>Investment!V25</f>
        <v>153938627.68760008</v>
      </c>
      <c r="W18" s="9">
        <f>Investment!W25</f>
        <v>160889040.42366886</v>
      </c>
      <c r="X18" s="9">
        <f>Investment!X25</f>
        <v>168126646.42009395</v>
      </c>
      <c r="Y18" s="9">
        <f>Investment!Y25</f>
        <v>175662708.82289636</v>
      </c>
      <c r="Z18" s="9">
        <f>Investment!Z25</f>
        <v>183508917.533544</v>
      </c>
      <c r="AA18" s="9">
        <f>Investment!AA25</f>
        <v>191677404.98783851</v>
      </c>
      <c r="AB18" s="9">
        <f>Investment!AB25</f>
        <v>200180762.50765342</v>
      </c>
      <c r="AC18" s="9">
        <f>Investment!AC25</f>
        <v>209032057.24602893</v>
      </c>
      <c r="AD18" s="9">
        <f>Investment!AD25</f>
        <v>218244849.7468527</v>
      </c>
      <c r="AE18" s="9">
        <f>Investment!AE25</f>
        <v>227833212.14110923</v>
      </c>
      <c r="AF18" s="9">
        <f>Investment!AF25</f>
        <v>237811747.00245735</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663089358.94731462</v>
      </c>
      <c r="D19" s="9">
        <f>D18+C20</f>
        <v>711178904.30214107</v>
      </c>
      <c r="E19" s="9">
        <f>E18+D20</f>
        <v>760842921.42492235</v>
      </c>
      <c r="F19" s="9">
        <f t="shared" ref="F19:AF19" si="28">F18+E20</f>
        <v>812132932.81436431</v>
      </c>
      <c r="G19" s="9">
        <f t="shared" si="28"/>
        <v>865102146.14999938</v>
      </c>
      <c r="H19" s="9">
        <f t="shared" si="28"/>
        <v>919805509.38472104</v>
      </c>
      <c r="I19" s="9">
        <f t="shared" si="28"/>
        <v>976299767.63761532</v>
      </c>
      <c r="J19" s="9">
        <f t="shared" si="28"/>
        <v>1034643521.9458929</v>
      </c>
      <c r="K19" s="9">
        <f t="shared" si="28"/>
        <v>1094897289.9366472</v>
      </c>
      <c r="L19" s="9">
        <f t="shared" si="28"/>
        <v>1157123568.4811451</v>
      </c>
      <c r="M19" s="9">
        <f t="shared" si="28"/>
        <v>1221386898.396404</v>
      </c>
      <c r="N19" s="9">
        <f t="shared" si="28"/>
        <v>1287753931.2609227</v>
      </c>
      <c r="O19" s="9">
        <f t="shared" si="28"/>
        <v>1356293498.4136207</v>
      </c>
      <c r="P19" s="9">
        <f t="shared" si="28"/>
        <v>1427076682.207288</v>
      </c>
      <c r="Q19" s="9">
        <f t="shared" si="28"/>
        <v>1500176889.5901825</v>
      </c>
      <c r="R19" s="9">
        <f t="shared" si="28"/>
        <v>1575669928.09181</v>
      </c>
      <c r="S19" s="9">
        <f t="shared" si="28"/>
        <v>1653634084.2914093</v>
      </c>
      <c r="T19" s="9">
        <f t="shared" si="28"/>
        <v>1734150204.8502247</v>
      </c>
      <c r="U19" s="9">
        <f t="shared" si="28"/>
        <v>1817301780.191298</v>
      </c>
      <c r="V19" s="9">
        <f t="shared" si="28"/>
        <v>1903175030.9132416</v>
      </c>
      <c r="W19" s="9">
        <f t="shared" si="28"/>
        <v>1991858997.0272815</v>
      </c>
      <c r="X19" s="9">
        <f t="shared" si="28"/>
        <v>2083445630.1097727</v>
      </c>
      <c r="Y19" s="9">
        <f t="shared" si="28"/>
        <v>2178029888.4653955</v>
      </c>
      <c r="Z19" s="9">
        <f t="shared" si="28"/>
        <v>2275709835.3993535</v>
      </c>
      <c r="AA19" s="9">
        <f t="shared" si="28"/>
        <v>2376586740.7001047</v>
      </c>
      <c r="AB19" s="9">
        <f t="shared" si="28"/>
        <v>2480765185.4374623</v>
      </c>
      <c r="AC19" s="9">
        <f t="shared" si="28"/>
        <v>2588353170.1843424</v>
      </c>
      <c r="AD19" s="9">
        <f t="shared" si="28"/>
        <v>2699462226.7739429</v>
      </c>
      <c r="AE19" s="9">
        <f t="shared" si="28"/>
        <v>2814207533.7078171</v>
      </c>
      <c r="AF19" s="9">
        <f t="shared" si="28"/>
        <v>2932708035.3340502</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643887591.62475061</v>
      </c>
      <c r="D20" s="9">
        <f>D19-D8-D9</f>
        <v>690249983.03149319</v>
      </c>
      <c r="E20" s="9">
        <f t="shared" ref="E20:AF20" si="29">E19-E8-E9</f>
        <v>738095970.96325159</v>
      </c>
      <c r="F20" s="9">
        <f t="shared" si="29"/>
        <v>787473030.50882626</v>
      </c>
      <c r="G20" s="9">
        <f t="shared" si="29"/>
        <v>838430155.95985925</v>
      </c>
      <c r="H20" s="9">
        <f t="shared" si="29"/>
        <v>891017909.42532527</v>
      </c>
      <c r="I20" s="9">
        <f t="shared" si="29"/>
        <v>945288471.00168633</v>
      </c>
      <c r="J20" s="9">
        <f t="shared" si="29"/>
        <v>1001295690.5484908</v>
      </c>
      <c r="K20" s="9">
        <f t="shared" si="29"/>
        <v>1059095141.1207929</v>
      </c>
      <c r="L20" s="9">
        <f t="shared" si="29"/>
        <v>1118744174.1114089</v>
      </c>
      <c r="M20" s="9">
        <f t="shared" si="29"/>
        <v>1180301976.1577246</v>
      </c>
      <c r="N20" s="9">
        <f t="shared" si="29"/>
        <v>1243829627.8695223</v>
      </c>
      <c r="O20" s="9">
        <f t="shared" si="29"/>
        <v>1309390164.4360976</v>
      </c>
      <c r="P20" s="9">
        <f t="shared" si="29"/>
        <v>1377048638.1728034</v>
      </c>
      <c r="Q20" s="9">
        <f t="shared" si="29"/>
        <v>1446872183.0690837</v>
      </c>
      <c r="R20" s="9">
        <f t="shared" si="29"/>
        <v>1518930081.4020448</v>
      </c>
      <c r="S20" s="9">
        <f t="shared" si="29"/>
        <v>1593293832.4816608</v>
      </c>
      <c r="T20" s="9">
        <f t="shared" si="29"/>
        <v>1670037223.5958245</v>
      </c>
      <c r="U20" s="9">
        <f t="shared" si="29"/>
        <v>1749236403.2256415</v>
      </c>
      <c r="V20" s="9">
        <f t="shared" si="29"/>
        <v>1830969956.6036127</v>
      </c>
      <c r="W20" s="9">
        <f t="shared" si="29"/>
        <v>1915318983.6896787</v>
      </c>
      <c r="X20" s="9">
        <f t="shared" si="29"/>
        <v>2002367179.6424992</v>
      </c>
      <c r="Y20" s="9">
        <f t="shared" si="29"/>
        <v>2092200917.8658097</v>
      </c>
      <c r="Z20" s="9">
        <f t="shared" si="29"/>
        <v>2184909335.712266</v>
      </c>
      <c r="AA20" s="9">
        <f t="shared" si="29"/>
        <v>2280584422.9298091</v>
      </c>
      <c r="AB20" s="9">
        <f t="shared" si="29"/>
        <v>2379321112.9383135</v>
      </c>
      <c r="AC20" s="9">
        <f t="shared" si="29"/>
        <v>2481217377.0270901</v>
      </c>
      <c r="AD20" s="9">
        <f t="shared" si="29"/>
        <v>2586374321.5667076</v>
      </c>
      <c r="AE20" s="9">
        <f t="shared" si="29"/>
        <v>2694896288.331593</v>
      </c>
      <c r="AF20" s="9">
        <f t="shared" si="29"/>
        <v>2806890958.0329542</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38556000</v>
      </c>
      <c r="D22" s="9">
        <f ca="1">'Balance Sheet'!C11</f>
        <v>87180881.705076545</v>
      </c>
      <c r="E22" s="9">
        <f ca="1">'Balance Sheet'!D11</f>
        <v>131421875.89802781</v>
      </c>
      <c r="F22" s="9">
        <f ca="1">'Balance Sheet'!E11</f>
        <v>169481974.26577249</v>
      </c>
      <c r="G22" s="9">
        <f ca="1">'Balance Sheet'!F11</f>
        <v>197367869.50177372</v>
      </c>
      <c r="H22" s="9">
        <f ca="1">'Balance Sheet'!G11</f>
        <v>220649032.0588128</v>
      </c>
      <c r="I22" s="9">
        <f ca="1">'Balance Sheet'!H11</f>
        <v>240160983.89463219</v>
      </c>
      <c r="J22" s="9">
        <f ca="1">'Balance Sheet'!I11</f>
        <v>257532516.48501104</v>
      </c>
      <c r="K22" s="9">
        <f ca="1">'Balance Sheet'!J11</f>
        <v>273118864.4867208</v>
      </c>
      <c r="L22" s="9">
        <f ca="1">'Balance Sheet'!K11</f>
        <v>287492137.86307341</v>
      </c>
      <c r="M22" s="9">
        <f ca="1">'Balance Sheet'!L11</f>
        <v>302062794.43973839</v>
      </c>
      <c r="N22" s="9">
        <f ca="1">'Balance Sheet'!M11</f>
        <v>317326218.46378398</v>
      </c>
      <c r="O22" s="9">
        <f ca="1">'Balance Sheet'!N11</f>
        <v>333211705.53431273</v>
      </c>
      <c r="P22" s="9">
        <f ca="1">'Balance Sheet'!O11</f>
        <v>349635287.81261665</v>
      </c>
      <c r="Q22" s="9">
        <f ca="1">'Balance Sheet'!P11</f>
        <v>366498444.74948895</v>
      </c>
      <c r="R22" s="9">
        <f ca="1">'Balance Sheet'!Q11</f>
        <v>383686714.36743128</v>
      </c>
      <c r="S22" s="9">
        <f ca="1">'Balance Sheet'!R11</f>
        <v>401068198.29227251</v>
      </c>
      <c r="T22" s="9">
        <f ca="1">'Balance Sheet'!S11</f>
        <v>418491953.29493642</v>
      </c>
      <c r="U22" s="9">
        <f ca="1">'Balance Sheet'!T11</f>
        <v>435786261.64389181</v>
      </c>
      <c r="V22" s="9">
        <f ca="1">'Balance Sheet'!U11</f>
        <v>452756772.08062774</v>
      </c>
      <c r="W22" s="9">
        <f ca="1">'Balance Sheet'!V11</f>
        <v>469184502.71266592</v>
      </c>
      <c r="X22" s="9">
        <f ca="1">'Balance Sheet'!W11</f>
        <v>487025894.99337119</v>
      </c>
      <c r="Y22" s="9">
        <f ca="1">'Balance Sheet'!X11</f>
        <v>506307642.11604393</v>
      </c>
      <c r="Z22" s="9">
        <f ca="1">'Balance Sheet'!Y11</f>
        <v>527052615.52414984</v>
      </c>
      <c r="AA22" s="9">
        <f ca="1">'Balance Sheet'!Z11</f>
        <v>549279356.4192307</v>
      </c>
      <c r="AB22" s="9">
        <f ca="1">'Balance Sheet'!AA11</f>
        <v>573001526.36356616</v>
      </c>
      <c r="AC22" s="9">
        <f ca="1">'Balance Sheet'!AB11</f>
        <v>603174226.09494281</v>
      </c>
      <c r="AD22" s="9">
        <f ca="1">'Balance Sheet'!AC11</f>
        <v>640337648.27717626</v>
      </c>
      <c r="AE22" s="9">
        <f ca="1">'Balance Sheet'!AD11</f>
        <v>685064612.73761666</v>
      </c>
      <c r="AF22" s="9">
        <f ca="1">'Balance Sheet'!AE11</f>
        <v>737962256.40723825</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605331591.62475061</v>
      </c>
      <c r="D23" s="9">
        <f t="shared" ref="D23:AF23" ca="1" si="30">D20-D22</f>
        <v>603069101.32641661</v>
      </c>
      <c r="E23" s="9">
        <f t="shared" ca="1" si="30"/>
        <v>606674095.06522381</v>
      </c>
      <c r="F23" s="9">
        <f t="shared" ca="1" si="30"/>
        <v>617991056.24305379</v>
      </c>
      <c r="G23" s="9">
        <f t="shared" ca="1" si="30"/>
        <v>641062286.45808554</v>
      </c>
      <c r="H23" s="9">
        <f t="shared" ca="1" si="30"/>
        <v>670368877.36651254</v>
      </c>
      <c r="I23" s="9">
        <f t="shared" ca="1" si="30"/>
        <v>705127487.10705411</v>
      </c>
      <c r="J23" s="9">
        <f ca="1">J20-J22</f>
        <v>743763174.06347966</v>
      </c>
      <c r="K23" s="9">
        <f t="shared" ca="1" si="30"/>
        <v>785976276.63407207</v>
      </c>
      <c r="L23" s="9">
        <f t="shared" ca="1" si="30"/>
        <v>831252036.2483356</v>
      </c>
      <c r="M23" s="9">
        <f t="shared" ca="1" si="30"/>
        <v>878239181.71798623</v>
      </c>
      <c r="N23" s="9">
        <f t="shared" ca="1" si="30"/>
        <v>926503409.40573835</v>
      </c>
      <c r="O23" s="9">
        <f t="shared" ca="1" si="30"/>
        <v>976178458.9017849</v>
      </c>
      <c r="P23" s="9">
        <f t="shared" ca="1" si="30"/>
        <v>1027413350.3601868</v>
      </c>
      <c r="Q23" s="9">
        <f t="shared" ca="1" si="30"/>
        <v>1080373738.3195949</v>
      </c>
      <c r="R23" s="9">
        <f t="shared" ca="1" si="30"/>
        <v>1135243367.0346136</v>
      </c>
      <c r="S23" s="9">
        <f t="shared" ca="1" si="30"/>
        <v>1192225634.1893883</v>
      </c>
      <c r="T23" s="9">
        <f t="shared" ca="1" si="30"/>
        <v>1251545270.3008881</v>
      </c>
      <c r="U23" s="9">
        <f t="shared" ca="1" si="30"/>
        <v>1313450141.5817497</v>
      </c>
      <c r="V23" s="9">
        <f t="shared" ca="1" si="30"/>
        <v>1378213184.522985</v>
      </c>
      <c r="W23" s="9">
        <f t="shared" ca="1" si="30"/>
        <v>1446134480.9770126</v>
      </c>
      <c r="X23" s="9">
        <f t="shared" ca="1" si="30"/>
        <v>1515341284.649128</v>
      </c>
      <c r="Y23" s="9">
        <f t="shared" ca="1" si="30"/>
        <v>1585893275.7497659</v>
      </c>
      <c r="Z23" s="9">
        <f t="shared" ca="1" si="30"/>
        <v>1657856720.1881161</v>
      </c>
      <c r="AA23" s="9">
        <f t="shared" ca="1" si="30"/>
        <v>1731305066.5105784</v>
      </c>
      <c r="AB23" s="9">
        <f t="shared" ca="1" si="30"/>
        <v>1806319586.5747473</v>
      </c>
      <c r="AC23" s="9">
        <f t="shared" ca="1" si="30"/>
        <v>1878043150.9321473</v>
      </c>
      <c r="AD23" s="9">
        <f t="shared" ca="1" si="30"/>
        <v>1946036673.2895312</v>
      </c>
      <c r="AE23" s="9">
        <f t="shared" ca="1" si="30"/>
        <v>2009831675.5939765</v>
      </c>
      <c r="AF23" s="9">
        <f t="shared" ca="1" si="30"/>
        <v>2068928701.625716</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145" zoomScaleNormal="145"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166</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38556000</v>
      </c>
      <c r="D5" s="1">
        <f ca="1">C5+C6</f>
        <v>87180881.705076545</v>
      </c>
      <c r="E5" s="1">
        <f t="shared" ref="E5:AF5" ca="1" si="1">D5+D6</f>
        <v>131421875.89802781</v>
      </c>
      <c r="F5" s="1">
        <f t="shared" ca="1" si="1"/>
        <v>169481974.26577249</v>
      </c>
      <c r="G5" s="1">
        <f t="shared" ca="1" si="1"/>
        <v>197367869.50177372</v>
      </c>
      <c r="H5" s="1">
        <f t="shared" ca="1" si="1"/>
        <v>220649032.0588128</v>
      </c>
      <c r="I5" s="1">
        <f t="shared" ca="1" si="1"/>
        <v>240160983.89463219</v>
      </c>
      <c r="J5" s="1">
        <f t="shared" ca="1" si="1"/>
        <v>257532516.48501104</v>
      </c>
      <c r="K5" s="1">
        <f t="shared" ca="1" si="1"/>
        <v>273118864.4867208</v>
      </c>
      <c r="L5" s="1">
        <f t="shared" ca="1" si="1"/>
        <v>287492137.86307341</v>
      </c>
      <c r="M5" s="1">
        <f t="shared" ca="1" si="1"/>
        <v>302062794.43973839</v>
      </c>
      <c r="N5" s="1">
        <f t="shared" ca="1" si="1"/>
        <v>317326218.46378398</v>
      </c>
      <c r="O5" s="1">
        <f t="shared" ca="1" si="1"/>
        <v>333211705.53431273</v>
      </c>
      <c r="P5" s="1">
        <f t="shared" ca="1" si="1"/>
        <v>349635287.81261665</v>
      </c>
      <c r="Q5" s="1">
        <f t="shared" ca="1" si="1"/>
        <v>366498444.74948895</v>
      </c>
      <c r="R5" s="1">
        <f t="shared" ca="1" si="1"/>
        <v>383686714.36743128</v>
      </c>
      <c r="S5" s="1">
        <f t="shared" ca="1" si="1"/>
        <v>401068198.29227251</v>
      </c>
      <c r="T5" s="1">
        <f t="shared" ca="1" si="1"/>
        <v>418491953.29493642</v>
      </c>
      <c r="U5" s="1">
        <f t="shared" ca="1" si="1"/>
        <v>435786261.64389181</v>
      </c>
      <c r="V5" s="1">
        <f t="shared" ca="1" si="1"/>
        <v>452756772.08062774</v>
      </c>
      <c r="W5" s="1">
        <f t="shared" ca="1" si="1"/>
        <v>469184502.71266592</v>
      </c>
      <c r="X5" s="1">
        <f t="shared" ca="1" si="1"/>
        <v>487025894.99337119</v>
      </c>
      <c r="Y5" s="1">
        <f t="shared" ca="1" si="1"/>
        <v>506307642.11604393</v>
      </c>
      <c r="Z5" s="1">
        <f t="shared" ca="1" si="1"/>
        <v>527052615.52414984</v>
      </c>
      <c r="AA5" s="1">
        <f t="shared" ca="1" si="1"/>
        <v>549279356.4192307</v>
      </c>
      <c r="AB5" s="1">
        <f t="shared" ca="1" si="1"/>
        <v>573001526.36356616</v>
      </c>
      <c r="AC5" s="1">
        <f t="shared" ca="1" si="1"/>
        <v>603174226.09494281</v>
      </c>
      <c r="AD5" s="1">
        <f t="shared" ca="1" si="1"/>
        <v>640337648.27717626</v>
      </c>
      <c r="AE5" s="1">
        <f t="shared" ca="1" si="1"/>
        <v>685064612.73761666</v>
      </c>
      <c r="AF5" s="1">
        <f t="shared" ca="1" si="1"/>
        <v>737962256.40723825</v>
      </c>
      <c r="AG5" s="1"/>
      <c r="AH5" s="1"/>
      <c r="AI5" s="1"/>
      <c r="AJ5" s="1"/>
      <c r="AK5" s="1"/>
      <c r="AL5" s="1"/>
      <c r="AM5" s="1"/>
      <c r="AN5" s="1"/>
      <c r="AO5" s="1"/>
      <c r="AP5" s="1"/>
    </row>
    <row r="6" spans="1:42" x14ac:dyDescent="0.35">
      <c r="A6" s="63" t="s">
        <v>3</v>
      </c>
      <c r="C6" s="1">
        <f ca="1">-'Cash Flow'!C13</f>
        <v>48624881.705076538</v>
      </c>
      <c r="D6" s="1">
        <f ca="1">-'Cash Flow'!D13</f>
        <v>44240994.192951262</v>
      </c>
      <c r="E6" s="1">
        <f ca="1">-'Cash Flow'!E13</f>
        <v>38060098.367744677</v>
      </c>
      <c r="F6" s="1">
        <f ca="1">-'Cash Flow'!F13</f>
        <v>27885895.236001216</v>
      </c>
      <c r="G6" s="1">
        <f ca="1">-'Cash Flow'!G13</f>
        <v>23281162.557039097</v>
      </c>
      <c r="H6" s="1">
        <f ca="1">-'Cash Flow'!H13</f>
        <v>19511951.835819393</v>
      </c>
      <c r="I6" s="1">
        <f ca="1">-'Cash Flow'!I13</f>
        <v>17371532.590378866</v>
      </c>
      <c r="J6" s="1">
        <f ca="1">-'Cash Flow'!J13</f>
        <v>15586348.001709759</v>
      </c>
      <c r="K6" s="1">
        <f ca="1">-'Cash Flow'!K13</f>
        <v>14373273.376352608</v>
      </c>
      <c r="L6" s="1">
        <f ca="1">-'Cash Flow'!L13</f>
        <v>14570656.576664954</v>
      </c>
      <c r="M6" s="1">
        <f ca="1">-'Cash Flow'!M13</f>
        <v>15263424.024045616</v>
      </c>
      <c r="N6" s="1">
        <f ca="1">-'Cash Flow'!N13</f>
        <v>15885487.070528716</v>
      </c>
      <c r="O6" s="1">
        <f ca="1">-'Cash Flow'!O13</f>
        <v>16423582.278303906</v>
      </c>
      <c r="P6" s="1">
        <f ca="1">-'Cash Flow'!P13</f>
        <v>16863156.936872303</v>
      </c>
      <c r="Q6" s="1">
        <f ca="1">-'Cash Flow'!Q13</f>
        <v>17188269.617942318</v>
      </c>
      <c r="R6" s="1">
        <f ca="1">-'Cash Flow'!R13</f>
        <v>17381483.92484121</v>
      </c>
      <c r="S6" s="1">
        <f ca="1">-'Cash Flow'!S13</f>
        <v>17423755.00266391</v>
      </c>
      <c r="T6" s="1">
        <f ca="1">-'Cash Flow'!T13</f>
        <v>17294308.348955363</v>
      </c>
      <c r="U6" s="1">
        <f ca="1">-'Cash Flow'!U13</f>
        <v>16970510.436735928</v>
      </c>
      <c r="V6" s="1">
        <f ca="1">-'Cash Flow'!V13</f>
        <v>16427730.632038206</v>
      </c>
      <c r="W6" s="1">
        <f ca="1">-'Cash Flow'!W13</f>
        <v>17841392.280705273</v>
      </c>
      <c r="X6" s="1">
        <f ca="1">-'Cash Flow'!X13</f>
        <v>19281747.122672737</v>
      </c>
      <c r="Y6" s="1">
        <f ca="1">-'Cash Flow'!Y13</f>
        <v>20744973.40810591</v>
      </c>
      <c r="Z6" s="1">
        <f ca="1">-'Cash Flow'!Z13</f>
        <v>22226740.895080864</v>
      </c>
      <c r="AA6" s="1">
        <f ca="1">-'Cash Flow'!AA13</f>
        <v>23722169.94433552</v>
      </c>
      <c r="AB6" s="1">
        <f ca="1">-'Cash Flow'!AB13</f>
        <v>30172699.731376708</v>
      </c>
      <c r="AC6" s="1">
        <f ca="1">-'Cash Flow'!AC13</f>
        <v>37163422.182233453</v>
      </c>
      <c r="AD6" s="1">
        <f ca="1">-'Cash Flow'!AD13</f>
        <v>44726964.460440367</v>
      </c>
      <c r="AE6" s="1">
        <f ca="1">-'Cash Flow'!AE13</f>
        <v>52897643.669621587</v>
      </c>
      <c r="AF6" s="1">
        <f ca="1">-'Cash Flow'!AF13</f>
        <v>61711547.003255516</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3051330.8596776794</v>
      </c>
      <c r="D8" s="1">
        <f ca="1">IF(SUM(D5:D6)&gt;0,Assumptions!$C$26*SUM(D5:D6),Assumptions!$C$27*(SUM(D5:D6)))</f>
        <v>4599765.6564309737</v>
      </c>
      <c r="E8" s="1">
        <f ca="1">IF(SUM(E5:E6)&gt;0,Assumptions!$C$26*SUM(E5:E6),Assumptions!$C$27*(SUM(E5:E6)))</f>
        <v>5931869.0993020376</v>
      </c>
      <c r="F8" s="1">
        <f ca="1">IF(SUM(F5:F6)&gt;0,Assumptions!$C$26*SUM(F5:F6),Assumptions!$C$27*(SUM(F5:F6)))</f>
        <v>6907875.4325620811</v>
      </c>
      <c r="G8" s="1">
        <f ca="1">IF(SUM(G5:G6)&gt;0,Assumptions!$C$26*SUM(G5:G6),Assumptions!$C$27*(SUM(G5:G6)))</f>
        <v>7722716.1220584484</v>
      </c>
      <c r="H8" s="1">
        <f ca="1">IF(SUM(H5:H6)&gt;0,Assumptions!$C$26*SUM(H5:H6),Assumptions!$C$27*(SUM(H5:H6)))</f>
        <v>8405634.4363121279</v>
      </c>
      <c r="I8" s="1">
        <f ca="1">IF(SUM(I5:I6)&gt;0,Assumptions!$C$26*SUM(I5:I6),Assumptions!$C$27*(SUM(I5:I6)))</f>
        <v>9013638.0769753866</v>
      </c>
      <c r="J8" s="1">
        <f ca="1">IF(SUM(J5:J6)&gt;0,Assumptions!$C$26*SUM(J5:J6),Assumptions!$C$27*(SUM(J5:J6)))</f>
        <v>9559160.2570352294</v>
      </c>
      <c r="K8" s="1">
        <f ca="1">IF(SUM(K5:K6)&gt;0,Assumptions!$C$26*SUM(K5:K6),Assumptions!$C$27*(SUM(K5:K6)))</f>
        <v>10062224.825207571</v>
      </c>
      <c r="L8" s="1">
        <f ca="1">IF(SUM(L5:L6)&gt;0,Assumptions!$C$26*SUM(L5:L6),Assumptions!$C$27*(SUM(L5:L6)))</f>
        <v>10572197.805390844</v>
      </c>
      <c r="M8" s="1">
        <f ca="1">IF(SUM(M5:M6)&gt;0,Assumptions!$C$26*SUM(M5:M6),Assumptions!$C$27*(SUM(M5:M6)))</f>
        <v>11106417.646232441</v>
      </c>
      <c r="N8" s="1">
        <f ca="1">IF(SUM(N5:N6)&gt;0,Assumptions!$C$26*SUM(N5:N6),Assumptions!$C$27*(SUM(N5:N6)))</f>
        <v>11662409.693700947</v>
      </c>
      <c r="O8" s="1">
        <f ca="1">IF(SUM(O5:O6)&gt;0,Assumptions!$C$26*SUM(O5:O6),Assumptions!$C$27*(SUM(O5:O6)))</f>
        <v>12237235.073441584</v>
      </c>
      <c r="P8" s="1">
        <f ca="1">IF(SUM(P5:P6)&gt;0,Assumptions!$C$26*SUM(P5:P6),Assumptions!$C$27*(SUM(P5:P6)))</f>
        <v>12827445.566232115</v>
      </c>
      <c r="Q8" s="1">
        <f ca="1">IF(SUM(Q5:Q6)&gt;0,Assumptions!$C$26*SUM(Q5:Q6),Assumptions!$C$27*(SUM(Q5:Q6)))</f>
        <v>13429035.002860095</v>
      </c>
      <c r="R8" s="1">
        <f ca="1">IF(SUM(R5:R6)&gt;0,Assumptions!$C$26*SUM(R5:R6),Assumptions!$C$27*(SUM(R5:R6)))</f>
        <v>14037386.940229539</v>
      </c>
      <c r="S8" s="1">
        <f ca="1">IF(SUM(S5:S6)&gt;0,Assumptions!$C$26*SUM(S5:S6),Assumptions!$C$27*(SUM(S5:S6)))</f>
        <v>14647218.365322776</v>
      </c>
      <c r="T8" s="1">
        <f ca="1">IF(SUM(T5:T6)&gt;0,Assumptions!$C$26*SUM(T5:T6),Assumptions!$C$27*(SUM(T5:T6)))</f>
        <v>15252519.157536214</v>
      </c>
      <c r="U8" s="1">
        <f ca="1">IF(SUM(U5:U6)&gt;0,Assumptions!$C$26*SUM(U5:U6),Assumptions!$C$27*(SUM(U5:U6)))</f>
        <v>15846487.022821972</v>
      </c>
      <c r="V8" s="1">
        <f ca="1">IF(SUM(V5:V6)&gt;0,Assumptions!$C$26*SUM(V5:V6),Assumptions!$C$27*(SUM(V5:V6)))</f>
        <v>16421457.594943309</v>
      </c>
      <c r="W8" s="1">
        <f ca="1">IF(SUM(W5:W6)&gt;0,Assumptions!$C$26*SUM(W5:W6),Assumptions!$C$27*(SUM(W5:W6)))</f>
        <v>17045906.324767992</v>
      </c>
      <c r="X8" s="1">
        <f ca="1">IF(SUM(X5:X6)&gt;0,Assumptions!$C$26*SUM(X5:X6),Assumptions!$C$27*(SUM(X5:X6)))</f>
        <v>17720767.474061538</v>
      </c>
      <c r="Y8" s="1">
        <f ca="1">IF(SUM(Y5:Y6)&gt;0,Assumptions!$C$26*SUM(Y5:Y6),Assumptions!$C$27*(SUM(Y5:Y6)))</f>
        <v>18446841.543345246</v>
      </c>
      <c r="Z8" s="1">
        <f ca="1">IF(SUM(Z5:Z6)&gt;0,Assumptions!$C$26*SUM(Z5:Z6),Assumptions!$C$27*(SUM(Z5:Z6)))</f>
        <v>19224777.474673077</v>
      </c>
      <c r="AA8" s="1">
        <f ca="1">IF(SUM(AA5:AA6)&gt;0,Assumptions!$C$26*SUM(AA5:AA6),Assumptions!$C$27*(SUM(AA5:AA6)))</f>
        <v>20055053.422724817</v>
      </c>
      <c r="AB8" s="1">
        <f ca="1">IF(SUM(AB5:AB6)&gt;0,Assumptions!$C$26*SUM(AB5:AB6),Assumptions!$C$27*(SUM(AB5:AB6)))</f>
        <v>21111097.913323</v>
      </c>
      <c r="AC8" s="1">
        <f ca="1">IF(SUM(AC5:AC6)&gt;0,Assumptions!$C$26*SUM(AC5:AC6),Assumptions!$C$27*(SUM(AC5:AC6)))</f>
        <v>22411817.68970117</v>
      </c>
      <c r="AD8" s="1">
        <f ca="1">IF(SUM(AD5:AD6)&gt;0,Assumptions!$C$26*SUM(AD5:AD6),Assumptions!$C$27*(SUM(AD5:AD6)))</f>
        <v>23977261.445816584</v>
      </c>
      <c r="AE8" s="1">
        <f ca="1">IF(SUM(AE5:AE6)&gt;0,Assumptions!$C$26*SUM(AE5:AE6),Assumptions!$C$27*(SUM(AE5:AE6)))</f>
        <v>25828678.974253342</v>
      </c>
      <c r="AF8" s="1">
        <f ca="1">IF(SUM(AF5:AF6)&gt;0,Assumptions!$C$26*SUM(AF5:AF6),Assumptions!$C$27*(SUM(AF5:AF6)))</f>
        <v>27988583.119367283</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70" zoomScaleNormal="70" workbookViewId="0">
      <selection sqref="A1:XFD1048576"/>
    </sheetView>
  </sheetViews>
  <sheetFormatPr defaultRowHeight="15.5" x14ac:dyDescent="0.35"/>
  <cols>
    <col min="1" max="1" width="107.9140625" style="63" customWidth="1"/>
    <col min="2" max="2" width="18.1640625" style="182" bestFit="1" customWidth="1"/>
    <col min="3" max="3" width="62.25" style="63" customWidth="1"/>
    <col min="4" max="16384" width="8.6640625" style="63"/>
  </cols>
  <sheetData>
    <row r="1" spans="1:3" ht="26" x14ac:dyDescent="0.6">
      <c r="A1" s="13" t="s">
        <v>185</v>
      </c>
    </row>
    <row r="2" spans="1:3" ht="26" x14ac:dyDescent="0.6">
      <c r="A2" s="13"/>
    </row>
    <row r="3" spans="1:3" ht="186" x14ac:dyDescent="0.35">
      <c r="A3" s="173" t="s">
        <v>188</v>
      </c>
    </row>
    <row r="4" spans="1:3" ht="26" x14ac:dyDescent="0.6">
      <c r="A4" s="13"/>
    </row>
    <row r="5" spans="1:3" ht="18.5" x14ac:dyDescent="0.45">
      <c r="A5" s="89" t="s">
        <v>177</v>
      </c>
      <c r="B5" s="183"/>
    </row>
    <row r="6" spans="1:3" ht="18.5" x14ac:dyDescent="0.45">
      <c r="A6" s="90"/>
      <c r="B6" s="183"/>
    </row>
    <row r="7" spans="1:3" ht="18.5" x14ac:dyDescent="0.45">
      <c r="A7" s="90" t="s">
        <v>96</v>
      </c>
      <c r="B7" s="184">
        <f>Assumptions!C24</f>
        <v>20708000</v>
      </c>
      <c r="C7" s="180" t="str">
        <f>[57]Assumptions!B24</f>
        <v>RFI Table F10; Lines F10.62 + F10.70</v>
      </c>
    </row>
    <row r="8" spans="1:3" ht="34" x14ac:dyDescent="0.45">
      <c r="A8" s="90" t="s">
        <v>174</v>
      </c>
      <c r="B8" s="185">
        <f>Assumptions!$C$133</f>
        <v>0.7</v>
      </c>
      <c r="C8" s="180" t="s">
        <v>198</v>
      </c>
    </row>
    <row r="9" spans="1:3" ht="18.5" x14ac:dyDescent="0.45">
      <c r="A9" s="90"/>
      <c r="B9" s="186"/>
      <c r="C9" s="180"/>
    </row>
    <row r="10" spans="1:3" ht="51" x14ac:dyDescent="0.45">
      <c r="A10" s="94" t="s">
        <v>102</v>
      </c>
      <c r="B10" s="187">
        <f>Assumptions!C135</f>
        <v>17439.111111111109</v>
      </c>
      <c r="C10" s="180" t="s">
        <v>199</v>
      </c>
    </row>
    <row r="11" spans="1:3" ht="18.5" x14ac:dyDescent="0.45">
      <c r="A11" s="94"/>
      <c r="B11" s="188"/>
      <c r="C11" s="180"/>
    </row>
    <row r="12" spans="1:3" ht="18.5" x14ac:dyDescent="0.45">
      <c r="A12" s="94" t="s">
        <v>184</v>
      </c>
      <c r="B12" s="184">
        <f>(B7*B8)/B10</f>
        <v>831.21209032060767</v>
      </c>
      <c r="C12" s="180"/>
    </row>
    <row r="13" spans="1:3" ht="18.5" x14ac:dyDescent="0.45">
      <c r="A13" s="96"/>
      <c r="B13" s="189"/>
      <c r="C13" s="180"/>
    </row>
    <row r="14" spans="1:3" ht="18.5" x14ac:dyDescent="0.45">
      <c r="A14" s="94" t="s">
        <v>103</v>
      </c>
      <c r="B14" s="103">
        <v>1</v>
      </c>
      <c r="C14" s="180"/>
    </row>
    <row r="15" spans="1:3" ht="18.5" x14ac:dyDescent="0.45">
      <c r="A15" s="96"/>
      <c r="B15" s="99"/>
      <c r="C15" s="180"/>
    </row>
    <row r="16" spans="1:3" ht="18.5" x14ac:dyDescent="0.45">
      <c r="A16" s="96" t="s">
        <v>179</v>
      </c>
      <c r="B16" s="190">
        <f>B12/B14</f>
        <v>831.21209032060767</v>
      </c>
      <c r="C16" s="180"/>
    </row>
    <row r="17" spans="1:3" ht="18.5" x14ac:dyDescent="0.45">
      <c r="A17" s="94"/>
      <c r="B17" s="191"/>
      <c r="C17" s="180"/>
    </row>
    <row r="18" spans="1:3" ht="18.5" x14ac:dyDescent="0.45">
      <c r="A18" s="102" t="s">
        <v>178</v>
      </c>
      <c r="B18" s="191"/>
      <c r="C18" s="180"/>
    </row>
    <row r="19" spans="1:3" ht="18.5" x14ac:dyDescent="0.45">
      <c r="A19" s="94"/>
      <c r="B19" s="191"/>
      <c r="C19" s="180"/>
    </row>
    <row r="20" spans="1:3" ht="34" x14ac:dyDescent="0.45">
      <c r="A20" s="94" t="s">
        <v>65</v>
      </c>
      <c r="B20" s="184">
        <f>'Profit and Loss'!L5</f>
        <v>123368994.68903506</v>
      </c>
      <c r="C20" s="180" t="s">
        <v>200</v>
      </c>
    </row>
    <row r="21" spans="1:3" ht="34" x14ac:dyDescent="0.45">
      <c r="A21" s="94" t="str">
        <f>A8</f>
        <v>Assumed revenue from households</v>
      </c>
      <c r="B21" s="185">
        <f>B8</f>
        <v>0.7</v>
      </c>
      <c r="C21" s="180" t="s">
        <v>198</v>
      </c>
    </row>
    <row r="22" spans="1:3" ht="18.5" x14ac:dyDescent="0.45">
      <c r="A22" s="94"/>
      <c r="B22" s="188"/>
      <c r="C22" s="180"/>
    </row>
    <row r="23" spans="1:3" ht="34" x14ac:dyDescent="0.45">
      <c r="A23" s="94" t="s">
        <v>101</v>
      </c>
      <c r="B23" s="187">
        <f>Assumptions!M135</f>
        <v>18348.534595694364</v>
      </c>
      <c r="C23" s="180" t="s">
        <v>201</v>
      </c>
    </row>
    <row r="24" spans="1:3" ht="18.5" x14ac:dyDescent="0.45">
      <c r="A24" s="94"/>
      <c r="B24" s="188"/>
      <c r="C24" s="180"/>
    </row>
    <row r="25" spans="1:3" ht="18.5" x14ac:dyDescent="0.45">
      <c r="A25" s="94" t="s">
        <v>183</v>
      </c>
      <c r="B25" s="184">
        <f>(B20*B21)/B23</f>
        <v>4706.550042562485</v>
      </c>
      <c r="C25" s="180"/>
    </row>
    <row r="26" spans="1:3" ht="18.5" x14ac:dyDescent="0.45">
      <c r="A26" s="94"/>
      <c r="B26" s="184"/>
      <c r="C26" s="180"/>
    </row>
    <row r="27" spans="1:3" ht="34" x14ac:dyDescent="0.45">
      <c r="A27" s="94" t="s">
        <v>103</v>
      </c>
      <c r="B27" s="103">
        <f>1.022^11</f>
        <v>1.2704566586717592</v>
      </c>
      <c r="C27" s="180" t="s">
        <v>202</v>
      </c>
    </row>
    <row r="28" spans="1:3" ht="18.5" x14ac:dyDescent="0.45">
      <c r="A28" s="96"/>
      <c r="B28" s="189"/>
      <c r="C28" s="180"/>
    </row>
    <row r="29" spans="1:3" ht="18.5" x14ac:dyDescent="0.45">
      <c r="A29" s="96" t="s">
        <v>180</v>
      </c>
      <c r="B29" s="184">
        <f>B25/B27</f>
        <v>3704.6128338475578</v>
      </c>
      <c r="C29" s="180"/>
    </row>
    <row r="30" spans="1:3" ht="18.5" x14ac:dyDescent="0.45">
      <c r="A30" s="96"/>
      <c r="B30" s="189"/>
      <c r="C30" s="180"/>
    </row>
    <row r="31" spans="1:3" ht="18.5" x14ac:dyDescent="0.45">
      <c r="A31" s="102" t="s">
        <v>186</v>
      </c>
      <c r="B31" s="192"/>
      <c r="C31" s="180"/>
    </row>
    <row r="32" spans="1:3" ht="18.5" x14ac:dyDescent="0.45">
      <c r="A32" s="94"/>
      <c r="B32" s="184"/>
      <c r="C32" s="180"/>
    </row>
    <row r="33" spans="1:3" ht="34" x14ac:dyDescent="0.45">
      <c r="A33" s="94" t="s">
        <v>66</v>
      </c>
      <c r="B33" s="184">
        <f>'Profit and Loss'!AF5</f>
        <v>301768756.05381495</v>
      </c>
      <c r="C33" s="180" t="s">
        <v>200</v>
      </c>
    </row>
    <row r="34" spans="1:3" ht="34" x14ac:dyDescent="0.45">
      <c r="A34" s="94" t="str">
        <f>A21</f>
        <v>Assumed revenue from households</v>
      </c>
      <c r="B34" s="185">
        <f>B21</f>
        <v>0.7</v>
      </c>
      <c r="C34" s="180" t="s">
        <v>198</v>
      </c>
    </row>
    <row r="35" spans="1:3" ht="18.5" x14ac:dyDescent="0.45">
      <c r="A35" s="94"/>
      <c r="B35" s="188"/>
      <c r="C35" s="180"/>
    </row>
    <row r="36" spans="1:3" ht="34" x14ac:dyDescent="0.45">
      <c r="A36" s="94" t="s">
        <v>100</v>
      </c>
      <c r="B36" s="187">
        <f>Assumptions!AG135</f>
        <v>20312.129922718308</v>
      </c>
      <c r="C36" s="180" t="s">
        <v>201</v>
      </c>
    </row>
    <row r="37" spans="1:3" ht="18.5" x14ac:dyDescent="0.45">
      <c r="A37" s="94"/>
      <c r="B37" s="188"/>
      <c r="C37" s="180"/>
    </row>
    <row r="38" spans="1:3" ht="18.5" x14ac:dyDescent="0.45">
      <c r="A38" s="94" t="s">
        <v>182</v>
      </c>
      <c r="B38" s="184">
        <f>(B33*B34)/B36</f>
        <v>10399.605065612002</v>
      </c>
      <c r="C38" s="180"/>
    </row>
    <row r="39" spans="1:3" ht="18.5" x14ac:dyDescent="0.45">
      <c r="A39" s="94"/>
      <c r="B39" s="188"/>
      <c r="C39" s="180"/>
    </row>
    <row r="40" spans="1:3" ht="34" x14ac:dyDescent="0.45">
      <c r="A40" s="94" t="s">
        <v>103</v>
      </c>
      <c r="B40" s="103">
        <f>1.022^31</f>
        <v>1.9632597808456462</v>
      </c>
      <c r="C40" s="180" t="s">
        <v>202</v>
      </c>
    </row>
    <row r="41" spans="1:3" ht="18.5" x14ac:dyDescent="0.45">
      <c r="A41" s="96"/>
      <c r="B41" s="189"/>
      <c r="C41" s="181"/>
    </row>
    <row r="42" spans="1:3" ht="18.5" x14ac:dyDescent="0.45">
      <c r="A42" s="96" t="s">
        <v>181</v>
      </c>
      <c r="B42" s="184">
        <f>B38/B40</f>
        <v>5297.1110431104134</v>
      </c>
      <c r="C42" s="18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55" zoomScaleNormal="55" workbookViewId="0">
      <pane ySplit="4" topLeftCell="A5" activePane="bottomLeft" state="frozen"/>
      <selection pane="bottomLeft" sqref="A1:XFD1048576"/>
    </sheetView>
  </sheetViews>
  <sheetFormatPr defaultColWidth="10.83203125" defaultRowHeight="15.5" x14ac:dyDescent="0.35"/>
  <cols>
    <col min="1" max="1" width="63.58203125" style="76"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161</v>
      </c>
    </row>
    <row r="2" spans="1:33" ht="26.5" thickBot="1" x14ac:dyDescent="0.4">
      <c r="A2" s="111"/>
      <c r="B2" s="111"/>
      <c r="D2" s="112"/>
    </row>
    <row r="3" spans="1:33" s="114" customFormat="1" ht="21.5" thickBot="1" x14ac:dyDescent="0.4">
      <c r="A3" s="84"/>
      <c r="B3" s="84"/>
      <c r="C3" s="113"/>
      <c r="D3" s="193" t="s">
        <v>27</v>
      </c>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row>
    <row r="4" spans="1:33" s="120" customFormat="1" ht="16" thickBot="1" x14ac:dyDescent="0.4">
      <c r="A4" s="115" t="s">
        <v>25</v>
      </c>
      <c r="B4" s="115" t="s">
        <v>196</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138</v>
      </c>
      <c r="C13" s="127">
        <v>5.0963689319001304E-3</v>
      </c>
      <c r="D13" s="128">
        <f t="shared" ref="D13:AG13" si="3">(1+$C$13)^D8</f>
        <v>1.0050963689319001</v>
      </c>
      <c r="E13" s="128">
        <f t="shared" si="3"/>
        <v>1.0102187108400904</v>
      </c>
      <c r="F13" s="128">
        <f t="shared" si="3"/>
        <v>1.0153671580924399</v>
      </c>
      <c r="G13" s="128">
        <f t="shared" si="3"/>
        <v>1.0205418437314142</v>
      </c>
      <c r="H13" s="128">
        <f t="shared" si="3"/>
        <v>1.025742901477511</v>
      </c>
      <c r="I13" s="128">
        <f t="shared" si="3"/>
        <v>1.0309704657327183</v>
      </c>
      <c r="J13" s="128">
        <f t="shared" si="3"/>
        <v>1.0362246715839849</v>
      </c>
      <c r="K13" s="128">
        <f t="shared" si="3"/>
        <v>1.0415056548067143</v>
      </c>
      <c r="L13" s="128">
        <f t="shared" si="3"/>
        <v>1.0468135518682695</v>
      </c>
      <c r="M13" s="128">
        <f t="shared" si="3"/>
        <v>1.0521484999315032</v>
      </c>
      <c r="N13" s="128">
        <f t="shared" si="3"/>
        <v>1.0575106368582992</v>
      </c>
      <c r="O13" s="128">
        <f t="shared" si="3"/>
        <v>1.062900101213138</v>
      </c>
      <c r="P13" s="128">
        <f t="shared" si="3"/>
        <v>1.0683170322666742</v>
      </c>
      <c r="Q13" s="128">
        <f t="shared" si="3"/>
        <v>1.0737615699993379</v>
      </c>
      <c r="R13" s="128">
        <f t="shared" si="3"/>
        <v>1.0792338551049507</v>
      </c>
      <c r="S13" s="128">
        <f t="shared" si="3"/>
        <v>1.0847340289943628</v>
      </c>
      <c r="T13" s="128">
        <f t="shared" si="3"/>
        <v>1.0902622337991046</v>
      </c>
      <c r="U13" s="128">
        <f t="shared" si="3"/>
        <v>1.0958186123750624</v>
      </c>
      <c r="V13" s="128">
        <f t="shared" si="3"/>
        <v>1.1014033083061685</v>
      </c>
      <c r="W13" s="128">
        <f t="shared" si="3"/>
        <v>1.1070164659081123</v>
      </c>
      <c r="X13" s="128">
        <f t="shared" si="3"/>
        <v>1.1126582302320682</v>
      </c>
      <c r="Y13" s="128">
        <f t="shared" si="3"/>
        <v>1.1183287470684462</v>
      </c>
      <c r="Z13" s="128">
        <f t="shared" si="3"/>
        <v>1.1240281629506563</v>
      </c>
      <c r="AA13" s="128">
        <f t="shared" si="3"/>
        <v>1.1297566251588993</v>
      </c>
      <c r="AB13" s="128">
        <f t="shared" si="3"/>
        <v>1.1355142817239674</v>
      </c>
      <c r="AC13" s="128">
        <f t="shared" si="3"/>
        <v>1.1413012814310746</v>
      </c>
      <c r="AD13" s="128">
        <f t="shared" si="3"/>
        <v>1.1471177738236973</v>
      </c>
      <c r="AE13" s="128">
        <f t="shared" si="3"/>
        <v>1.1529639092074433</v>
      </c>
      <c r="AF13" s="128">
        <f t="shared" si="3"/>
        <v>1.1588398386539303</v>
      </c>
      <c r="AG13" s="128">
        <f t="shared" si="3"/>
        <v>1.1647457140046944</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192</v>
      </c>
      <c r="B15" s="178" t="s">
        <v>193</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170</v>
      </c>
      <c r="C17" s="136">
        <f>AVERAGE(C49:C50)</f>
        <v>1197925587.5</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598962793.75</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137</v>
      </c>
      <c r="C20" s="137">
        <v>38556000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159</v>
      </c>
      <c r="B22" s="178" t="s">
        <v>193</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136</v>
      </c>
      <c r="C24" s="136">
        <v>20708000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195</v>
      </c>
      <c r="C25" s="136">
        <v>10019317.389999999</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160</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958340470.00000012</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1437510704.9999998</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171</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171</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2830500.6588883577</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6004717.7340624342</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4417609.1964753959</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7715154.7234001234</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15398611.695238562</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11556883.209319342</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17561600.943381775</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69" t="s">
        <v>141</v>
      </c>
      <c r="B77" s="70" t="s">
        <v>176</v>
      </c>
      <c r="C77" s="87">
        <v>14500000</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142</v>
      </c>
      <c r="B79" s="69" t="s">
        <v>155</v>
      </c>
      <c r="C79" s="87">
        <v>1992777855.9584754</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143</v>
      </c>
      <c r="B80" s="69" t="s">
        <v>155</v>
      </c>
      <c r="C80" s="87">
        <v>590128997.22469735</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144</v>
      </c>
      <c r="B82" s="69" t="s">
        <v>86</v>
      </c>
      <c r="C82" s="87">
        <f>C79+$C$77</f>
        <v>2007277855.9584754</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145</v>
      </c>
      <c r="B83" s="69" t="s">
        <v>86</v>
      </c>
      <c r="C83" s="87">
        <f>C80+$C$77</f>
        <v>604628997.22469735</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150</v>
      </c>
      <c r="B85" s="69" t="s">
        <v>197</v>
      </c>
      <c r="C85" s="150">
        <v>45889.599999999999</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151</v>
      </c>
      <c r="B86" s="69" t="s">
        <v>133</v>
      </c>
      <c r="C86" s="150">
        <v>48281.599999999999</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47085.599999999999</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146</v>
      </c>
      <c r="B89" s="69" t="s">
        <v>86</v>
      </c>
      <c r="C89" s="150">
        <f>C82/$C$87</f>
        <v>42630.39774280195</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146</v>
      </c>
      <c r="B90" s="69" t="s">
        <v>86</v>
      </c>
      <c r="C90" s="150">
        <f>C83/$C$87</f>
        <v>12841.059628096433</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147</v>
      </c>
      <c r="B92" s="69" t="s">
        <v>154</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148</v>
      </c>
      <c r="B94" s="69" t="s">
        <v>86</v>
      </c>
      <c r="C94" s="87">
        <f>IF(C89&lt;$C$92,C89*$C$87,$C$92*$C$87)</f>
        <v>2007277855.9584754</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149</v>
      </c>
      <c r="B95" s="69" t="s">
        <v>86</v>
      </c>
      <c r="C95" s="87">
        <f>IF(C90&lt;$C$92,C90*$C$87,$C$92*$C$87)</f>
        <v>604628997.22469735</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153</v>
      </c>
      <c r="B96" s="69" t="s">
        <v>86</v>
      </c>
      <c r="C96" s="87">
        <f>AVERAGE(C94:C95)</f>
        <v>1305953426.5915864</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1305953426.5915864</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43531780.886386208</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169</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169</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17561600.943381775</v>
      </c>
      <c r="E111" s="149">
        <f t="shared" si="9"/>
        <v>17561600.943381775</v>
      </c>
      <c r="F111" s="149">
        <f t="shared" si="9"/>
        <v>17561600.943381775</v>
      </c>
      <c r="G111" s="149">
        <f t="shared" si="9"/>
        <v>17561600.943381775</v>
      </c>
      <c r="H111" s="149">
        <f t="shared" si="9"/>
        <v>17561600.943381775</v>
      </c>
      <c r="I111" s="149">
        <f t="shared" si="9"/>
        <v>17561600.943381775</v>
      </c>
      <c r="J111" s="149">
        <f t="shared" si="9"/>
        <v>17561600.943381775</v>
      </c>
      <c r="K111" s="149">
        <f t="shared" si="9"/>
        <v>17561600.943381775</v>
      </c>
      <c r="L111" s="149">
        <f t="shared" si="9"/>
        <v>17561600.943381775</v>
      </c>
      <c r="M111" s="149">
        <f t="shared" si="9"/>
        <v>17561600.943381775</v>
      </c>
      <c r="N111" s="149">
        <f t="shared" si="9"/>
        <v>17561600.943381775</v>
      </c>
      <c r="O111" s="149">
        <f t="shared" si="9"/>
        <v>17561600.943381775</v>
      </c>
      <c r="P111" s="149">
        <f t="shared" si="9"/>
        <v>17561600.943381775</v>
      </c>
      <c r="Q111" s="149">
        <f t="shared" si="9"/>
        <v>17561600.943381775</v>
      </c>
      <c r="R111" s="149">
        <f t="shared" si="9"/>
        <v>17561600.943381775</v>
      </c>
      <c r="S111" s="149">
        <f t="shared" si="9"/>
        <v>17561600.943381775</v>
      </c>
      <c r="T111" s="149">
        <f t="shared" si="9"/>
        <v>17561600.943381775</v>
      </c>
      <c r="U111" s="149">
        <f t="shared" si="9"/>
        <v>17561600.943381775</v>
      </c>
      <c r="V111" s="149">
        <f t="shared" si="9"/>
        <v>17561600.943381775</v>
      </c>
      <c r="W111" s="149">
        <f t="shared" si="9"/>
        <v>17561600.943381775</v>
      </c>
      <c r="X111" s="149">
        <f t="shared" si="9"/>
        <v>17561600.943381775</v>
      </c>
      <c r="Y111" s="149">
        <f t="shared" si="9"/>
        <v>17561600.943381775</v>
      </c>
      <c r="Z111" s="149">
        <f t="shared" si="9"/>
        <v>17561600.943381775</v>
      </c>
      <c r="AA111" s="149">
        <f t="shared" si="9"/>
        <v>17561600.943381775</v>
      </c>
      <c r="AB111" s="149">
        <f t="shared" si="9"/>
        <v>17561600.943381775</v>
      </c>
      <c r="AC111" s="149">
        <f t="shared" si="9"/>
        <v>17561600.943381775</v>
      </c>
      <c r="AD111" s="149">
        <f t="shared" si="9"/>
        <v>17561600.943381775</v>
      </c>
      <c r="AE111" s="149">
        <f t="shared" si="9"/>
        <v>17561600.943381775</v>
      </c>
      <c r="AF111" s="149">
        <f t="shared" si="9"/>
        <v>17561600.943381775</v>
      </c>
      <c r="AG111" s="149">
        <f t="shared" si="9"/>
        <v>17561600.943381775</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1305953426.5915854</v>
      </c>
      <c r="D113" s="149">
        <f t="shared" ref="D113:AG113" si="10">$C$102</f>
        <v>43531780.886386208</v>
      </c>
      <c r="E113" s="149">
        <f t="shared" si="10"/>
        <v>43531780.886386208</v>
      </c>
      <c r="F113" s="149">
        <f t="shared" si="10"/>
        <v>43531780.886386208</v>
      </c>
      <c r="G113" s="149">
        <f t="shared" si="10"/>
        <v>43531780.886386208</v>
      </c>
      <c r="H113" s="149">
        <f t="shared" si="10"/>
        <v>43531780.886386208</v>
      </c>
      <c r="I113" s="149">
        <f t="shared" si="10"/>
        <v>43531780.886386208</v>
      </c>
      <c r="J113" s="149">
        <f t="shared" si="10"/>
        <v>43531780.886386208</v>
      </c>
      <c r="K113" s="149">
        <f t="shared" si="10"/>
        <v>43531780.886386208</v>
      </c>
      <c r="L113" s="149">
        <f t="shared" si="10"/>
        <v>43531780.886386208</v>
      </c>
      <c r="M113" s="149">
        <f t="shared" si="10"/>
        <v>43531780.886386208</v>
      </c>
      <c r="N113" s="149">
        <f t="shared" si="10"/>
        <v>43531780.886386208</v>
      </c>
      <c r="O113" s="149">
        <f t="shared" si="10"/>
        <v>43531780.886386208</v>
      </c>
      <c r="P113" s="149">
        <f t="shared" si="10"/>
        <v>43531780.886386208</v>
      </c>
      <c r="Q113" s="149">
        <f t="shared" si="10"/>
        <v>43531780.886386208</v>
      </c>
      <c r="R113" s="149">
        <f t="shared" si="10"/>
        <v>43531780.886386208</v>
      </c>
      <c r="S113" s="149">
        <f t="shared" si="10"/>
        <v>43531780.886386208</v>
      </c>
      <c r="T113" s="149">
        <f t="shared" si="10"/>
        <v>43531780.886386208</v>
      </c>
      <c r="U113" s="149">
        <f t="shared" si="10"/>
        <v>43531780.886386208</v>
      </c>
      <c r="V113" s="149">
        <f t="shared" si="10"/>
        <v>43531780.886386208</v>
      </c>
      <c r="W113" s="149">
        <f t="shared" si="10"/>
        <v>43531780.886386208</v>
      </c>
      <c r="X113" s="149">
        <f t="shared" si="10"/>
        <v>43531780.886386208</v>
      </c>
      <c r="Y113" s="149">
        <f t="shared" si="10"/>
        <v>43531780.886386208</v>
      </c>
      <c r="Z113" s="149">
        <f t="shared" si="10"/>
        <v>43531780.886386208</v>
      </c>
      <c r="AA113" s="149">
        <f t="shared" si="10"/>
        <v>43531780.886386208</v>
      </c>
      <c r="AB113" s="149">
        <f t="shared" si="10"/>
        <v>43531780.886386208</v>
      </c>
      <c r="AC113" s="149">
        <f t="shared" si="10"/>
        <v>43531780.886386208</v>
      </c>
      <c r="AD113" s="149">
        <f t="shared" si="10"/>
        <v>43531780.886386208</v>
      </c>
      <c r="AE113" s="149">
        <f t="shared" si="10"/>
        <v>43531780.886386208</v>
      </c>
      <c r="AF113" s="149">
        <f t="shared" si="10"/>
        <v>43531780.886386208</v>
      </c>
      <c r="AG113" s="149">
        <f t="shared" si="10"/>
        <v>43531780.886386208</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43531780.886386208</v>
      </c>
      <c r="E118" s="149">
        <f t="shared" ref="E118:AG118" si="13">E113+E115+E116</f>
        <v>43531780.886386208</v>
      </c>
      <c r="F118" s="149">
        <f>F113+F115+F116</f>
        <v>43531780.886386208</v>
      </c>
      <c r="G118" s="149">
        <f t="shared" si="13"/>
        <v>43531780.886386208</v>
      </c>
      <c r="H118" s="149">
        <f t="shared" si="13"/>
        <v>43531780.886386208</v>
      </c>
      <c r="I118" s="149">
        <f t="shared" si="13"/>
        <v>43531780.886386208</v>
      </c>
      <c r="J118" s="149">
        <f t="shared" si="13"/>
        <v>43531780.886386208</v>
      </c>
      <c r="K118" s="149">
        <f t="shared" si="13"/>
        <v>43531780.886386208</v>
      </c>
      <c r="L118" s="149">
        <f t="shared" si="13"/>
        <v>43531780.886386208</v>
      </c>
      <c r="M118" s="149">
        <f t="shared" si="13"/>
        <v>43531780.886386208</v>
      </c>
      <c r="N118" s="149">
        <f t="shared" si="13"/>
        <v>43531780.886386208</v>
      </c>
      <c r="O118" s="149">
        <f t="shared" si="13"/>
        <v>43531780.886386208</v>
      </c>
      <c r="P118" s="149">
        <f t="shared" si="13"/>
        <v>43531780.886386208</v>
      </c>
      <c r="Q118" s="149">
        <f t="shared" si="13"/>
        <v>43531780.886386208</v>
      </c>
      <c r="R118" s="149">
        <f t="shared" si="13"/>
        <v>43531780.886386208</v>
      </c>
      <c r="S118" s="149">
        <f t="shared" si="13"/>
        <v>43531780.886386208</v>
      </c>
      <c r="T118" s="149">
        <f t="shared" si="13"/>
        <v>43531780.886386208</v>
      </c>
      <c r="U118" s="149">
        <f t="shared" si="13"/>
        <v>43531780.886386208</v>
      </c>
      <c r="V118" s="149">
        <f t="shared" si="13"/>
        <v>43531780.886386208</v>
      </c>
      <c r="W118" s="149">
        <f t="shared" si="13"/>
        <v>43531780.886386208</v>
      </c>
      <c r="X118" s="149">
        <f t="shared" si="13"/>
        <v>43531780.886386208</v>
      </c>
      <c r="Y118" s="149">
        <f t="shared" si="13"/>
        <v>43531780.886386208</v>
      </c>
      <c r="Z118" s="149">
        <f t="shared" si="13"/>
        <v>43531780.886386208</v>
      </c>
      <c r="AA118" s="149">
        <f t="shared" si="13"/>
        <v>43531780.886386208</v>
      </c>
      <c r="AB118" s="149">
        <f t="shared" si="13"/>
        <v>43531780.886386208</v>
      </c>
      <c r="AC118" s="149">
        <f t="shared" si="13"/>
        <v>43531780.886386208</v>
      </c>
      <c r="AD118" s="149">
        <f t="shared" si="13"/>
        <v>43531780.886386208</v>
      </c>
      <c r="AE118" s="149">
        <f t="shared" si="13"/>
        <v>43531780.886386208</v>
      </c>
      <c r="AF118" s="149">
        <f t="shared" si="13"/>
        <v>43531780.886386208</v>
      </c>
      <c r="AG118" s="149">
        <f t="shared" si="13"/>
        <v>43531780.886386208</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1044762.7412732691</v>
      </c>
      <c r="E120" s="149">
        <f>(SUM($D$118:E118)*$C$104/$C$106)+(SUM($D$118:E118)*$C$105/$C$107)</f>
        <v>2089525.4825465381</v>
      </c>
      <c r="F120" s="149">
        <f>(SUM($D$118:F118)*$C$104/$C$106)+(SUM($D$118:F118)*$C$105/$C$107)</f>
        <v>3134288.2238198067</v>
      </c>
      <c r="G120" s="149">
        <f>(SUM($D$118:G118)*$C$104/$C$106)+(SUM($D$118:G118)*$C$105/$C$107)</f>
        <v>4179050.9650930762</v>
      </c>
      <c r="H120" s="149">
        <f>(SUM($D$118:H118)*$C$104/$C$106)+(SUM($D$118:H118)*$C$105/$C$107)</f>
        <v>5223813.7063663453</v>
      </c>
      <c r="I120" s="149">
        <f>(SUM($D$118:I118)*$C$104/$C$106)+(SUM($D$118:I118)*$C$105/$C$107)</f>
        <v>6268576.4476396143</v>
      </c>
      <c r="J120" s="149">
        <f>(SUM($D$118:J118)*$C$104/$C$106)+(SUM($D$118:J118)*$C$105/$C$107)</f>
        <v>7313339.1889128834</v>
      </c>
      <c r="K120" s="149">
        <f>(SUM($D$118:K118)*$C$104/$C$106)+(SUM($D$118:K118)*$C$105/$C$107)</f>
        <v>8358101.9301861525</v>
      </c>
      <c r="L120" s="149">
        <f>(SUM($D$118:L118)*$C$104/$C$106)+(SUM($D$118:L118)*$C$105/$C$107)</f>
        <v>9402864.6714594215</v>
      </c>
      <c r="M120" s="149">
        <f>(SUM($D$118:M118)*$C$104/$C$106)+(SUM($D$118:M118)*$C$105/$C$107)</f>
        <v>10447627.412732691</v>
      </c>
      <c r="N120" s="149">
        <f>(SUM($D$118:N118)*$C$104/$C$106)+(SUM($D$118:N118)*$C$105/$C$107)</f>
        <v>11492390.15400596</v>
      </c>
      <c r="O120" s="149">
        <f>(SUM($D$118:O118)*$C$104/$C$106)+(SUM($D$118:O118)*$C$105/$C$107)</f>
        <v>12537152.895279229</v>
      </c>
      <c r="P120" s="149">
        <f>(SUM($D$118:P118)*$C$104/$C$106)+(SUM($D$118:P118)*$C$105/$C$107)</f>
        <v>13581915.636552498</v>
      </c>
      <c r="Q120" s="149">
        <f>(SUM($D$118:Q118)*$C$104/$C$106)+(SUM($D$118:Q118)*$C$105/$C$107)</f>
        <v>14626678.377825767</v>
      </c>
      <c r="R120" s="149">
        <f>(SUM($D$118:R118)*$C$104/$C$106)+(SUM($D$118:R118)*$C$105/$C$107)</f>
        <v>15671441.119099034</v>
      </c>
      <c r="S120" s="149">
        <f>(SUM($D$118:S118)*$C$104/$C$106)+(SUM($D$118:S118)*$C$105/$C$107)</f>
        <v>16716203.860372301</v>
      </c>
      <c r="T120" s="149">
        <f>(SUM($D$118:T118)*$C$104/$C$106)+(SUM($D$118:T118)*$C$105/$C$107)</f>
        <v>17760966.601645567</v>
      </c>
      <c r="U120" s="149">
        <f>(SUM($D$118:U118)*$C$104/$C$106)+(SUM($D$118:U118)*$C$105/$C$107)</f>
        <v>18805729.342918836</v>
      </c>
      <c r="V120" s="149">
        <f>(SUM($D$118:V118)*$C$104/$C$106)+(SUM($D$118:V118)*$C$105/$C$107)</f>
        <v>19850492.084192105</v>
      </c>
      <c r="W120" s="149">
        <f>(SUM($D$118:W118)*$C$104/$C$106)+(SUM($D$118:W118)*$C$105/$C$107)</f>
        <v>20895254.825465374</v>
      </c>
      <c r="X120" s="149">
        <f>(SUM($D$118:X118)*$C$104/$C$106)+(SUM($D$118:X118)*$C$105/$C$107)</f>
        <v>21940017.566738639</v>
      </c>
      <c r="Y120" s="149">
        <f>(SUM($D$118:Y118)*$C$104/$C$106)+(SUM($D$118:Y118)*$C$105/$C$107)</f>
        <v>22984780.308011908</v>
      </c>
      <c r="Z120" s="149">
        <f>(SUM($D$118:Z118)*$C$104/$C$106)+(SUM($D$118:Z118)*$C$105/$C$107)</f>
        <v>24029543.049285173</v>
      </c>
      <c r="AA120" s="149">
        <f>(SUM($D$118:AA118)*$C$104/$C$106)+(SUM($D$118:AA118)*$C$105/$C$107)</f>
        <v>25074305.790558442</v>
      </c>
      <c r="AB120" s="149">
        <f>(SUM($D$118:AB118)*$C$104/$C$106)+(SUM($D$118:AB118)*$C$105/$C$107)</f>
        <v>26119068.531831708</v>
      </c>
      <c r="AC120" s="149">
        <f>(SUM($D$118:AC118)*$C$104/$C$106)+(SUM($D$118:AC118)*$C$105/$C$107)</f>
        <v>27163831.273104981</v>
      </c>
      <c r="AD120" s="149">
        <f>(SUM($D$118:AD118)*$C$104/$C$106)+(SUM($D$118:AD118)*$C$105/$C$107)</f>
        <v>28208594.014378246</v>
      </c>
      <c r="AE120" s="149">
        <f>(SUM($D$118:AE118)*$C$104/$C$106)+(SUM($D$118:AE118)*$C$105/$C$107)</f>
        <v>29253356.755651515</v>
      </c>
      <c r="AF120" s="149">
        <f>(SUM($D$118:AF118)*$C$104/$C$106)+(SUM($D$118:AF118)*$C$105/$C$107)</f>
        <v>30298119.49692478</v>
      </c>
      <c r="AG120" s="149">
        <f>(SUM($D$118:AG118)*$C$104/$C$106)+(SUM($D$118:AG118)*$C$105/$C$107)</f>
        <v>31342882.238198046</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1305953.4265915861</v>
      </c>
      <c r="E122" s="72">
        <f>(SUM($D$118:E118)*$C$109)</f>
        <v>2611906.8531831722</v>
      </c>
      <c r="F122" s="72">
        <f>(SUM($D$118:F118)*$C$109)</f>
        <v>3917860.2797747585</v>
      </c>
      <c r="G122" s="72">
        <f>(SUM($D$118:G118)*$C$109)</f>
        <v>5223813.7063663444</v>
      </c>
      <c r="H122" s="72">
        <f>(SUM($D$118:H118)*$C$109)</f>
        <v>6529767.1329579316</v>
      </c>
      <c r="I122" s="72">
        <f>(SUM($D$118:I118)*$C$109)</f>
        <v>7835720.5595495179</v>
      </c>
      <c r="J122" s="72">
        <f>(SUM($D$118:J118)*$C$109)</f>
        <v>9141673.9861411024</v>
      </c>
      <c r="K122" s="72">
        <f>(SUM($D$118:K118)*$C$109)</f>
        <v>10447627.412732689</v>
      </c>
      <c r="L122" s="72">
        <f>(SUM($D$118:L118)*$C$109)</f>
        <v>11753580.839324277</v>
      </c>
      <c r="M122" s="72">
        <f>(SUM($D$118:M118)*$C$109)</f>
        <v>13059534.265915863</v>
      </c>
      <c r="N122" s="72">
        <f>(SUM($D$118:N118)*$C$109)</f>
        <v>14365487.69250745</v>
      </c>
      <c r="O122" s="72">
        <f>(SUM($D$118:O118)*$C$109)</f>
        <v>15671441.119099036</v>
      </c>
      <c r="P122" s="72">
        <f>(SUM($D$118:P118)*$C$109)</f>
        <v>16977394.545690622</v>
      </c>
      <c r="Q122" s="72">
        <f>(SUM($D$118:Q118)*$C$109)</f>
        <v>18283347.972282205</v>
      </c>
      <c r="R122" s="72">
        <f>(SUM($D$118:R118)*$C$109)</f>
        <v>19589301.398873791</v>
      </c>
      <c r="S122" s="72">
        <f>(SUM($D$118:S118)*$C$109)</f>
        <v>20895254.825465377</v>
      </c>
      <c r="T122" s="72">
        <f>(SUM($D$118:T118)*$C$109)</f>
        <v>22201208.25205696</v>
      </c>
      <c r="U122" s="72">
        <f>(SUM($D$118:U118)*$C$109)</f>
        <v>23507161.678648546</v>
      </c>
      <c r="V122" s="72">
        <f>(SUM($D$118:V118)*$C$109)</f>
        <v>24813115.105240129</v>
      </c>
      <c r="W122" s="72">
        <f>(SUM($D$118:W118)*$C$109)</f>
        <v>26119068.531831715</v>
      </c>
      <c r="X122" s="72">
        <f>(SUM($D$118:X118)*$C$109)</f>
        <v>27425021.958423298</v>
      </c>
      <c r="Y122" s="72">
        <f>(SUM($D$118:Y118)*$C$109)</f>
        <v>28730975.385014884</v>
      </c>
      <c r="Z122" s="72">
        <f>(SUM($D$118:Z118)*$C$109)</f>
        <v>30036928.811606467</v>
      </c>
      <c r="AA122" s="72">
        <f>(SUM($D$118:AA118)*$C$109)</f>
        <v>31342882.238198053</v>
      </c>
      <c r="AB122" s="72">
        <f>(SUM($D$118:AB118)*$C$109)</f>
        <v>32648835.664789636</v>
      </c>
      <c r="AC122" s="72">
        <f>(SUM($D$118:AC118)*$C$109)</f>
        <v>33954789.091381222</v>
      </c>
      <c r="AD122" s="72">
        <f>(SUM($D$118:AD118)*$C$109)</f>
        <v>35260742.517972805</v>
      </c>
      <c r="AE122" s="72">
        <f>(SUM($D$118:AE118)*$C$109)</f>
        <v>36566695.944564395</v>
      </c>
      <c r="AF122" s="72">
        <f>(SUM($D$118:AF118)*$C$109)</f>
        <v>37872649.371155977</v>
      </c>
      <c r="AG122" s="72">
        <f>(SUM($D$118:AG118)*$C$109)</f>
        <v>39178602.79774756</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152</v>
      </c>
      <c r="B126" s="77" t="s">
        <v>197</v>
      </c>
      <c r="C126" s="179">
        <v>45889.599999999999</v>
      </c>
      <c r="D126" s="140"/>
    </row>
    <row r="127" spans="1:33" x14ac:dyDescent="0.35">
      <c r="A127" s="77" t="s">
        <v>151</v>
      </c>
      <c r="B127" s="77" t="s">
        <v>133</v>
      </c>
      <c r="C127" s="179">
        <v>48281.599999999999</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47085.599999999999</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156</v>
      </c>
      <c r="B133" s="77" t="s">
        <v>157</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17439.111111111109</v>
      </c>
      <c r="D135" s="157">
        <f t="shared" ref="D135:AG135" si="14">$C$135*D13</f>
        <v>17527.98725517773</v>
      </c>
      <c r="E135" s="157">
        <f t="shared" si="14"/>
        <v>17617.316344863761</v>
      </c>
      <c r="F135" s="157">
        <f t="shared" si="14"/>
        <v>17707.10068854718</v>
      </c>
      <c r="G135" s="157">
        <f t="shared" si="14"/>
        <v>17797.342606370323</v>
      </c>
      <c r="H135" s="157">
        <f t="shared" si="14"/>
        <v>17888.044430299811</v>
      </c>
      <c r="I135" s="157">
        <f t="shared" si="14"/>
        <v>17979.208504186845</v>
      </c>
      <c r="J135" s="157">
        <f t="shared" si="14"/>
        <v>18070.837183827731</v>
      </c>
      <c r="K135" s="157">
        <f t="shared" si="14"/>
        <v>18162.932837024822</v>
      </c>
      <c r="L135" s="157">
        <f t="shared" si="14"/>
        <v>18255.497843647623</v>
      </c>
      <c r="M135" s="157">
        <f t="shared" si="14"/>
        <v>18348.534595694364</v>
      </c>
      <c r="N135" s="157">
        <f t="shared" si="14"/>
        <v>18442.045497353749</v>
      </c>
      <c r="O135" s="157">
        <f t="shared" si="14"/>
        <v>18536.032965067159</v>
      </c>
      <c r="P135" s="157">
        <f t="shared" si="14"/>
        <v>18630.499427591003</v>
      </c>
      <c r="Q135" s="157">
        <f t="shared" si="14"/>
        <v>18725.447326059562</v>
      </c>
      <c r="R135" s="157">
        <f t="shared" si="14"/>
        <v>18820.879114048024</v>
      </c>
      <c r="S135" s="157">
        <f t="shared" si="14"/>
        <v>18916.797257635913</v>
      </c>
      <c r="T135" s="157">
        <f t="shared" si="14"/>
        <v>19013.204235470785</v>
      </c>
      <c r="U135" s="157">
        <f t="shared" si="14"/>
        <v>19110.102538832307</v>
      </c>
      <c r="V135" s="157">
        <f t="shared" si="14"/>
        <v>19207.494671696637</v>
      </c>
      <c r="W135" s="157">
        <f t="shared" si="14"/>
        <v>19305.383150801114</v>
      </c>
      <c r="X135" s="157">
        <f t="shared" si="14"/>
        <v>19403.770505709283</v>
      </c>
      <c r="Y135" s="157">
        <f t="shared" si="14"/>
        <v>19502.659278876305</v>
      </c>
      <c r="Z135" s="157">
        <f t="shared" si="14"/>
        <v>19602.052025714598</v>
      </c>
      <c r="AA135" s="157">
        <f t="shared" si="14"/>
        <v>19701.951314659949</v>
      </c>
      <c r="AB135" s="157">
        <f t="shared" si="14"/>
        <v>19802.359727237792</v>
      </c>
      <c r="AC135" s="157">
        <f t="shared" si="14"/>
        <v>19903.279858130001</v>
      </c>
      <c r="AD135" s="157">
        <f t="shared" si="14"/>
        <v>20004.714315241879</v>
      </c>
      <c r="AE135" s="157">
        <f t="shared" si="14"/>
        <v>20106.665719769626</v>
      </c>
      <c r="AF135" s="157">
        <f t="shared" si="14"/>
        <v>20209.13670626796</v>
      </c>
      <c r="AG135" s="157">
        <f t="shared" si="14"/>
        <v>20312.129922718308</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70" zoomScaleNormal="70"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0.45</v>
      </c>
      <c r="F4" s="65">
        <v>0.35</v>
      </c>
      <c r="G4" s="65">
        <v>0.3</v>
      </c>
      <c r="H4" s="65">
        <v>0.3</v>
      </c>
      <c r="I4" s="65">
        <v>0.15</v>
      </c>
      <c r="J4" s="65">
        <v>0.12</v>
      </c>
      <c r="K4" s="65">
        <v>0.09</v>
      </c>
      <c r="L4" s="65">
        <v>0.08</v>
      </c>
      <c r="M4" s="65">
        <v>7.0000000000000007E-2</v>
      </c>
      <c r="N4" s="65">
        <v>5.5E-2</v>
      </c>
      <c r="O4" s="65">
        <v>0.05</v>
      </c>
      <c r="P4" s="65">
        <v>0.05</v>
      </c>
      <c r="Q4" s="65">
        <v>0.05</v>
      </c>
      <c r="R4" s="65">
        <v>0.05</v>
      </c>
      <c r="S4" s="65">
        <v>0.05</v>
      </c>
      <c r="T4" s="65">
        <v>0.05</v>
      </c>
      <c r="U4" s="65">
        <v>0.05</v>
      </c>
      <c r="V4" s="65">
        <v>0.05</v>
      </c>
      <c r="W4" s="65">
        <v>0.05</v>
      </c>
      <c r="X4" s="65">
        <v>0.05</v>
      </c>
      <c r="Y4" s="65">
        <v>0.04</v>
      </c>
      <c r="Z4" s="65">
        <v>0.04</v>
      </c>
      <c r="AA4" s="65">
        <v>0.04</v>
      </c>
      <c r="AB4" s="65">
        <v>0.04</v>
      </c>
      <c r="AC4" s="65">
        <v>0.04</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2.4561861069285782</v>
      </c>
      <c r="C6" s="25"/>
      <c r="D6" s="25"/>
      <c r="E6" s="27">
        <f>'Debt worksheet'!C5/'Profit and Loss'!C5</f>
        <v>1.27755059633251</v>
      </c>
      <c r="F6" s="28">
        <f ca="1">'Debt worksheet'!D5/'Profit and Loss'!D5</f>
        <v>2.1289522550381448</v>
      </c>
      <c r="G6" s="28">
        <f ca="1">'Debt worksheet'!E5/'Profit and Loss'!E5</f>
        <v>2.4561861069285782</v>
      </c>
      <c r="H6" s="28">
        <f ca="1">'Debt worksheet'!F5/'Profit and Loss'!F5</f>
        <v>2.4241867133484654</v>
      </c>
      <c r="I6" s="28">
        <f ca="1">'Debt worksheet'!G5/'Profit and Loss'!G5</f>
        <v>2.4423812707876404</v>
      </c>
      <c r="J6" s="28">
        <f ca="1">'Debt worksheet'!H5/'Profit and Loss'!H5</f>
        <v>2.4255671807337946</v>
      </c>
      <c r="K6" s="28">
        <f ca="1">'Debt worksheet'!I5/'Profit and Loss'!I5</f>
        <v>2.4097918612272702</v>
      </c>
      <c r="L6" s="28">
        <f ca="1">'Debt worksheet'!J5/'Profit and Loss'!J5</f>
        <v>2.3805521025417531</v>
      </c>
      <c r="M6" s="28">
        <f ca="1">'Debt worksheet'!K5/'Profit and Loss'!K5</f>
        <v>2.3475012709346439</v>
      </c>
      <c r="N6" s="28">
        <f ca="1">'Debt worksheet'!L5/'Profit and Loss'!L5</f>
        <v>2.3303435242195865</v>
      </c>
      <c r="O6" s="28">
        <f ca="1">'Debt worksheet'!M5/'Profit and Loss'!M5</f>
        <v>2.3200332384611189</v>
      </c>
      <c r="P6" s="28">
        <f ca="1">'Debt worksheet'!N5/'Profit and Loss'!N5</f>
        <v>2.309435962465586</v>
      </c>
      <c r="Q6" s="28">
        <f ca="1">'Debt worksheet'!O5/'Profit and Loss'!O5</f>
        <v>2.2978581440080266</v>
      </c>
      <c r="R6" s="28">
        <f ca="1">'Debt worksheet'!P5/'Profit and Loss'!P5</f>
        <v>2.2846581174786076</v>
      </c>
      <c r="S6" s="28">
        <f ca="1">'Debt worksheet'!Q5/'Profit and Loss'!Q5</f>
        <v>2.2692434718988621</v>
      </c>
      <c r="T6" s="28">
        <f ca="1">'Debt worksheet'!R5/'Profit and Loss'!R5</f>
        <v>2.2510685326632376</v>
      </c>
      <c r="U6" s="28">
        <f ca="1">'Debt worksheet'!S5/'Profit and Loss'!S5</f>
        <v>2.2296319524865273</v>
      </c>
      <c r="V6" s="28">
        <f ca="1">'Debt worksheet'!T5/'Profit and Loss'!T5</f>
        <v>2.2044744072087927</v>
      </c>
      <c r="W6" s="28">
        <f ca="1">'Debt worksheet'!U5/'Profit and Loss'!U5</f>
        <v>2.1751763922741296</v>
      </c>
      <c r="X6" s="28">
        <f ca="1">'Debt worksheet'!V5/'Profit and Loss'!V5</f>
        <v>2.1413561158583176</v>
      </c>
      <c r="Y6" s="28">
        <f ca="1">'Debt worksheet'!W5/'Profit and Loss'!W5</f>
        <v>2.1228854413576297</v>
      </c>
      <c r="Z6" s="28">
        <f ca="1">'Debt worksheet'!X5/'Profit and Loss'!X5</f>
        <v>2.1081131127837067</v>
      </c>
      <c r="AA6" s="28">
        <f ca="1">'Debt worksheet'!Y5/'Profit and Loss'!Y5</f>
        <v>2.0965986209332361</v>
      </c>
      <c r="AB6" s="28">
        <f ca="1">'Debt worksheet'!Z5/'Profit and Loss'!Z5</f>
        <v>2.0879194633290665</v>
      </c>
      <c r="AC6" s="28">
        <f ca="1">'Debt worksheet'!AA5/'Profit and Loss'!AA5</f>
        <v>2.0816705768289765</v>
      </c>
      <c r="AD6" s="28">
        <f ca="1">'Debt worksheet'!AB5/'Profit and Loss'!AB5</f>
        <v>2.114053168094685</v>
      </c>
      <c r="AE6" s="28">
        <f ca="1">'Debt worksheet'!AC5/'Profit and Loss'!AC5</f>
        <v>2.1664282117442659</v>
      </c>
      <c r="AF6" s="28">
        <f ca="1">'Debt worksheet'!AD5/'Profit and Loss'!AD5</f>
        <v>2.2389890194597428</v>
      </c>
      <c r="AG6" s="28">
        <f ca="1">'Debt worksheet'!AE5/'Profit and Loss'!AE5</f>
        <v>2.3319318903420303</v>
      </c>
      <c r="AH6" s="28">
        <f ca="1">'Debt worksheet'!AF5/'Profit and Loss'!AF5</f>
        <v>2.4454561368693719</v>
      </c>
      <c r="AI6" s="31"/>
    </row>
    <row r="7" spans="1:35" ht="21" x14ac:dyDescent="0.5">
      <c r="A7" s="19" t="s">
        <v>38</v>
      </c>
      <c r="B7" s="26">
        <f ca="1">MIN('Price and Financial ratios'!E7:AH7)</f>
        <v>0.23863036147206751</v>
      </c>
      <c r="C7" s="26"/>
      <c r="D7" s="26"/>
      <c r="E7" s="56">
        <f ca="1">'Cash Flow'!C7/'Debt worksheet'!C5</f>
        <v>0.40205632047510209</v>
      </c>
      <c r="F7" s="32">
        <f ca="1">'Cash Flow'!D7/'Debt worksheet'!D5</f>
        <v>0.26439648273363325</v>
      </c>
      <c r="G7" s="32">
        <f ca="1">'Cash Flow'!E7/'Debt worksheet'!E5</f>
        <v>0.24754508945624232</v>
      </c>
      <c r="H7" s="32">
        <f ca="1">'Cash Flow'!F7/'Debt worksheet'!F5</f>
        <v>0.2723066380070594</v>
      </c>
      <c r="I7" s="32">
        <f ca="1">'Cash Flow'!G7/'Debt worksheet'!G5</f>
        <v>0.27536373180359824</v>
      </c>
      <c r="J7" s="32">
        <f ca="1">'Cash Flow'!H7/'Debt worksheet'!H5</f>
        <v>0.28037014716000686</v>
      </c>
      <c r="K7" s="32">
        <f ca="1">'Cash Flow'!I7/'Debt worksheet'!I5</f>
        <v>0.282770017513361</v>
      </c>
      <c r="L7" s="32">
        <f ca="1">'Cash Flow'!J7/'Debt worksheet'!J5</f>
        <v>0.28644422828365584</v>
      </c>
      <c r="M7" s="17">
        <f ca="1">'Cash Flow'!K7/'Debt worksheet'!K5</f>
        <v>0.29008734406061515</v>
      </c>
      <c r="N7" s="17">
        <f ca="1">'Cash Flow'!L7/'Debt worksheet'!L5</f>
        <v>0.29029583697150196</v>
      </c>
      <c r="O7" s="17">
        <f ca="1">'Cash Flow'!M7/'Debt worksheet'!M5</f>
        <v>0.28927528272066522</v>
      </c>
      <c r="P7" s="17">
        <f ca="1">'Cash Flow'!N7/'Debt worksheet'!N5</f>
        <v>0.28855626388501443</v>
      </c>
      <c r="Q7" s="17">
        <f ca="1">'Cash Flow'!O7/'Debt worksheet'!O5</f>
        <v>0.28822603369167815</v>
      </c>
      <c r="R7" s="17">
        <f ca="1">'Cash Flow'!P7/'Debt worksheet'!P5</f>
        <v>0.28836723393993702</v>
      </c>
      <c r="S7" s="17">
        <f ca="1">'Cash Flow'!Q7/'Debt worksheet'!Q5</f>
        <v>0.28905983999972906</v>
      </c>
      <c r="T7" s="17">
        <f ca="1">'Cash Flow'!R7/'Debt worksheet'!R5</f>
        <v>0.29038342201025286</v>
      </c>
      <c r="U7" s="17">
        <f ca="1">'Cash Flow'!S7/'Debt worksheet'!S5</f>
        <v>0.29241971411863038</v>
      </c>
      <c r="V7" s="17">
        <f ca="1">'Cash Flow'!T7/'Debt worksheet'!T5</f>
        <v>0.29525553131132004</v>
      </c>
      <c r="W7" s="17">
        <f ca="1">'Cash Flow'!U7/'Debt worksheet'!U5</f>
        <v>0.29898612605922187</v>
      </c>
      <c r="X7" s="17">
        <f ca="1">'Cash Flow'!V7/'Debt worksheet'!V5</f>
        <v>0.30371913913873755</v>
      </c>
      <c r="Y7" s="17">
        <f ca="1">'Cash Flow'!W7/'Debt worksheet'!W5</f>
        <v>0.30488570555061073</v>
      </c>
      <c r="Z7" s="17">
        <f ca="1">'Cash Flow'!X7/'Debt worksheet'!X5</f>
        <v>0.30562009295100645</v>
      </c>
      <c r="AA7" s="17">
        <f ca="1">'Cash Flow'!Y7/'Debt worksheet'!Y5</f>
        <v>0.30597550289253556</v>
      </c>
      <c r="AB7" s="17">
        <f ca="1">'Cash Flow'!Z7/'Debt worksheet'!Z5</f>
        <v>0.30600773411980742</v>
      </c>
      <c r="AC7" s="17">
        <f ca="1">'Cash Flow'!AA7/'Debt worksheet'!AA5</f>
        <v>0.30577379812416111</v>
      </c>
      <c r="AD7" s="17">
        <f ca="1">'Cash Flow'!AB7/'Debt worksheet'!AB5</f>
        <v>0.29669739949070845</v>
      </c>
      <c r="AE7" s="17">
        <f ca="1">'Cash Flow'!AC7/'Debt worksheet'!AC5</f>
        <v>0.28494028363331037</v>
      </c>
      <c r="AF7" s="17">
        <f ca="1">'Cash Flow'!AD7/'Debt worksheet'!AD5</f>
        <v>0.27097873403705203</v>
      </c>
      <c r="AG7" s="17">
        <f ca="1">'Cash Flow'!AE7/'Debt worksheet'!AE5</f>
        <v>0.25535630540369025</v>
      </c>
      <c r="AH7" s="17">
        <f ca="1">'Cash Flow'!AF7/'Debt worksheet'!AF5</f>
        <v>0.23863036147206751</v>
      </c>
      <c r="AI7" s="29"/>
    </row>
    <row r="8" spans="1:35" ht="21" x14ac:dyDescent="0.5">
      <c r="A8" s="19" t="s">
        <v>33</v>
      </c>
      <c r="B8" s="26">
        <f ca="1">MAX('Price and Financial ratios'!E8:AH8)</f>
        <v>0.29830628495846134</v>
      </c>
      <c r="C8" s="26"/>
      <c r="D8" s="176"/>
      <c r="E8" s="17">
        <f>'Balance Sheet'!B11/'Balance Sheet'!B8</f>
        <v>6.6503262969549989E-2</v>
      </c>
      <c r="F8" s="17">
        <f ca="1">'Balance Sheet'!C11/'Balance Sheet'!C8</f>
        <v>0.1517947984745027</v>
      </c>
      <c r="G8" s="17">
        <f ca="1">'Balance Sheet'!D11/'Balance Sheet'!D8</f>
        <v>0.21235500997150192</v>
      </c>
      <c r="H8" s="17">
        <f ca="1">'Balance Sheet'!E11/'Balance Sheet'!E8</f>
        <v>0.25493249450666489</v>
      </c>
      <c r="I8" s="17">
        <f ca="1">'Balance Sheet'!F11/'Balance Sheet'!F8</f>
        <v>0.27713349725998832</v>
      </c>
      <c r="J8" s="17">
        <f ca="1">'Balance Sheet'!G11/'Balance Sheet'!G8</f>
        <v>0.28993943177877957</v>
      </c>
      <c r="K8" s="17">
        <f ca="1">'Balance Sheet'!H11/'Balance Sheet'!H8</f>
        <v>0.29599012979215622</v>
      </c>
      <c r="L8" s="17">
        <f ca="1">'Balance Sheet'!I11/'Balance Sheet'!I8</f>
        <v>0.29830628495846134</v>
      </c>
      <c r="M8" s="17">
        <f ca="1">'Balance Sheet'!J11/'Balance Sheet'!J8</f>
        <v>0.29788221191736575</v>
      </c>
      <c r="N8" s="17">
        <f ca="1">'Balance Sheet'!K11/'Balance Sheet'!K8</f>
        <v>0.29574615727869735</v>
      </c>
      <c r="O8" s="17">
        <f ca="1">'Balance Sheet'!L11/'Balance Sheet'!L8</f>
        <v>0.29354004413917251</v>
      </c>
      <c r="P8" s="17">
        <f ca="1">'Balance Sheet'!M11/'Balance Sheet'!M8</f>
        <v>0.29172641161802032</v>
      </c>
      <c r="Q8" s="17">
        <f ca="1">'Balance Sheet'!N11/'Balance Sheet'!N8</f>
        <v>0.29017791147684474</v>
      </c>
      <c r="R8" s="17">
        <f ca="1">'Balance Sheet'!O11/'Balance Sheet'!O8</f>
        <v>0.28877883378645336</v>
      </c>
      <c r="S8" s="17">
        <f ca="1">'Balance Sheet'!P11/'Balance Sheet'!P8</f>
        <v>0.2874229231888813</v>
      </c>
      <c r="T8" s="17">
        <f ca="1">'Balance Sheet'!Q11/'Balance Sheet'!Q8</f>
        <v>0.28601161553783677</v>
      </c>
      <c r="U8" s="17">
        <f ca="1">'Balance Sheet'!R11/'Balance Sheet'!R8</f>
        <v>0.28445260209713596</v>
      </c>
      <c r="V8" s="17">
        <f ca="1">'Balance Sheet'!S11/'Balance Sheet'!S8</f>
        <v>0.2826586511484569</v>
      </c>
      <c r="W8" s="17">
        <f ca="1">'Balance Sheet'!T11/'Balance Sheet'!T8</f>
        <v>0.28054663348500963</v>
      </c>
      <c r="X8" s="17">
        <f ca="1">'Balance Sheet'!U11/'Balance Sheet'!U8</f>
        <v>0.27803671058665347</v>
      </c>
      <c r="Y8" s="17">
        <f ca="1">'Balance Sheet'!V11/'Balance Sheet'!V8</f>
        <v>0.27505165348924954</v>
      </c>
      <c r="Z8" s="17">
        <f ca="1">'Balance Sheet'!W11/'Balance Sheet'!W8</f>
        <v>0.27274956655958987</v>
      </c>
      <c r="AA8" s="17">
        <f ca="1">'Balance Sheet'!X11/'Balance Sheet'!X8</f>
        <v>0.27105521155932699</v>
      </c>
      <c r="AB8" s="17">
        <f ca="1">'Balance Sheet'!Y11/'Balance Sheet'!Y8</f>
        <v>0.2698992309561139</v>
      </c>
      <c r="AC8" s="17">
        <f ca="1">'Balance Sheet'!Z11/'Balance Sheet'!Z8</f>
        <v>0.26921735316093287</v>
      </c>
      <c r="AD8" s="17">
        <f ca="1">'Balance Sheet'!AA11/'Balance Sheet'!AA8</f>
        <v>0.26894971417706715</v>
      </c>
      <c r="AE8" s="17">
        <f ca="1">'Balance Sheet'!AB11/'Balance Sheet'!AB8</f>
        <v>0.27126504670898932</v>
      </c>
      <c r="AF8" s="17">
        <f ca="1">'Balance Sheet'!AC11/'Balance Sheet'!AC8</f>
        <v>0.27606655792196111</v>
      </c>
      <c r="AG8" s="17">
        <f ca="1">'Balance Sheet'!AD11/'Balance Sheet'!AD8</f>
        <v>0.28326736416077147</v>
      </c>
      <c r="AH8" s="17">
        <f ca="1">'Balance Sheet'!AE11/'Balance Sheet'!AE8</f>
        <v>0.29278937841525887</v>
      </c>
      <c r="AI8" s="29"/>
    </row>
    <row r="9" spans="1:35" ht="21.5" thickBot="1" x14ac:dyDescent="0.55000000000000004">
      <c r="A9" s="20" t="s">
        <v>32</v>
      </c>
      <c r="B9" s="21">
        <f ca="1">MIN('Price and Financial ratios'!E9:AH9)</f>
        <v>6.0111940925104168</v>
      </c>
      <c r="C9" s="21"/>
      <c r="D9" s="177"/>
      <c r="E9" s="21">
        <f ca="1">('Cash Flow'!C7+'Profit and Loss'!C8)/('Profit and Loss'!C8)</f>
        <v>6.0803024008597752</v>
      </c>
      <c r="F9" s="21">
        <f ca="1">('Cash Flow'!D7+'Profit and Loss'!D8)/('Profit and Loss'!D8)</f>
        <v>6.0111940925104168</v>
      </c>
      <c r="G9" s="21">
        <f ca="1">('Cash Flow'!E7+'Profit and Loss'!E8)/('Profit and Loss'!E8)</f>
        <v>6.4844163755252771</v>
      </c>
      <c r="H9" s="21">
        <f ca="1">('Cash Flow'!F7+'Profit and Loss'!F8)/('Profit and Loss'!F8)</f>
        <v>7.6809349800325464</v>
      </c>
      <c r="I9" s="21">
        <f ca="1">('Cash Flow'!G7+'Profit and Loss'!G8)/('Profit and Loss'!G8)</f>
        <v>8.0374143274410361</v>
      </c>
      <c r="J9" s="21">
        <f ca="1">('Cash Flow'!H7+'Profit and Loss'!H8)/('Profit and Loss'!H8)</f>
        <v>8.3597539909413712</v>
      </c>
      <c r="K9" s="21">
        <f ca="1">('Cash Flow'!I7+'Profit and Loss'!I8)/('Profit and Loss'!I8)</f>
        <v>8.5341748849870758</v>
      </c>
      <c r="L9" s="21">
        <f ca="1">('Cash Flow'!J7+'Profit and Loss'!J8)/('Profit and Loss'!J8)</f>
        <v>8.7170693825543424</v>
      </c>
      <c r="M9" s="21">
        <f ca="1">('Cash Flow'!K7+'Profit and Loss'!K8)/('Profit and Loss'!K8)</f>
        <v>8.8738377832031325</v>
      </c>
      <c r="N9" s="21">
        <f ca="1">('Cash Flow'!L7+'Profit and Loss'!L8)/('Profit and Loss'!L8)</f>
        <v>8.8940795773922776</v>
      </c>
      <c r="O9" s="21">
        <f ca="1">('Cash Flow'!M7+'Profit and Loss'!M8)/('Profit and Loss'!M8)</f>
        <v>8.8674603318731329</v>
      </c>
      <c r="P9" s="21">
        <f ca="1">('Cash Flow'!N7+'Profit and Loss'!N8)/('Profit and Loss'!N8)</f>
        <v>8.8514192553298745</v>
      </c>
      <c r="Q9" s="21">
        <f ca="1">('Cash Flow'!O7+'Profit and Loss'!O8)/('Profit and Loss'!O8)</f>
        <v>8.8482016312843559</v>
      </c>
      <c r="R9" s="21">
        <f ca="1">('Cash Flow'!P7+'Profit and Loss'!P8)/('Profit and Loss'!P8)</f>
        <v>8.8599718325628807</v>
      </c>
      <c r="S9" s="21">
        <f ca="1">('Cash Flow'!Q7+'Profit and Loss'!Q8)/('Profit and Loss'!Q8)</f>
        <v>8.8888752450845416</v>
      </c>
      <c r="T9" s="21">
        <f ca="1">('Cash Flow'!R7+'Profit and Loss'!R8)/('Profit and Loss'!R8)</f>
        <v>8.9371083501715649</v>
      </c>
      <c r="U9" s="21">
        <f ca="1">('Cash Flow'!S7+'Profit and Loss'!S8)/('Profit and Loss'!S8)</f>
        <v>9.006997981566311</v>
      </c>
      <c r="V9" s="21">
        <f ca="1">('Cash Flow'!T7+'Profit and Loss'!T8)/('Profit and Loss'!T8)</f>
        <v>9.1010922027629135</v>
      </c>
      <c r="W9" s="21">
        <f ca="1">('Cash Flow'!U7+'Profit and Loss'!U8)/('Profit and Loss'!U8)</f>
        <v>9.2222669271169906</v>
      </c>
      <c r="X9" s="21">
        <f ca="1">('Cash Flow'!V7+'Profit and Loss'!V8)/('Profit and Loss'!V8)</f>
        <v>9.3738545290830864</v>
      </c>
      <c r="Y9" s="21">
        <f ca="1">('Cash Flow'!W7+'Profit and Loss'!W8)/('Profit and Loss'!W8)</f>
        <v>9.3919062687275794</v>
      </c>
      <c r="Z9" s="21">
        <f ca="1">('Cash Flow'!X7+'Profit and Loss'!X8)/('Profit and Loss'!X8)</f>
        <v>9.3994612262302031</v>
      </c>
      <c r="AA9" s="21">
        <f ca="1">('Cash Flow'!Y7+'Profit and Loss'!Y8)/('Profit and Loss'!Y8)</f>
        <v>9.3980628906457699</v>
      </c>
      <c r="AB9" s="21">
        <f ca="1">('Cash Flow'!Z7+'Profit and Loss'!Z8)/('Profit and Loss'!Z8)</f>
        <v>9.3892870464138252</v>
      </c>
      <c r="AC9" s="21">
        <f ca="1">('Cash Flow'!AA7+'Profit and Loss'!AA8)/('Profit and Loss'!AA8)</f>
        <v>9.3747089326219033</v>
      </c>
      <c r="AD9" s="21">
        <f ca="1">('Cash Flow'!AB7+'Profit and Loss'!AB8)/('Profit and Loss'!AB8)</f>
        <v>9.0530185343409517</v>
      </c>
      <c r="AE9" s="21">
        <f ca="1">('Cash Flow'!AC7+'Profit and Loss'!AC8)/('Profit and Loss'!AC8)</f>
        <v>8.6686611252764969</v>
      </c>
      <c r="AF9" s="21">
        <f ca="1">('Cash Flow'!AD7+'Profit and Loss'!AD8)/('Profit and Loss'!AD8)</f>
        <v>8.2367682889276228</v>
      </c>
      <c r="AG9" s="21">
        <f ca="1">('Cash Flow'!AE7+'Profit and Loss'!AE8)/('Profit and Loss'!AE8)</f>
        <v>7.7729196931003601</v>
      </c>
      <c r="AH9" s="21">
        <f ca="1">('Cash Flow'!AF7+'Profit and Loss'!AF8)/('Profit and Loss'!AF8)</f>
        <v>7.2918583355277322</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17561600.943381775</v>
      </c>
      <c r="D5" s="1">
        <f>Assumptions!E111</f>
        <v>17561600.943381775</v>
      </c>
      <c r="E5" s="1">
        <f>Assumptions!F111</f>
        <v>17561600.943381775</v>
      </c>
      <c r="F5" s="1">
        <f>Assumptions!G111</f>
        <v>17561600.943381775</v>
      </c>
      <c r="G5" s="1">
        <f>Assumptions!H111</f>
        <v>17561600.943381775</v>
      </c>
      <c r="H5" s="1">
        <f>Assumptions!I111</f>
        <v>17561600.943381775</v>
      </c>
      <c r="I5" s="1">
        <f>Assumptions!J111</f>
        <v>17561600.943381775</v>
      </c>
      <c r="J5" s="1">
        <f>Assumptions!K111</f>
        <v>17561600.943381775</v>
      </c>
      <c r="K5" s="1">
        <f>Assumptions!L111</f>
        <v>17561600.943381775</v>
      </c>
      <c r="L5" s="1">
        <f>Assumptions!M111</f>
        <v>17561600.943381775</v>
      </c>
      <c r="M5" s="1">
        <f>Assumptions!N111</f>
        <v>17561600.943381775</v>
      </c>
      <c r="N5" s="1">
        <f>Assumptions!O111</f>
        <v>17561600.943381775</v>
      </c>
      <c r="O5" s="1">
        <f>Assumptions!P111</f>
        <v>17561600.943381775</v>
      </c>
      <c r="P5" s="1">
        <f>Assumptions!Q111</f>
        <v>17561600.943381775</v>
      </c>
      <c r="Q5" s="1">
        <f>Assumptions!R111</f>
        <v>17561600.943381775</v>
      </c>
      <c r="R5" s="1">
        <f>Assumptions!S111</f>
        <v>17561600.943381775</v>
      </c>
      <c r="S5" s="1">
        <f>Assumptions!T111</f>
        <v>17561600.943381775</v>
      </c>
      <c r="T5" s="1">
        <f>Assumptions!U111</f>
        <v>17561600.943381775</v>
      </c>
      <c r="U5" s="1">
        <f>Assumptions!V111</f>
        <v>17561600.943381775</v>
      </c>
      <c r="V5" s="1">
        <f>Assumptions!W111</f>
        <v>17561600.943381775</v>
      </c>
      <c r="W5" s="1">
        <f>Assumptions!X111</f>
        <v>17561600.943381775</v>
      </c>
      <c r="X5" s="1">
        <f>Assumptions!Y111</f>
        <v>17561600.943381775</v>
      </c>
      <c r="Y5" s="1">
        <f>Assumptions!Z111</f>
        <v>17561600.943381775</v>
      </c>
      <c r="Z5" s="1">
        <f>Assumptions!AA111</f>
        <v>17561600.943381775</v>
      </c>
      <c r="AA5" s="1">
        <f>Assumptions!AB111</f>
        <v>17561600.943381775</v>
      </c>
      <c r="AB5" s="1">
        <f>Assumptions!AC111</f>
        <v>17561600.943381775</v>
      </c>
      <c r="AC5" s="1">
        <f>Assumptions!AD111</f>
        <v>17561600.943381775</v>
      </c>
      <c r="AD5" s="1">
        <f>Assumptions!AE111</f>
        <v>17561600.943381775</v>
      </c>
      <c r="AE5" s="1">
        <f>Assumptions!AF111</f>
        <v>17561600.943381775</v>
      </c>
      <c r="AF5" s="1">
        <f>Assumptions!AG111</f>
        <v>17561600.943381775</v>
      </c>
    </row>
    <row r="6" spans="1:32" x14ac:dyDescent="0.35">
      <c r="A6" t="s">
        <v>68</v>
      </c>
      <c r="C6" s="1">
        <f>Assumptions!D113</f>
        <v>43531780.886386208</v>
      </c>
      <c r="D6" s="1">
        <f>Assumptions!E113</f>
        <v>43531780.886386208</v>
      </c>
      <c r="E6" s="1">
        <f>Assumptions!F113</f>
        <v>43531780.886386208</v>
      </c>
      <c r="F6" s="1">
        <f>Assumptions!G113</f>
        <v>43531780.886386208</v>
      </c>
      <c r="G6" s="1">
        <f>Assumptions!H113</f>
        <v>43531780.886386208</v>
      </c>
      <c r="H6" s="1">
        <f>Assumptions!I113</f>
        <v>43531780.886386208</v>
      </c>
      <c r="I6" s="1">
        <f>Assumptions!J113</f>
        <v>43531780.886386208</v>
      </c>
      <c r="J6" s="1">
        <f>Assumptions!K113</f>
        <v>43531780.886386208</v>
      </c>
      <c r="K6" s="1">
        <f>Assumptions!L113</f>
        <v>43531780.886386208</v>
      </c>
      <c r="L6" s="1">
        <f>Assumptions!M113</f>
        <v>43531780.886386208</v>
      </c>
      <c r="M6" s="1">
        <f>Assumptions!N113</f>
        <v>43531780.886386208</v>
      </c>
      <c r="N6" s="1">
        <f>Assumptions!O113</f>
        <v>43531780.886386208</v>
      </c>
      <c r="O6" s="1">
        <f>Assumptions!P113</f>
        <v>43531780.886386208</v>
      </c>
      <c r="P6" s="1">
        <f>Assumptions!Q113</f>
        <v>43531780.886386208</v>
      </c>
      <c r="Q6" s="1">
        <f>Assumptions!R113</f>
        <v>43531780.886386208</v>
      </c>
      <c r="R6" s="1">
        <f>Assumptions!S113</f>
        <v>43531780.886386208</v>
      </c>
      <c r="S6" s="1">
        <f>Assumptions!T113</f>
        <v>43531780.886386208</v>
      </c>
      <c r="T6" s="1">
        <f>Assumptions!U113</f>
        <v>43531780.886386208</v>
      </c>
      <c r="U6" s="1">
        <f>Assumptions!V113</f>
        <v>43531780.886386208</v>
      </c>
      <c r="V6" s="1">
        <f>Assumptions!W113</f>
        <v>43531780.886386208</v>
      </c>
      <c r="W6" s="1">
        <f>Assumptions!X113</f>
        <v>43531780.886386208</v>
      </c>
      <c r="X6" s="1">
        <f>Assumptions!Y113</f>
        <v>43531780.886386208</v>
      </c>
      <c r="Y6" s="1">
        <f>Assumptions!Z113</f>
        <v>43531780.886386208</v>
      </c>
      <c r="Z6" s="1">
        <f>Assumptions!AA113</f>
        <v>43531780.886386208</v>
      </c>
      <c r="AA6" s="1">
        <f>Assumptions!AB113</f>
        <v>43531780.886386208</v>
      </c>
      <c r="AB6" s="1">
        <f>Assumptions!AC113</f>
        <v>43531780.886386208</v>
      </c>
      <c r="AC6" s="1">
        <f>Assumptions!AD113</f>
        <v>43531780.886386208</v>
      </c>
      <c r="AD6" s="1">
        <f>Assumptions!AE113</f>
        <v>43531780.886386208</v>
      </c>
      <c r="AE6" s="1">
        <f>Assumptions!AF113</f>
        <v>43531780.886386208</v>
      </c>
      <c r="AF6" s="1">
        <f>Assumptions!AG113</f>
        <v>43531780.886386208</v>
      </c>
    </row>
    <row r="7" spans="1:32" x14ac:dyDescent="0.35">
      <c r="A7" t="s">
        <v>73</v>
      </c>
      <c r="C7" s="1">
        <f>Assumptions!D120</f>
        <v>1044762.7412732691</v>
      </c>
      <c r="D7" s="1">
        <f>Assumptions!E120</f>
        <v>2089525.4825465381</v>
      </c>
      <c r="E7" s="1">
        <f>Assumptions!F120</f>
        <v>3134288.2238198067</v>
      </c>
      <c r="F7" s="1">
        <f>Assumptions!G120</f>
        <v>4179050.9650930762</v>
      </c>
      <c r="G7" s="1">
        <f>Assumptions!H120</f>
        <v>5223813.7063663453</v>
      </c>
      <c r="H7" s="1">
        <f>Assumptions!I120</f>
        <v>6268576.4476396143</v>
      </c>
      <c r="I7" s="1">
        <f>Assumptions!J120</f>
        <v>7313339.1889128834</v>
      </c>
      <c r="J7" s="1">
        <f>Assumptions!K120</f>
        <v>8358101.9301861525</v>
      </c>
      <c r="K7" s="1">
        <f>Assumptions!L120</f>
        <v>9402864.6714594215</v>
      </c>
      <c r="L7" s="1">
        <f>Assumptions!M120</f>
        <v>10447627.412732691</v>
      </c>
      <c r="M7" s="1">
        <f>Assumptions!N120</f>
        <v>11492390.15400596</v>
      </c>
      <c r="N7" s="1">
        <f>Assumptions!O120</f>
        <v>12537152.895279229</v>
      </c>
      <c r="O7" s="1">
        <f>Assumptions!P120</f>
        <v>13581915.636552498</v>
      </c>
      <c r="P7" s="1">
        <f>Assumptions!Q120</f>
        <v>14626678.377825767</v>
      </c>
      <c r="Q7" s="1">
        <f>Assumptions!R120</f>
        <v>15671441.119099034</v>
      </c>
      <c r="R7" s="1">
        <f>Assumptions!S120</f>
        <v>16716203.860372301</v>
      </c>
      <c r="S7" s="1">
        <f>Assumptions!T120</f>
        <v>17760966.601645567</v>
      </c>
      <c r="T7" s="1">
        <f>Assumptions!U120</f>
        <v>18805729.342918836</v>
      </c>
      <c r="U7" s="1">
        <f>Assumptions!V120</f>
        <v>19850492.084192105</v>
      </c>
      <c r="V7" s="1">
        <f>Assumptions!W120</f>
        <v>20895254.825465374</v>
      </c>
      <c r="W7" s="1">
        <f>Assumptions!X120</f>
        <v>21940017.566738639</v>
      </c>
      <c r="X7" s="1">
        <f>Assumptions!Y120</f>
        <v>22984780.308011908</v>
      </c>
      <c r="Y7" s="1">
        <f>Assumptions!Z120</f>
        <v>24029543.049285173</v>
      </c>
      <c r="Z7" s="1">
        <f>Assumptions!AA120</f>
        <v>25074305.790558442</v>
      </c>
      <c r="AA7" s="1">
        <f>Assumptions!AB120</f>
        <v>26119068.531831708</v>
      </c>
      <c r="AB7" s="1">
        <f>Assumptions!AC120</f>
        <v>27163831.273104981</v>
      </c>
      <c r="AC7" s="1">
        <f>Assumptions!AD120</f>
        <v>28208594.014378246</v>
      </c>
      <c r="AD7" s="1">
        <f>Assumptions!AE120</f>
        <v>29253356.755651515</v>
      </c>
      <c r="AE7" s="1">
        <f>Assumptions!AF120</f>
        <v>30298119.49692478</v>
      </c>
      <c r="AF7" s="1">
        <f>Assumptions!AG120</f>
        <v>31342882.238198046</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18123572.173569992</v>
      </c>
      <c r="D11" s="1">
        <f>D5*D$9</f>
        <v>18703526.48312423</v>
      </c>
      <c r="E11" s="1">
        <f t="shared" ref="D11:AF13" si="1">E5*E$9</f>
        <v>19302039.330584206</v>
      </c>
      <c r="F11" s="1">
        <f t="shared" si="1"/>
        <v>19919704.589162901</v>
      </c>
      <c r="G11" s="1">
        <f t="shared" si="1"/>
        <v>20557135.136016116</v>
      </c>
      <c r="H11" s="1">
        <f t="shared" si="1"/>
        <v>21214963.46036863</v>
      </c>
      <c r="I11" s="1">
        <f t="shared" si="1"/>
        <v>21893842.29110042</v>
      </c>
      <c r="J11" s="1">
        <f t="shared" si="1"/>
        <v>22594445.244415637</v>
      </c>
      <c r="K11" s="1">
        <f t="shared" si="1"/>
        <v>23317467.492236942</v>
      </c>
      <c r="L11" s="1">
        <f t="shared" si="1"/>
        <v>24063626.451988518</v>
      </c>
      <c r="M11" s="1">
        <f t="shared" si="1"/>
        <v>24833662.498452153</v>
      </c>
      <c r="N11" s="1">
        <f t="shared" si="1"/>
        <v>25628339.698402621</v>
      </c>
      <c r="O11" s="1">
        <f t="shared" si="1"/>
        <v>26448446.568751507</v>
      </c>
      <c r="P11" s="1">
        <f t="shared" si="1"/>
        <v>27294796.85895155</v>
      </c>
      <c r="Q11" s="1">
        <f t="shared" si="1"/>
        <v>28168230.358437996</v>
      </c>
      <c r="R11" s="1">
        <f t="shared" si="1"/>
        <v>29069613.729908019</v>
      </c>
      <c r="S11" s="1">
        <f t="shared" si="1"/>
        <v>29999841.369265079</v>
      </c>
      <c r="T11" s="1">
        <f t="shared" si="1"/>
        <v>30959836.293081556</v>
      </c>
      <c r="U11" s="1">
        <f t="shared" si="1"/>
        <v>31950551.054460164</v>
      </c>
      <c r="V11" s="1">
        <f t="shared" si="1"/>
        <v>32972968.688202891</v>
      </c>
      <c r="W11" s="1">
        <f t="shared" si="1"/>
        <v>34028103.686225392</v>
      </c>
      <c r="X11" s="1">
        <f t="shared" si="1"/>
        <v>35117003.004184596</v>
      </c>
      <c r="Y11" s="1">
        <f t="shared" si="1"/>
        <v>36240747.100318499</v>
      </c>
      <c r="Z11" s="1">
        <f t="shared" si="1"/>
        <v>37400451.007528692</v>
      </c>
      <c r="AA11" s="1">
        <f t="shared" si="1"/>
        <v>38597265.439769618</v>
      </c>
      <c r="AB11" s="1">
        <f t="shared" si="1"/>
        <v>39832377.933842242</v>
      </c>
      <c r="AC11" s="1">
        <f t="shared" si="1"/>
        <v>41107014.02772519</v>
      </c>
      <c r="AD11" s="1">
        <f t="shared" si="1"/>
        <v>42422438.476612397</v>
      </c>
      <c r="AE11" s="1">
        <f t="shared" si="1"/>
        <v>43779956.507863998</v>
      </c>
      <c r="AF11" s="1">
        <f t="shared" si="1"/>
        <v>45180915.116115637</v>
      </c>
    </row>
    <row r="12" spans="1:32" x14ac:dyDescent="0.35">
      <c r="A12" t="s">
        <v>71</v>
      </c>
      <c r="C12" s="1">
        <f t="shared" ref="C12:R12" si="2">C6*C$9</f>
        <v>44924797.874750569</v>
      </c>
      <c r="D12" s="1">
        <f t="shared" si="2"/>
        <v>46362391.40674258</v>
      </c>
      <c r="E12" s="1">
        <f t="shared" si="2"/>
        <v>47845987.931758344</v>
      </c>
      <c r="F12" s="1">
        <f t="shared" si="2"/>
        <v>49377059.545574613</v>
      </c>
      <c r="G12" s="1">
        <f t="shared" si="2"/>
        <v>50957125.451033004</v>
      </c>
      <c r="H12" s="1">
        <f t="shared" si="2"/>
        <v>52587753.465466052</v>
      </c>
      <c r="I12" s="1">
        <f t="shared" si="2"/>
        <v>54270561.576360963</v>
      </c>
      <c r="J12" s="1">
        <f t="shared" si="2"/>
        <v>56007219.546804518</v>
      </c>
      <c r="K12" s="1">
        <f t="shared" si="2"/>
        <v>57799450.572302267</v>
      </c>
      <c r="L12" s="1">
        <f t="shared" si="2"/>
        <v>59649032.990615934</v>
      </c>
      <c r="M12" s="1">
        <f t="shared" si="2"/>
        <v>61557802.04631564</v>
      </c>
      <c r="N12" s="1">
        <f t="shared" si="2"/>
        <v>63527651.711797744</v>
      </c>
      <c r="O12" s="1">
        <f t="shared" si="2"/>
        <v>65560536.566575281</v>
      </c>
      <c r="P12" s="1">
        <f t="shared" si="2"/>
        <v>67658473.736705676</v>
      </c>
      <c r="Q12" s="1">
        <f t="shared" si="2"/>
        <v>69823544.896280244</v>
      </c>
      <c r="R12" s="1">
        <f t="shared" si="2"/>
        <v>72057898.332961231</v>
      </c>
      <c r="S12" s="1">
        <f t="shared" si="1"/>
        <v>74363751.079615995</v>
      </c>
      <c r="T12" s="1">
        <f t="shared" si="1"/>
        <v>76743391.114163697</v>
      </c>
      <c r="U12" s="1">
        <f t="shared" si="1"/>
        <v>79199179.629816934</v>
      </c>
      <c r="V12" s="1">
        <f t="shared" si="1"/>
        <v>81733553.377971083</v>
      </c>
      <c r="W12" s="1">
        <f t="shared" si="1"/>
        <v>84349027.086066157</v>
      </c>
      <c r="X12" s="1">
        <f t="shared" si="1"/>
        <v>87048195.952820271</v>
      </c>
      <c r="Y12" s="1">
        <f t="shared" si="1"/>
        <v>89833738.2233105</v>
      </c>
      <c r="Z12" s="1">
        <f t="shared" si="1"/>
        <v>92708417.846456438</v>
      </c>
      <c r="AA12" s="1">
        <f t="shared" si="1"/>
        <v>95675087.21754308</v>
      </c>
      <c r="AB12" s="1">
        <f t="shared" si="1"/>
        <v>98736690.008504435</v>
      </c>
      <c r="AC12" s="1">
        <f t="shared" si="1"/>
        <v>101896264.08877657</v>
      </c>
      <c r="AD12" s="1">
        <f t="shared" si="1"/>
        <v>105156944.53961743</v>
      </c>
      <c r="AE12" s="1">
        <f t="shared" si="1"/>
        <v>108521966.76488519</v>
      </c>
      <c r="AF12" s="1">
        <f t="shared" si="1"/>
        <v>111994669.70136149</v>
      </c>
    </row>
    <row r="13" spans="1:32" x14ac:dyDescent="0.35">
      <c r="A13" t="s">
        <v>74</v>
      </c>
      <c r="C13" s="1">
        <f>C7*C$9</f>
        <v>1078195.1489940137</v>
      </c>
      <c r="D13" s="1">
        <f t="shared" si="1"/>
        <v>2225394.787523644</v>
      </c>
      <c r="E13" s="1">
        <f t="shared" si="1"/>
        <v>3444911.1310866005</v>
      </c>
      <c r="F13" s="1">
        <f t="shared" si="1"/>
        <v>4740197.7163751628</v>
      </c>
      <c r="G13" s="1">
        <f t="shared" si="1"/>
        <v>6114855.0541239604</v>
      </c>
      <c r="H13" s="1">
        <f t="shared" si="1"/>
        <v>7572636.4990271116</v>
      </c>
      <c r="I13" s="1">
        <f t="shared" si="1"/>
        <v>9117454.344828641</v>
      </c>
      <c r="J13" s="1">
        <f t="shared" si="1"/>
        <v>10753386.152986469</v>
      </c>
      <c r="K13" s="1">
        <f t="shared" si="1"/>
        <v>12484681.323617291</v>
      </c>
      <c r="L13" s="1">
        <f t="shared" si="1"/>
        <v>14315767.917747825</v>
      </c>
      <c r="M13" s="1">
        <f t="shared" si="1"/>
        <v>16251259.74022733</v>
      </c>
      <c r="N13" s="1">
        <f t="shared" si="1"/>
        <v>18295963.69299775</v>
      </c>
      <c r="O13" s="1">
        <f t="shared" si="1"/>
        <v>20454887.408771489</v>
      </c>
      <c r="P13" s="1">
        <f t="shared" si="1"/>
        <v>22733247.175533108</v>
      </c>
      <c r="Q13" s="1">
        <f t="shared" si="1"/>
        <v>25136476.162660886</v>
      </c>
      <c r="R13" s="1">
        <f t="shared" si="1"/>
        <v>27670232.959857106</v>
      </c>
      <c r="S13" s="1">
        <f t="shared" si="1"/>
        <v>30340410.440483317</v>
      </c>
      <c r="T13" s="1">
        <f t="shared" si="1"/>
        <v>33153144.961318705</v>
      </c>
      <c r="U13" s="1">
        <f t="shared" si="1"/>
        <v>36114825.911196508</v>
      </c>
      <c r="V13" s="1">
        <f t="shared" si="1"/>
        <v>39232105.621426105</v>
      </c>
      <c r="W13" s="1">
        <f t="shared" si="1"/>
        <v>42511909.651377328</v>
      </c>
      <c r="X13" s="1">
        <f t="shared" si="1"/>
        <v>45961447.463089079</v>
      </c>
      <c r="Y13" s="1">
        <f t="shared" si="1"/>
        <v>49588223.49926737</v>
      </c>
      <c r="Z13" s="1">
        <f t="shared" si="1"/>
        <v>53400048.679558881</v>
      </c>
      <c r="AA13" s="1">
        <f t="shared" si="1"/>
        <v>57405052.330525808</v>
      </c>
      <c r="AB13" s="1">
        <f t="shared" si="1"/>
        <v>61611694.565306738</v>
      </c>
      <c r="AC13" s="1">
        <f t="shared" si="1"/>
        <v>66028779.129527174</v>
      </c>
      <c r="AD13" s="1">
        <f t="shared" si="1"/>
        <v>70665466.730622873</v>
      </c>
      <c r="AE13" s="1">
        <f t="shared" si="1"/>
        <v>75531288.868360043</v>
      </c>
      <c r="AF13" s="1">
        <f t="shared" si="1"/>
        <v>80636162.184980214</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64126565.197314575</v>
      </c>
      <c r="D25" s="40">
        <f>SUM(D11:D13,D18:D23)</f>
        <v>67291312.677390456</v>
      </c>
      <c r="E25" s="40">
        <f t="shared" ref="E25:AF25" si="7">SUM(E11:E13,E18:E23)</f>
        <v>70592938.393429145</v>
      </c>
      <c r="F25" s="40">
        <f t="shared" si="7"/>
        <v>74036961.851112679</v>
      </c>
      <c r="G25" s="40">
        <f t="shared" si="7"/>
        <v>77629115.641173095</v>
      </c>
      <c r="H25" s="40">
        <f t="shared" si="7"/>
        <v>81375353.424861804</v>
      </c>
      <c r="I25" s="40">
        <f t="shared" si="7"/>
        <v>85281858.212290019</v>
      </c>
      <c r="J25" s="40">
        <f t="shared" si="7"/>
        <v>89355050.944206625</v>
      </c>
      <c r="K25" s="40">
        <f t="shared" si="7"/>
        <v>93601599.388156503</v>
      </c>
      <c r="L25" s="40">
        <f t="shared" si="7"/>
        <v>98028427.360352278</v>
      </c>
      <c r="M25" s="40">
        <f t="shared" si="7"/>
        <v>102642724.28499512</v>
      </c>
      <c r="N25" s="40">
        <f t="shared" si="7"/>
        <v>107451955.10319811</v>
      </c>
      <c r="O25" s="40">
        <f t="shared" si="7"/>
        <v>112463870.54409827</v>
      </c>
      <c r="P25" s="40">
        <f t="shared" si="7"/>
        <v>117686517.77119035</v>
      </c>
      <c r="Q25" s="40">
        <f t="shared" si="7"/>
        <v>123128251.41737913</v>
      </c>
      <c r="R25" s="40">
        <f t="shared" si="7"/>
        <v>128797745.02272636</v>
      </c>
      <c r="S25" s="40">
        <f t="shared" si="7"/>
        <v>134704002.88936439</v>
      </c>
      <c r="T25" s="40">
        <f t="shared" si="7"/>
        <v>140856372.36856395</v>
      </c>
      <c r="U25" s="40">
        <f t="shared" si="7"/>
        <v>147264556.59547362</v>
      </c>
      <c r="V25" s="40">
        <f t="shared" si="7"/>
        <v>153938627.68760008</v>
      </c>
      <c r="W25" s="40">
        <f t="shared" si="7"/>
        <v>160889040.42366886</v>
      </c>
      <c r="X25" s="40">
        <f t="shared" si="7"/>
        <v>168126646.42009395</v>
      </c>
      <c r="Y25" s="40">
        <f t="shared" si="7"/>
        <v>175662708.82289636</v>
      </c>
      <c r="Z25" s="40">
        <f t="shared" si="7"/>
        <v>183508917.533544</v>
      </c>
      <c r="AA25" s="40">
        <f t="shared" si="7"/>
        <v>191677404.98783851</v>
      </c>
      <c r="AB25" s="40">
        <f t="shared" si="7"/>
        <v>200180762.50765342</v>
      </c>
      <c r="AC25" s="40">
        <f t="shared" si="7"/>
        <v>209032057.24602893</v>
      </c>
      <c r="AD25" s="40">
        <f t="shared" si="7"/>
        <v>218244849.7468527</v>
      </c>
      <c r="AE25" s="40">
        <f t="shared" si="7"/>
        <v>227833212.14110923</v>
      </c>
      <c r="AF25" s="40">
        <f t="shared" si="7"/>
        <v>237811747.00245735</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115" zoomScaleNormal="115"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30179626.631370593</v>
      </c>
      <c r="D5" s="59">
        <f>C5*('Price and Financial ratios'!F4+1)*(1+Assumptions!$C$13)</f>
        <v>40950134.742929928</v>
      </c>
      <c r="E5" s="59">
        <f>D5*('Price and Financial ratios'!G4+1)*(1+Assumptions!$C$13)</f>
        <v>53506481.2586082</v>
      </c>
      <c r="F5" s="59">
        <f>E5*('Price and Financial ratios'!H4+1)*(1+Assumptions!$C$13)</f>
        <v>69912921.035554841</v>
      </c>
      <c r="G5" s="59">
        <f>F5*('Price and Financial ratios'!I4+1)*(1+Assumptions!$C$13)</f>
        <v>80809606.535397649</v>
      </c>
      <c r="H5" s="59">
        <f>G5*('Price and Financial ratios'!J4+1)*(1+Assumptions!$C$13)</f>
        <v>90968015.155968979</v>
      </c>
      <c r="I5" s="59">
        <f>H5*('Price and Financial ratios'!K4+1)*(1+Assumptions!$C$13)</f>
        <v>99660467.677205071</v>
      </c>
      <c r="J5" s="59">
        <f>I5*('Price and Financial ratios'!L4+1)*(1+Assumptions!$C$13)</f>
        <v>108181844.12348694</v>
      </c>
      <c r="K5" s="59">
        <f>J5*('Price and Financial ratios'!M4+1)*(1+Assumptions!$C$13)</f>
        <v>116344501.22277468</v>
      </c>
      <c r="L5" s="59">
        <f>K5*('Price and Financial ratios'!N4+1)*(1+Assumptions!$C$13)</f>
        <v>123368994.68903506</v>
      </c>
      <c r="M5" s="59">
        <f>L5*('Price and Financial ratios'!O4+1)*(1+Assumptions!$C$13)</f>
        <v>130197615.03076442</v>
      </c>
      <c r="N5" s="59">
        <f>M5*('Price and Financial ratios'!P4+1)*(1+Assumptions!$C$13)</f>
        <v>137404207.61656544</v>
      </c>
      <c r="O5" s="59">
        <f>N5*('Price and Financial ratios'!Q4+1)*(1+Assumptions!$C$13)</f>
        <v>145009693.65894362</v>
      </c>
      <c r="P5" s="59">
        <f>O5*('Price and Financial ratios'!R4+1)*(1+Assumptions!$C$13)</f>
        <v>153036152.38435799</v>
      </c>
      <c r="Q5" s="59">
        <f>P5*('Price and Financial ratios'!S4+1)*(1+Assumptions!$C$13)</f>
        <v>161506885.13066852</v>
      </c>
      <c r="R5" s="59">
        <f>Q5*('Price and Financial ratios'!T4+1)*(1+Assumptions!$C$13)</f>
        <v>170446482.99245328</v>
      </c>
      <c r="S5" s="59">
        <f>R5*('Price and Financial ratios'!U4+1)*(1+Assumptions!$C$13)</f>
        <v>179880898.21057406</v>
      </c>
      <c r="T5" s="59">
        <f>S5*('Price and Financial ratios'!V4+1)*(1+Assumptions!$C$13)</f>
        <v>189837519.51323956</v>
      </c>
      <c r="U5" s="59">
        <f>T5*('Price and Financial ratios'!W4+1)*(1+Assumptions!$C$13)</f>
        <v>200345251.62728563</v>
      </c>
      <c r="V5" s="59">
        <f>U5*('Price and Financial ratios'!X4+1)*(1+Assumptions!$C$13)</f>
        <v>211434599.19049931</v>
      </c>
      <c r="W5" s="59">
        <f>V5*('Price and Financial ratios'!Y4+1)*(1+Assumptions!$C$13)</f>
        <v>221012633.82946023</v>
      </c>
      <c r="X5" s="59">
        <f>W5*('Price and Financial ratios'!Z4+1)*(1+Assumptions!$C$13)</f>
        <v>231024555.58006877</v>
      </c>
      <c r="Y5" s="59">
        <f>X5*('Price and Financial ratios'!AA4+1)*(1+Assumptions!$C$13)</f>
        <v>241490019.62553841</v>
      </c>
      <c r="Z5" s="59">
        <f>Y5*('Price and Financial ratios'!AB4+1)*(1+Assumptions!$C$13)</f>
        <v>252429571.53327885</v>
      </c>
      <c r="AA5" s="59">
        <f>Z5*('Price and Financial ratios'!AC4+1)*(1+Assumptions!$C$13)</f>
        <v>263864687.58949929</v>
      </c>
      <c r="AB5" s="59">
        <f>AA5*('Price and Financial ratios'!AD4+1)*(1+Assumptions!$C$13)</f>
        <v>271044047.05203819</v>
      </c>
      <c r="AC5" s="59">
        <f>AB5*('Price and Financial ratios'!AE4+1)*(1+Assumptions!$C$13)</f>
        <v>278418746.03788811</v>
      </c>
      <c r="AD5" s="59">
        <f>AC5*('Price and Financial ratios'!AF4+1)*(1+Assumptions!$C$13)</f>
        <v>285994099.44032985</v>
      </c>
      <c r="AE5" s="59">
        <f>AD5*('Price and Financial ratios'!AG4+1)*(1+Assumptions!$C$13)</f>
        <v>293775566.76285964</v>
      </c>
      <c r="AF5" s="59">
        <f>AE5*('Price and Financial ratios'!AH4+1)*(1+Assumptions!$C$13)</f>
        <v>301768756.05381495</v>
      </c>
    </row>
    <row r="6" spans="1:32" s="11" customFormat="1" x14ac:dyDescent="0.35">
      <c r="A6" s="11" t="s">
        <v>20</v>
      </c>
      <c r="C6" s="59">
        <f>C27</f>
        <v>11626612.279454878</v>
      </c>
      <c r="D6" s="59">
        <f t="shared" ref="D6:AF6" si="1">D27</f>
        <v>13300050.602059759</v>
      </c>
      <c r="E6" s="59">
        <f>E27</f>
        <v>15041772.133621693</v>
      </c>
      <c r="F6" s="59">
        <f t="shared" si="1"/>
        <v>16853978.987881295</v>
      </c>
      <c r="G6" s="59">
        <f t="shared" si="1"/>
        <v>18738937.3292052</v>
      </c>
      <c r="H6" s="59">
        <f t="shared" si="1"/>
        <v>20698979.130614448</v>
      </c>
      <c r="I6" s="59">
        <f t="shared" si="1"/>
        <v>22736503.978318531</v>
      </c>
      <c r="J6" s="59">
        <f t="shared" si="1"/>
        <v>24853980.923954848</v>
      </c>
      <c r="K6" s="59">
        <f t="shared" si="1"/>
        <v>27053950.385763235</v>
      </c>
      <c r="L6" s="59">
        <f t="shared" si="1"/>
        <v>29339026.099956892</v>
      </c>
      <c r="M6" s="59">
        <f t="shared" si="1"/>
        <v>31711897.12358246</v>
      </c>
      <c r="N6" s="59">
        <f t="shared" si="1"/>
        <v>34175329.890195101</v>
      </c>
      <c r="O6" s="59">
        <f t="shared" si="1"/>
        <v>36732170.319707677</v>
      </c>
      <c r="P6" s="59">
        <f t="shared" si="1"/>
        <v>39385345.983807832</v>
      </c>
      <c r="Q6" s="59">
        <f t="shared" si="1"/>
        <v>42137868.328371607</v>
      </c>
      <c r="R6" s="59">
        <f t="shared" si="1"/>
        <v>44992834.954338595</v>
      </c>
      <c r="S6" s="59">
        <f t="shared" si="1"/>
        <v>47953431.958550803</v>
      </c>
      <c r="T6" s="59">
        <f t="shared" si="1"/>
        <v>51022936.336094767</v>
      </c>
      <c r="U6" s="59">
        <f t="shared" si="1"/>
        <v>54204718.445725977</v>
      </c>
      <c r="V6" s="59">
        <f t="shared" si="1"/>
        <v>57502244.539994135</v>
      </c>
      <c r="W6" s="59">
        <f t="shared" si="1"/>
        <v>60919079.361728668</v>
      </c>
      <c r="X6" s="59">
        <f t="shared" si="1"/>
        <v>64458888.808586024</v>
      </c>
      <c r="Y6" s="59">
        <f t="shared" si="1"/>
        <v>68125442.667402714</v>
      </c>
      <c r="Z6" s="59">
        <f t="shared" si="1"/>
        <v>71922617.420142636</v>
      </c>
      <c r="AA6" s="59">
        <f t="shared" si="1"/>
        <v>75854399.123271495</v>
      </c>
      <c r="AB6" s="59">
        <f t="shared" si="1"/>
        <v>79924886.362438515</v>
      </c>
      <c r="AC6" s="59">
        <f t="shared" si="1"/>
        <v>84138293.284391448</v>
      </c>
      <c r="AD6" s="59">
        <f t="shared" si="1"/>
        <v>88498952.708100945</v>
      </c>
      <c r="AE6" s="59">
        <f t="shared" si="1"/>
        <v>93011319.317118645</v>
      </c>
      <c r="AF6" s="59">
        <f t="shared" si="1"/>
        <v>97679972.935245842</v>
      </c>
    </row>
    <row r="7" spans="1:32" x14ac:dyDescent="0.35">
      <c r="A7" t="s">
        <v>21</v>
      </c>
      <c r="C7" s="4">
        <f>Depreciation!C8+Depreciation!C9</f>
        <v>19201767.322564006</v>
      </c>
      <c r="D7" s="4">
        <f>Depreciation!D8+Depreciation!D9</f>
        <v>20928921.270647876</v>
      </c>
      <c r="E7" s="4">
        <f>Depreciation!E8+Depreciation!E9</f>
        <v>22746950.461670805</v>
      </c>
      <c r="F7" s="4">
        <f>Depreciation!F8+Depreciation!F9</f>
        <v>24659902.305538066</v>
      </c>
      <c r="G7" s="4">
        <f>Depreciation!G8+Depreciation!G9</f>
        <v>26671990.190140076</v>
      </c>
      <c r="H7" s="4">
        <f>Depreciation!H8+Depreciation!H9</f>
        <v>28787599.95939574</v>
      </c>
      <c r="I7" s="4">
        <f>Depreciation!I8+Depreciation!I9</f>
        <v>31011296.635929063</v>
      </c>
      <c r="J7" s="4">
        <f>Depreciation!J8+Depreciation!J9</f>
        <v>33347831.397402108</v>
      </c>
      <c r="K7" s="4">
        <f>Depreciation!K8+Depreciation!K9</f>
        <v>35802148.815854236</v>
      </c>
      <c r="L7" s="4">
        <f>Depreciation!L8+Depreciation!L9</f>
        <v>38379394.369736344</v>
      </c>
      <c r="M7" s="4">
        <f>Depreciation!M8+Depreciation!M9</f>
        <v>41084922.238679484</v>
      </c>
      <c r="N7" s="4">
        <f>Depreciation!N8+Depreciation!N9</f>
        <v>43924303.391400367</v>
      </c>
      <c r="O7" s="4">
        <f>Depreciation!O8+Depreciation!O9</f>
        <v>46903333.977522999</v>
      </c>
      <c r="P7" s="4">
        <f>Depreciation!P8+Depreciation!P9</f>
        <v>50028044.034484655</v>
      </c>
      <c r="Q7" s="4">
        <f>Depreciation!Q8+Depreciation!Q9</f>
        <v>53304706.521098882</v>
      </c>
      <c r="R7" s="4">
        <f>Depreciation!R8+Depreciation!R9</f>
        <v>56739846.689765126</v>
      </c>
      <c r="S7" s="4">
        <f>Depreciation!S8+Depreciation!S9</f>
        <v>60340251.809748396</v>
      </c>
      <c r="T7" s="4">
        <f>Depreciation!T8+Depreciation!T9</f>
        <v>64112981.254400261</v>
      </c>
      <c r="U7" s="4">
        <f>Depreciation!U8+Depreciation!U9</f>
        <v>68065376.965656668</v>
      </c>
      <c r="V7" s="4">
        <f>Depreciation!V8+Depreciation!V9</f>
        <v>72205074.309628993</v>
      </c>
      <c r="W7" s="4">
        <f>Depreciation!W8+Depreciation!W9</f>
        <v>76540013.33760272</v>
      </c>
      <c r="X7" s="4">
        <f>Depreciation!X8+Depreciation!X9</f>
        <v>81078450.467273682</v>
      </c>
      <c r="Y7" s="4">
        <f>Depreciation!Y8+Depreciation!Y9</f>
        <v>85828970.599585861</v>
      </c>
      <c r="Z7" s="4">
        <f>Depreciation!Z8+Depreciation!Z9</f>
        <v>90800499.687087566</v>
      </c>
      <c r="AA7" s="4">
        <f>Depreciation!AA8+Depreciation!AA9</f>
        <v>96002317.770295426</v>
      </c>
      <c r="AB7" s="4">
        <f>Depreciation!AB8+Depreciation!AB9</f>
        <v>101444072.49914898</v>
      </c>
      <c r="AC7" s="4">
        <f>Depreciation!AC8+Depreciation!AC9</f>
        <v>107135793.15725237</v>
      </c>
      <c r="AD7" s="4">
        <f>Depreciation!AD8+Depreciation!AD9</f>
        <v>113087905.20723528</v>
      </c>
      <c r="AE7" s="4">
        <f>Depreciation!AE8+Depreciation!AE9</f>
        <v>119311245.37622404</v>
      </c>
      <c r="AF7" s="4">
        <f>Depreciation!AF8+Depreciation!AF9</f>
        <v>125817077.30109584</v>
      </c>
    </row>
    <row r="8" spans="1:32" x14ac:dyDescent="0.35">
      <c r="A8" t="s">
        <v>6</v>
      </c>
      <c r="C8" s="4">
        <f ca="1">'Debt worksheet'!C8</f>
        <v>3051330.8596776794</v>
      </c>
      <c r="D8" s="4">
        <f ca="1">'Debt worksheet'!D8</f>
        <v>4599765.6564309737</v>
      </c>
      <c r="E8" s="4">
        <f ca="1">'Debt worksheet'!E8</f>
        <v>5931869.0993020376</v>
      </c>
      <c r="F8" s="4">
        <f ca="1">'Debt worksheet'!F8</f>
        <v>6907875.4325620811</v>
      </c>
      <c r="G8" s="4">
        <f ca="1">'Debt worksheet'!G8</f>
        <v>7722716.1220584484</v>
      </c>
      <c r="H8" s="4">
        <f ca="1">'Debt worksheet'!H8</f>
        <v>8405634.4363121279</v>
      </c>
      <c r="I8" s="4">
        <f ca="1">'Debt worksheet'!I8</f>
        <v>9013638.0769753866</v>
      </c>
      <c r="J8" s="4">
        <f ca="1">'Debt worksheet'!J8</f>
        <v>9559160.2570352294</v>
      </c>
      <c r="K8" s="4">
        <f ca="1">'Debt worksheet'!K8</f>
        <v>10062224.825207571</v>
      </c>
      <c r="L8" s="4">
        <f ca="1">'Debt worksheet'!L8</f>
        <v>10572197.805390844</v>
      </c>
      <c r="M8" s="4">
        <f ca="1">'Debt worksheet'!M8</f>
        <v>11106417.646232441</v>
      </c>
      <c r="N8" s="4">
        <f ca="1">'Debt worksheet'!N8</f>
        <v>11662409.693700947</v>
      </c>
      <c r="O8" s="4">
        <f ca="1">'Debt worksheet'!O8</f>
        <v>12237235.073441584</v>
      </c>
      <c r="P8" s="4">
        <f ca="1">'Debt worksheet'!P8</f>
        <v>12827445.566232115</v>
      </c>
      <c r="Q8" s="4">
        <f ca="1">'Debt worksheet'!Q8</f>
        <v>13429035.002860095</v>
      </c>
      <c r="R8" s="4">
        <f ca="1">'Debt worksheet'!R8</f>
        <v>14037386.940229539</v>
      </c>
      <c r="S8" s="4">
        <f ca="1">'Debt worksheet'!S8</f>
        <v>14647218.365322776</v>
      </c>
      <c r="T8" s="4">
        <f ca="1">'Debt worksheet'!T8</f>
        <v>15252519.157536214</v>
      </c>
      <c r="U8" s="4">
        <f ca="1">'Debt worksheet'!U8</f>
        <v>15846487.022821972</v>
      </c>
      <c r="V8" s="4">
        <f ca="1">'Debt worksheet'!V8</f>
        <v>16421457.594943309</v>
      </c>
      <c r="W8" s="4">
        <f ca="1">'Debt worksheet'!W8</f>
        <v>17045906.324767992</v>
      </c>
      <c r="X8" s="4">
        <f ca="1">'Debt worksheet'!X8</f>
        <v>17720767.474061538</v>
      </c>
      <c r="Y8" s="4">
        <f ca="1">'Debt worksheet'!Y8</f>
        <v>18446841.543345246</v>
      </c>
      <c r="Z8" s="4">
        <f ca="1">'Debt worksheet'!Z8</f>
        <v>19224777.474673077</v>
      </c>
      <c r="AA8" s="4">
        <f ca="1">'Debt worksheet'!AA8</f>
        <v>20055053.422724817</v>
      </c>
      <c r="AB8" s="4">
        <f ca="1">'Debt worksheet'!AB8</f>
        <v>21111097.913323</v>
      </c>
      <c r="AC8" s="4">
        <f ca="1">'Debt worksheet'!AC8</f>
        <v>22411817.68970117</v>
      </c>
      <c r="AD8" s="4">
        <f ca="1">'Debt worksheet'!AD8</f>
        <v>23977261.445816584</v>
      </c>
      <c r="AE8" s="4">
        <f ca="1">'Debt worksheet'!AE8</f>
        <v>25828678.974253342</v>
      </c>
      <c r="AF8" s="4">
        <f ca="1">'Debt worksheet'!AF8</f>
        <v>27988583.119367283</v>
      </c>
    </row>
    <row r="9" spans="1:32" x14ac:dyDescent="0.35">
      <c r="A9" t="s">
        <v>22</v>
      </c>
      <c r="C9" s="4">
        <f ca="1">C5-C6-C7-C8</f>
        <v>-3700083.8303259681</v>
      </c>
      <c r="D9" s="4">
        <f t="shared" ref="D9:AF9" ca="1" si="2">D5-D6-D7-D8</f>
        <v>2121397.2137913192</v>
      </c>
      <c r="E9" s="4">
        <f t="shared" ca="1" si="2"/>
        <v>9785889.5640136637</v>
      </c>
      <c r="F9" s="4">
        <f t="shared" ca="1" si="2"/>
        <v>21491164.309573397</v>
      </c>
      <c r="G9" s="4">
        <f t="shared" ca="1" si="2"/>
        <v>27675962.893993925</v>
      </c>
      <c r="H9" s="4">
        <f t="shared" ca="1" si="2"/>
        <v>33075801.62964667</v>
      </c>
      <c r="I9" s="4">
        <f t="shared" ca="1" si="2"/>
        <v>36899028.98598209</v>
      </c>
      <c r="J9" s="4">
        <f t="shared" ca="1" si="2"/>
        <v>40420871.545094758</v>
      </c>
      <c r="K9" s="4">
        <f t="shared" ca="1" si="2"/>
        <v>43426177.195949651</v>
      </c>
      <c r="L9" s="4">
        <f t="shared" ca="1" si="2"/>
        <v>45078376.413950972</v>
      </c>
      <c r="M9" s="4">
        <f t="shared" ca="1" si="2"/>
        <v>46294378.022270024</v>
      </c>
      <c r="N9" s="4">
        <f t="shared" ca="1" si="2"/>
        <v>47642164.641269021</v>
      </c>
      <c r="O9" s="4">
        <f t="shared" ca="1" si="2"/>
        <v>49136954.288271368</v>
      </c>
      <c r="P9" s="4">
        <f t="shared" ca="1" si="2"/>
        <v>50795316.799833387</v>
      </c>
      <c r="Q9" s="4">
        <f t="shared" ca="1" si="2"/>
        <v>52635275.278337926</v>
      </c>
      <c r="R9" s="4">
        <f t="shared" ca="1" si="2"/>
        <v>54676414.408120021</v>
      </c>
      <c r="S9" s="4">
        <f t="shared" ca="1" si="2"/>
        <v>56939996.076952077</v>
      </c>
      <c r="T9" s="4">
        <f t="shared" ca="1" si="2"/>
        <v>59449082.765208326</v>
      </c>
      <c r="U9" s="4">
        <f t="shared" ca="1" si="2"/>
        <v>62228669.193081014</v>
      </c>
      <c r="V9" s="4">
        <f t="shared" ca="1" si="2"/>
        <v>65305822.745932885</v>
      </c>
      <c r="W9" s="4">
        <f t="shared" ca="1" si="2"/>
        <v>66507634.805360854</v>
      </c>
      <c r="X9" s="4">
        <f t="shared" ca="1" si="2"/>
        <v>67766448.83014752</v>
      </c>
      <c r="Y9" s="4">
        <f t="shared" ca="1" si="2"/>
        <v>69088764.815204591</v>
      </c>
      <c r="Z9" s="4">
        <f t="shared" ca="1" si="2"/>
        <v>70481676.951375589</v>
      </c>
      <c r="AA9" s="4">
        <f t="shared" ca="1" si="2"/>
        <v>71952917.27320756</v>
      </c>
      <c r="AB9" s="4">
        <f t="shared" ca="1" si="2"/>
        <v>68563990.277127713</v>
      </c>
      <c r="AC9" s="4">
        <f t="shared" ca="1" si="2"/>
        <v>64732841.906543106</v>
      </c>
      <c r="AD9" s="4">
        <f t="shared" ca="1" si="2"/>
        <v>60429980.079177044</v>
      </c>
      <c r="AE9" s="4">
        <f t="shared" ca="1" si="2"/>
        <v>55624323.095263615</v>
      </c>
      <c r="AF9" s="4">
        <f t="shared" ca="1" si="2"/>
        <v>50283122.698105976</v>
      </c>
    </row>
    <row r="12" spans="1:32" x14ac:dyDescent="0.35">
      <c r="A12" t="s">
        <v>79</v>
      </c>
      <c r="C12" s="2">
        <f>Assumptions!$C$25*Assumptions!D9*Assumptions!D13</f>
        <v>10291927.877478277</v>
      </c>
      <c r="D12" s="2">
        <f>Assumptions!$C$25*Assumptions!E9*Assumptions!E13</f>
        <v>10571955.684419587</v>
      </c>
      <c r="E12" s="2">
        <f>Assumptions!$C$25*Assumptions!F9*Assumptions!F13</f>
        <v>10859602.624879308</v>
      </c>
      <c r="F12" s="2">
        <f>Assumptions!$C$25*Assumptions!G9*Assumptions!G13</f>
        <v>11155076.003968338</v>
      </c>
      <c r="G12" s="2">
        <f>Assumptions!$C$25*Assumptions!H9*Assumptions!H13</f>
        <v>11458588.767256398</v>
      </c>
      <c r="H12" s="2">
        <f>Assumptions!$C$25*Assumptions!I9*Assumptions!I13</f>
        <v>11770359.654240439</v>
      </c>
      <c r="I12" s="2">
        <f>Assumptions!$C$25*Assumptions!J9*Assumptions!J13</f>
        <v>12090613.355988588</v>
      </c>
      <c r="J12" s="2">
        <f>Assumptions!$C$25*Assumptions!K9*Assumptions!K13</f>
        <v>12419580.677073473</v>
      </c>
      <c r="K12" s="2">
        <f>Assumptions!$C$25*Assumptions!L9*Assumptions!L13</f>
        <v>12757498.701911369</v>
      </c>
      <c r="L12" s="2">
        <f>Assumptions!$C$25*Assumptions!M9*Assumptions!M13</f>
        <v>13104610.965627329</v>
      </c>
      <c r="M12" s="2">
        <f>Assumptions!$C$25*Assumptions!N9*Assumptions!N13</f>
        <v>13461167.629569167</v>
      </c>
      <c r="N12" s="2">
        <f>Assumptions!$C$25*Assumptions!O9*Assumptions!O13</f>
        <v>13827425.661597004</v>
      </c>
      <c r="O12" s="2">
        <f>Assumptions!$C$25*Assumptions!P9*Assumptions!P13</f>
        <v>14203649.021278158</v>
      </c>
      <c r="P12" s="2">
        <f>Assumptions!$C$25*Assumptions!Q9*Assumptions!Q13</f>
        <v>14590108.85012095</v>
      </c>
      <c r="Q12" s="2">
        <f>Assumptions!$C$25*Assumptions!R9*Assumptions!R13</f>
        <v>14987083.666984459</v>
      </c>
      <c r="R12" s="2">
        <f>Assumptions!$C$25*Assumptions!S9*Assumptions!S13</f>
        <v>15394859.568805095</v>
      </c>
      <c r="S12" s="2">
        <f>Assumptions!$C$25*Assumptions!T9*Assumptions!T13</f>
        <v>15813730.436784614</v>
      </c>
      <c r="T12" s="2">
        <f>Assumptions!$C$25*Assumptions!U9*Assumptions!U13</f>
        <v>16243998.148188248</v>
      </c>
      <c r="U12" s="2">
        <f>Assumptions!$C$25*Assumptions!V9*Assumptions!V13</f>
        <v>16685972.793905489</v>
      </c>
      <c r="V12" s="2">
        <f>Assumptions!$C$25*Assumptions!W9*Assumptions!W13</f>
        <v>17139972.901930407</v>
      </c>
      <c r="W12" s="2">
        <f>Assumptions!$C$25*Assumptions!X9*Assumptions!X13</f>
        <v>17606325.666922484</v>
      </c>
      <c r="X12" s="2">
        <f>Assumptions!$C$25*Assumptions!Y9*Assumptions!Y13</f>
        <v>18085367.186013542</v>
      </c>
      <c r="Y12" s="2">
        <f>Assumptions!$C$25*Assumptions!Z9*Assumptions!Z13</f>
        <v>18577442.701030515</v>
      </c>
      <c r="Z12" s="2">
        <f>Assumptions!$C$25*Assumptions!AA9*Assumptions!AA13</f>
        <v>19082906.847308826</v>
      </c>
      <c r="AA12" s="2">
        <f>Assumptions!$C$25*Assumptions!AB9*Assumptions!AB13</f>
        <v>19602123.909275502</v>
      </c>
      <c r="AB12" s="2">
        <f>Assumptions!$C$25*Assumptions!AC9*Assumptions!AC13</f>
        <v>20135468.082986448</v>
      </c>
      <c r="AC12" s="2">
        <f>Assumptions!$C$25*Assumptions!AD9*Assumptions!AD13</f>
        <v>20683323.745806824</v>
      </c>
      <c r="AD12" s="2">
        <f>Assumptions!$C$25*Assumptions!AE9*Assumptions!AE13</f>
        <v>21246085.733429171</v>
      </c>
      <c r="AE12" s="2">
        <f>Assumptions!$C$25*Assumptions!AF9*Assumptions!AF13</f>
        <v>21824159.624428593</v>
      </c>
      <c r="AF12" s="2">
        <f>Assumptions!$C$25*Assumptions!AG9*Assumptions!AG13</f>
        <v>22417962.03256043</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1334684.401976601</v>
      </c>
      <c r="D14" s="5">
        <f>Assumptions!E122*Assumptions!E9</f>
        <v>2728094.9176401724</v>
      </c>
      <c r="E14" s="5">
        <f>Assumptions!F122*Assumptions!F9</f>
        <v>4182169.5087423846</v>
      </c>
      <c r="F14" s="5">
        <f>Assumptions!G122*Assumptions!G9</f>
        <v>5698902.983912956</v>
      </c>
      <c r="G14" s="5">
        <f>Assumptions!H122*Assumptions!H9</f>
        <v>7280348.5619488023</v>
      </c>
      <c r="H14" s="5">
        <f>Assumptions!I122*Assumptions!I9</f>
        <v>8928619.4763740096</v>
      </c>
      <c r="I14" s="5">
        <f>Assumptions!J122*Assumptions!J9</f>
        <v>10645890.622329943</v>
      </c>
      <c r="J14" s="5">
        <f>Assumptions!K122*Assumptions!K9</f>
        <v>12434400.246881375</v>
      </c>
      <c r="K14" s="5">
        <f>Assumptions!L122*Assumptions!L9</f>
        <v>14296451.683851864</v>
      </c>
      <c r="L14" s="5">
        <f>Assumptions!M122*Assumptions!M9</f>
        <v>16234415.134329561</v>
      </c>
      <c r="M14" s="5">
        <f>Assumptions!N122*Assumptions!N9</f>
        <v>18250729.494013295</v>
      </c>
      <c r="N14" s="5">
        <f>Assumptions!O122*Assumptions!O9</f>
        <v>20347904.228598095</v>
      </c>
      <c r="O14" s="5">
        <f>Assumptions!P122*Assumptions!P9</f>
        <v>22528521.298429523</v>
      </c>
      <c r="P14" s="5">
        <f>Assumptions!Q122*Assumptions!Q9</f>
        <v>24795237.133686885</v>
      </c>
      <c r="Q14" s="5">
        <f>Assumptions!R122*Assumptions!R9</f>
        <v>27150784.661387146</v>
      </c>
      <c r="R14" s="5">
        <f>Assumptions!S122*Assumptions!S9</f>
        <v>29597975.385533504</v>
      </c>
      <c r="S14" s="5">
        <f>Assumptions!T122*Assumptions!T9</f>
        <v>32139701.521766189</v>
      </c>
      <c r="T14" s="5">
        <f>Assumptions!U122*Assumptions!U9</f>
        <v>34778938.187906519</v>
      </c>
      <c r="U14" s="5">
        <f>Assumptions!V122*Assumptions!V9</f>
        <v>37518745.651820488</v>
      </c>
      <c r="V14" s="5">
        <f>Assumptions!W122*Assumptions!W9</f>
        <v>40362271.638063729</v>
      </c>
      <c r="W14" s="5">
        <f>Assumptions!X122*Assumptions!X9</f>
        <v>43312753.694806181</v>
      </c>
      <c r="X14" s="5">
        <f>Assumptions!Y122*Assumptions!Y9</f>
        <v>46373521.622572482</v>
      </c>
      <c r="Y14" s="5">
        <f>Assumptions!Z122*Assumptions!Z9</f>
        <v>49547999.966372207</v>
      </c>
      <c r="Z14" s="5">
        <f>Assumptions!AA122*Assumptions!AA9</f>
        <v>52839710.572833814</v>
      </c>
      <c r="AA14" s="5">
        <f>Assumptions!AB122*Assumptions!AB9</f>
        <v>56252275.213995986</v>
      </c>
      <c r="AB14" s="5">
        <f>Assumptions!AC122*Assumptions!AC9</f>
        <v>59789418.279452063</v>
      </c>
      <c r="AC14" s="5">
        <f>Assumptions!AD122*Assumptions!AD9</f>
        <v>63454969.53858462</v>
      </c>
      <c r="AD14" s="5">
        <f>Assumptions!AE122*Assumptions!AE9</f>
        <v>67252866.974671766</v>
      </c>
      <c r="AE14" s="5">
        <f>Assumptions!AF122*Assumptions!AF9</f>
        <v>71187159.69269006</v>
      </c>
      <c r="AF14" s="5">
        <f>Assumptions!AG122*Assumptions!AG9</f>
        <v>75262010.902685404</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194</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11626612.279454878</v>
      </c>
      <c r="D27" s="2">
        <f t="shared" ref="D27:AF27" si="8">D12+D13+D14+D19+D20+D22+D24+D25</f>
        <v>13300050.602059759</v>
      </c>
      <c r="E27" s="2">
        <f t="shared" si="8"/>
        <v>15041772.133621693</v>
      </c>
      <c r="F27" s="2">
        <f t="shared" si="8"/>
        <v>16853978.987881295</v>
      </c>
      <c r="G27" s="2">
        <f t="shared" si="8"/>
        <v>18738937.3292052</v>
      </c>
      <c r="H27" s="2">
        <f t="shared" si="8"/>
        <v>20698979.130614448</v>
      </c>
      <c r="I27" s="2">
        <f t="shared" si="8"/>
        <v>22736503.978318531</v>
      </c>
      <c r="J27" s="2">
        <f t="shared" si="8"/>
        <v>24853980.923954848</v>
      </c>
      <c r="K27" s="2">
        <f t="shared" si="8"/>
        <v>27053950.385763235</v>
      </c>
      <c r="L27" s="2">
        <f t="shared" si="8"/>
        <v>29339026.099956892</v>
      </c>
      <c r="M27" s="2">
        <f t="shared" si="8"/>
        <v>31711897.12358246</v>
      </c>
      <c r="N27" s="2">
        <f t="shared" si="8"/>
        <v>34175329.890195101</v>
      </c>
      <c r="O27" s="2">
        <f t="shared" si="8"/>
        <v>36732170.319707677</v>
      </c>
      <c r="P27" s="2">
        <f t="shared" si="8"/>
        <v>39385345.983807832</v>
      </c>
      <c r="Q27" s="2">
        <f t="shared" si="8"/>
        <v>42137868.328371607</v>
      </c>
      <c r="R27" s="2">
        <f t="shared" si="8"/>
        <v>44992834.954338595</v>
      </c>
      <c r="S27" s="2">
        <f t="shared" si="8"/>
        <v>47953431.958550803</v>
      </c>
      <c r="T27" s="2">
        <f t="shared" si="8"/>
        <v>51022936.336094767</v>
      </c>
      <c r="U27" s="2">
        <f t="shared" si="8"/>
        <v>54204718.445725977</v>
      </c>
      <c r="V27" s="2">
        <f t="shared" si="8"/>
        <v>57502244.539994135</v>
      </c>
      <c r="W27" s="2">
        <f t="shared" si="8"/>
        <v>60919079.361728668</v>
      </c>
      <c r="X27" s="2">
        <f t="shared" si="8"/>
        <v>64458888.808586024</v>
      </c>
      <c r="Y27" s="2">
        <f t="shared" si="8"/>
        <v>68125442.667402714</v>
      </c>
      <c r="Z27" s="2">
        <f t="shared" si="8"/>
        <v>71922617.420142636</v>
      </c>
      <c r="AA27" s="2">
        <f t="shared" si="8"/>
        <v>75854399.123271495</v>
      </c>
      <c r="AB27" s="2">
        <f t="shared" si="8"/>
        <v>79924886.362438515</v>
      </c>
      <c r="AC27" s="2">
        <f t="shared" si="8"/>
        <v>84138293.284391448</v>
      </c>
      <c r="AD27" s="2">
        <f t="shared" si="8"/>
        <v>88498952.708100945</v>
      </c>
      <c r="AE27" s="2">
        <f t="shared" si="8"/>
        <v>93011319.317118645</v>
      </c>
      <c r="AF27" s="2">
        <f t="shared" si="8"/>
        <v>97679972.935245842</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3W2DU3RAJ5R2-1900874439-792</_dlc_DocId>
    <_dlc_DocIdUrl xmlns="f54e2983-00ce-40fc-8108-18f351fc47bf">
      <Url>https://dia.cohesion.net.nz/Sites/LGV/TWRP/CAE/_layouts/15/DocIdRedir.aspx?ID=3W2DU3RAJ5R2-1900874439-792</Url>
      <Description>3W2DU3RAJ5R2-1900874439-792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4312F71-FBDE-45F6-AD4E-FFFF8167EFAF}"/>
</file>

<file path=customXml/itemProps2.xml><?xml version="1.0" encoding="utf-8"?>
<ds:datastoreItem xmlns:ds="http://schemas.openxmlformats.org/officeDocument/2006/customXml" ds:itemID="{CBCC2D2A-763C-48F8-A3E5-6B0A81386C39}">
  <ds:schemaRefs>
    <ds:schemaRef ds:uri="http://schemas.microsoft.com/office/2006/documentManagement/types"/>
    <ds:schemaRef ds:uri="http://www.w3.org/XML/1998/namespace"/>
    <ds:schemaRef ds:uri="08a23fc5-e034-477c-ac83-93bc1440f322"/>
    <ds:schemaRef ds:uri="http://purl.org/dc/terms/"/>
    <ds:schemaRef ds:uri="65b6d800-2dda-48d6-88d8-9e2b35e6f7ea"/>
    <ds:schemaRef ds:uri="http://purl.org/dc/elements/1.1/"/>
    <ds:schemaRef ds:uri="http://purl.org/dc/dcmitype/"/>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4.xml><?xml version="1.0" encoding="utf-8"?>
<ds:datastoreItem xmlns:ds="http://schemas.openxmlformats.org/officeDocument/2006/customXml" ds:itemID="{9BF8A72A-CB94-4E79-A8DE-95E5ADEB6A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2021-07-06T14:26:32Z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c6e18a28-02d3-4ecf-b2da-334c0ba37ee0</vt:lpwstr>
  </property>
</Properties>
</file>