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4" documentId="8_{D286B5F4-37BA-4B6F-845A-E48261878CF9}" xr6:coauthVersionLast="47" xr6:coauthVersionMax="47" xr10:uidLastSave="{E39252AE-0763-4DC4-A74E-09B4CF11CBE4}"/>
  <bookViews>
    <workbookView xWindow="380" yWindow="380" windowWidth="36330" windowHeight="708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"DtR_Solver"</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c r="A9" i="19"/>
  <c r="B40" i="21"/>
  <c r="B27" i="21"/>
  <c r="A21" i="21"/>
  <c r="A34" i="21" s="1"/>
  <c r="B8" i="21"/>
  <c r="B21" i="21" s="1"/>
  <c r="B34" i="21" s="1"/>
  <c r="C83" i="2"/>
  <c r="C87" i="2"/>
  <c r="C58" i="2"/>
  <c r="C106" i="2"/>
  <c r="C63" i="2"/>
  <c r="C107" i="2"/>
  <c r="D11" i="2"/>
  <c r="C40" i="2"/>
  <c r="C41" i="2"/>
  <c r="C39" i="2"/>
  <c r="C36" i="2"/>
  <c r="C37" i="2"/>
  <c r="C35" i="2"/>
  <c r="F9" i="2"/>
  <c r="E9" i="2"/>
  <c r="D9" i="2"/>
  <c r="G11" i="2"/>
  <c r="V9" i="2"/>
  <c r="E11" i="2"/>
  <c r="F11" i="2"/>
  <c r="E9" i="9" s="1"/>
  <c r="H11" i="2"/>
  <c r="I11" i="2"/>
  <c r="C5" i="3"/>
  <c r="D3" i="3"/>
  <c r="E3" i="3"/>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c r="I3" i="6" s="1"/>
  <c r="J3" i="6" s="1"/>
  <c r="K3" i="6" s="1"/>
  <c r="L3" i="6" s="1"/>
  <c r="M3" i="6" s="1"/>
  <c r="N3" i="6" s="1"/>
  <c r="O3" i="6" s="1"/>
  <c r="P3" i="6"/>
  <c r="Q3" i="6" s="1"/>
  <c r="R3" i="6" s="1"/>
  <c r="S3" i="6" s="1"/>
  <c r="T3" i="6" s="1"/>
  <c r="U3" i="6" s="1"/>
  <c r="V3" i="6" s="1"/>
  <c r="W3" i="6" s="1"/>
  <c r="X3" i="6" s="1"/>
  <c r="Y3" i="6" s="1"/>
  <c r="Z3" i="6" s="1"/>
  <c r="AA3" i="6" s="1"/>
  <c r="AB3" i="6" s="1"/>
  <c r="AC3" i="6" s="1"/>
  <c r="AD3" i="6" s="1"/>
  <c r="AE3" i="6" s="1"/>
  <c r="AF3" i="6" s="1"/>
  <c r="D3" i="4"/>
  <c r="E3" i="4"/>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c r="E15" i="9"/>
  <c r="F15" i="9"/>
  <c r="C15" i="9"/>
  <c r="D3" i="8"/>
  <c r="E3" i="8"/>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c r="K3" i="7" s="1"/>
  <c r="L3" i="7" s="1"/>
  <c r="M3" i="7" s="1"/>
  <c r="N3" i="7" s="1"/>
  <c r="O3" i="7" s="1"/>
  <c r="P3" i="7" s="1"/>
  <c r="Q3" i="7" s="1"/>
  <c r="R3" i="7"/>
  <c r="S3" i="7" s="1"/>
  <c r="T3" i="7" s="1"/>
  <c r="U3" i="7" s="1"/>
  <c r="V3" i="7" s="1"/>
  <c r="W3" i="7" s="1"/>
  <c r="X3" i="7" s="1"/>
  <c r="Y3" i="7" s="1"/>
  <c r="Z3" i="7" s="1"/>
  <c r="AA3" i="7" s="1"/>
  <c r="AB3" i="7" s="1"/>
  <c r="AC3" i="7" s="1"/>
  <c r="AD3" i="7" s="1"/>
  <c r="AE3" i="7" s="1"/>
  <c r="AF3" i="7" s="1"/>
  <c r="AG3" i="7" s="1"/>
  <c r="AH3" i="7" s="1"/>
  <c r="D16" i="8"/>
  <c r="E16" i="8"/>
  <c r="F16" i="8"/>
  <c r="C16" i="8"/>
  <c r="D3" i="9"/>
  <c r="E3" i="9"/>
  <c r="F3" i="9" s="1"/>
  <c r="G3" i="9" s="1"/>
  <c r="H3" i="9" s="1"/>
  <c r="I3" i="9" s="1"/>
  <c r="J3" i="9" s="1"/>
  <c r="K3" i="9" s="1"/>
  <c r="L3" i="9" s="1"/>
  <c r="M3" i="9"/>
  <c r="N3" i="9" s="1"/>
  <c r="O3" i="9" s="1"/>
  <c r="P3" i="9" s="1"/>
  <c r="Q3" i="9" s="1"/>
  <c r="R3" i="9" s="1"/>
  <c r="S3" i="9" s="1"/>
  <c r="T3" i="9" s="1"/>
  <c r="U3" i="9"/>
  <c r="V3" i="9" s="1"/>
  <c r="W3" i="9" s="1"/>
  <c r="X3" i="9" s="1"/>
  <c r="Y3" i="9" s="1"/>
  <c r="Z3" i="9" s="1"/>
  <c r="AA3" i="9" s="1"/>
  <c r="AB3" i="9" s="1"/>
  <c r="AC3" i="9" s="1"/>
  <c r="AD3" i="9" s="1"/>
  <c r="AE3" i="9" s="1"/>
  <c r="AF3" i="9" s="1"/>
  <c r="D45" i="2"/>
  <c r="C16" i="9"/>
  <c r="L11" i="2"/>
  <c r="K9" i="9"/>
  <c r="M11" i="2"/>
  <c r="L9" i="9"/>
  <c r="N11" i="2"/>
  <c r="M9" i="9"/>
  <c r="O11" i="2"/>
  <c r="N9" i="9"/>
  <c r="P11" i="2"/>
  <c r="O9" i="9"/>
  <c r="Q11" i="2"/>
  <c r="P9" i="9"/>
  <c r="R11" i="2"/>
  <c r="Q9" i="9"/>
  <c r="S11" i="2"/>
  <c r="R9" i="9"/>
  <c r="T11" i="2"/>
  <c r="S9" i="9"/>
  <c r="U11" i="2"/>
  <c r="T9" i="9"/>
  <c r="V11" i="2"/>
  <c r="U9" i="9"/>
  <c r="W11" i="2"/>
  <c r="V9" i="9"/>
  <c r="X11" i="2"/>
  <c r="W9" i="9"/>
  <c r="Y11" i="2"/>
  <c r="X9" i="9"/>
  <c r="Z11" i="2"/>
  <c r="Y9" i="9"/>
  <c r="AA11" i="2"/>
  <c r="Z9" i="9"/>
  <c r="AB11" i="2"/>
  <c r="AA9" i="9"/>
  <c r="AC11" i="2"/>
  <c r="AB9" i="9"/>
  <c r="AD11" i="2"/>
  <c r="AC9" i="9"/>
  <c r="AE11" i="2"/>
  <c r="AD9" i="9"/>
  <c r="AF11" i="2"/>
  <c r="AE9" i="9"/>
  <c r="AG11" i="2"/>
  <c r="AF9" i="9"/>
  <c r="D9" i="9"/>
  <c r="F9" i="9"/>
  <c r="G9" i="9"/>
  <c r="H9" i="9"/>
  <c r="J11" i="2"/>
  <c r="I9" i="9" s="1"/>
  <c r="K11" i="2"/>
  <c r="J9" i="9" s="1"/>
  <c r="C9" i="9"/>
  <c r="E4" i="2"/>
  <c r="F4" i="2" s="1"/>
  <c r="G4" i="2"/>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F45" i="2" s="1"/>
  <c r="C17" i="8"/>
  <c r="D17" i="8"/>
  <c r="G45" i="2"/>
  <c r="AG9" i="2"/>
  <c r="AF9" i="2"/>
  <c r="AE9" i="2"/>
  <c r="AD9" i="2"/>
  <c r="AC9" i="2"/>
  <c r="AB9" i="2"/>
  <c r="AA9" i="2"/>
  <c r="Z9" i="2"/>
  <c r="Y9" i="2"/>
  <c r="X9" i="2"/>
  <c r="W9" i="2"/>
  <c r="U9" i="2"/>
  <c r="T9" i="2"/>
  <c r="S9" i="2"/>
  <c r="R9" i="2"/>
  <c r="Q9" i="2"/>
  <c r="P9" i="2"/>
  <c r="O9" i="2"/>
  <c r="N9" i="2"/>
  <c r="M9" i="2"/>
  <c r="L9" i="2"/>
  <c r="K9" i="2"/>
  <c r="J9" i="2"/>
  <c r="I9" i="2"/>
  <c r="H9" i="2"/>
  <c r="G9" i="2"/>
  <c r="B11" i="5"/>
  <c r="C22" i="6" s="1"/>
  <c r="C22" i="8"/>
  <c r="D22" i="8"/>
  <c r="H44" i="2"/>
  <c r="H43" i="2"/>
  <c r="G16" i="8" s="1"/>
  <c r="I44" i="2"/>
  <c r="G15" i="9"/>
  <c r="C71" i="2"/>
  <c r="C129" i="2" l="1"/>
  <c r="C135" i="2" s="1"/>
  <c r="H15" i="9"/>
  <c r="J44" i="2"/>
  <c r="C66" i="2"/>
  <c r="C17" i="2"/>
  <c r="C82" i="2"/>
  <c r="I43" i="2"/>
  <c r="H45" i="2"/>
  <c r="F17" i="8"/>
  <c r="F22" i="8" s="1"/>
  <c r="F16" i="9"/>
  <c r="B7" i="21"/>
  <c r="C67" i="2"/>
  <c r="C72" i="2"/>
  <c r="C73" i="2" s="1"/>
  <c r="E17" i="8"/>
  <c r="E22" i="8" s="1"/>
  <c r="E16" i="9"/>
  <c r="C90" i="2"/>
  <c r="C95" i="2" s="1"/>
  <c r="D16" i="9"/>
  <c r="K44" i="2" l="1"/>
  <c r="I15" i="9"/>
  <c r="C89" i="2"/>
  <c r="C94" i="2" s="1"/>
  <c r="B6" i="5"/>
  <c r="C6" i="6"/>
  <c r="C18" i="2"/>
  <c r="C7" i="6" s="1"/>
  <c r="H16" i="8"/>
  <c r="J43" i="2"/>
  <c r="B10" i="21"/>
  <c r="B12" i="21" s="1"/>
  <c r="B16" i="21" s="1"/>
  <c r="I45" i="2"/>
  <c r="G17" i="8"/>
  <c r="G22" i="8" s="1"/>
  <c r="G16" i="9"/>
  <c r="F13" i="2"/>
  <c r="E12" i="8" s="1"/>
  <c r="O13" i="2"/>
  <c r="N12" i="8" s="1"/>
  <c r="AG13" i="2"/>
  <c r="AF12" i="8" s="1"/>
  <c r="P13" i="2"/>
  <c r="O12" i="8" s="1"/>
  <c r="Y13" i="2"/>
  <c r="X12" i="8" s="1"/>
  <c r="I13" i="2"/>
  <c r="H12" i="8" s="1"/>
  <c r="M13" i="2"/>
  <c r="L12" i="8" s="1"/>
  <c r="G13" i="2"/>
  <c r="F12" i="8" s="1"/>
  <c r="AB13" i="2"/>
  <c r="AA12" i="8" s="1"/>
  <c r="AC13" i="2"/>
  <c r="AB12" i="8" s="1"/>
  <c r="N13" i="2"/>
  <c r="M12" i="8" s="1"/>
  <c r="X13" i="2"/>
  <c r="W12" i="8" s="1"/>
  <c r="H13" i="2"/>
  <c r="G12" i="8" s="1"/>
  <c r="J13" i="2"/>
  <c r="I12" i="8" s="1"/>
  <c r="S13" i="2"/>
  <c r="R12" i="8" s="1"/>
  <c r="AA13" i="2"/>
  <c r="Z12" i="8" s="1"/>
  <c r="W13" i="2"/>
  <c r="V12" i="8" s="1"/>
  <c r="L13" i="2"/>
  <c r="K12" i="8" s="1"/>
  <c r="AD13" i="2"/>
  <c r="AC12" i="8" s="1"/>
  <c r="AF13" i="2"/>
  <c r="AE12" i="8" s="1"/>
  <c r="Z13" i="2"/>
  <c r="Y12" i="8" s="1"/>
  <c r="Q13" i="2"/>
  <c r="P12" i="8" s="1"/>
  <c r="T13" i="2"/>
  <c r="S12" i="8" s="1"/>
  <c r="R13" i="2"/>
  <c r="Q12" i="8" s="1"/>
  <c r="K13" i="2"/>
  <c r="J12" i="8" s="1"/>
  <c r="D13" i="2"/>
  <c r="C12" i="8" s="1"/>
  <c r="E13" i="2"/>
  <c r="D12" i="8" s="1"/>
  <c r="V13" i="2"/>
  <c r="U12" i="8" s="1"/>
  <c r="C5" i="8"/>
  <c r="AE13" i="2"/>
  <c r="AD12" i="8" s="1"/>
  <c r="U13" i="2"/>
  <c r="T12" i="8" s="1"/>
  <c r="C75" i="2"/>
  <c r="C68" i="2"/>
  <c r="Y135" i="2" l="1"/>
  <c r="AD135" i="2"/>
  <c r="P135" i="2"/>
  <c r="AE135" i="2"/>
  <c r="V135" i="2"/>
  <c r="S135" i="2"/>
  <c r="H135" i="2"/>
  <c r="E135" i="2"/>
  <c r="F135" i="2"/>
  <c r="E19" i="8"/>
  <c r="E20" i="8"/>
  <c r="R135" i="2"/>
  <c r="Q135" i="2"/>
  <c r="D135" i="2"/>
  <c r="AB135" i="2"/>
  <c r="C96" i="2"/>
  <c r="C102" i="2" s="1"/>
  <c r="J15" i="9"/>
  <c r="L44" i="2"/>
  <c r="F19" i="8"/>
  <c r="F20" i="8"/>
  <c r="AF135" i="2"/>
  <c r="N135" i="2"/>
  <c r="G135" i="2"/>
  <c r="AB111" i="2"/>
  <c r="K111" i="2"/>
  <c r="I111" i="2"/>
  <c r="AC111" i="2"/>
  <c r="G111" i="2"/>
  <c r="X111" i="2"/>
  <c r="E111" i="2"/>
  <c r="J111" i="2"/>
  <c r="W111" i="2"/>
  <c r="D111" i="2"/>
  <c r="T111" i="2"/>
  <c r="R111" i="2"/>
  <c r="AG111" i="2"/>
  <c r="Z111" i="2"/>
  <c r="V111" i="2"/>
  <c r="U111" i="2"/>
  <c r="O111" i="2"/>
  <c r="AD111" i="2"/>
  <c r="M111" i="2"/>
  <c r="F111" i="2"/>
  <c r="P111" i="2"/>
  <c r="Y111" i="2"/>
  <c r="AE111" i="2"/>
  <c r="S111" i="2"/>
  <c r="AA111" i="2"/>
  <c r="AF111" i="2"/>
  <c r="H111" i="2"/>
  <c r="Q111" i="2"/>
  <c r="N111" i="2"/>
  <c r="L111" i="2"/>
  <c r="D5" i="8"/>
  <c r="E6" i="7"/>
  <c r="AC135" i="2"/>
  <c r="Z135" i="2"/>
  <c r="O135" i="2"/>
  <c r="U135" i="2"/>
  <c r="H19" i="8"/>
  <c r="J45" i="2"/>
  <c r="H17" i="8"/>
  <c r="H22" i="8" s="1"/>
  <c r="H16" i="9"/>
  <c r="W135" i="2"/>
  <c r="J135" i="2"/>
  <c r="I16" i="8"/>
  <c r="I19" i="8" s="1"/>
  <c r="K43" i="2"/>
  <c r="D19" i="8"/>
  <c r="D20" i="8"/>
  <c r="G19" i="8"/>
  <c r="G20" i="8"/>
  <c r="T135" i="2"/>
  <c r="AA135" i="2"/>
  <c r="L135" i="2"/>
  <c r="I135" i="2"/>
  <c r="C19" i="8"/>
  <c r="C20" i="8"/>
  <c r="M135" i="2"/>
  <c r="B23" i="21" s="1"/>
  <c r="AG135" i="2"/>
  <c r="B36" i="21" s="1"/>
  <c r="K135" i="2"/>
  <c r="X135" i="2"/>
  <c r="AF5" i="9" l="1"/>
  <c r="AF11" i="9" s="1"/>
  <c r="AF8" i="6"/>
  <c r="H20" i="8"/>
  <c r="K5" i="9"/>
  <c r="K11" i="9" s="1"/>
  <c r="K8" i="6"/>
  <c r="X5" i="9"/>
  <c r="X11" i="9" s="1"/>
  <c r="X8" i="6"/>
  <c r="Y8" i="6"/>
  <c r="Y5" i="9"/>
  <c r="Y11" i="9" s="1"/>
  <c r="W8" i="6"/>
  <c r="W5" i="9"/>
  <c r="W11" i="9" s="1"/>
  <c r="K15" i="9"/>
  <c r="M44" i="2"/>
  <c r="P5" i="9"/>
  <c r="P11" i="9" s="1"/>
  <c r="P8" i="6"/>
  <c r="E8" i="6"/>
  <c r="E5" i="9"/>
  <c r="E11" i="9" s="1"/>
  <c r="Q5" i="9"/>
  <c r="Q11" i="9" s="1"/>
  <c r="Q8" i="6"/>
  <c r="AB5" i="9"/>
  <c r="AB11" i="9" s="1"/>
  <c r="AB8" i="6"/>
  <c r="D113" i="2"/>
  <c r="T113" i="2"/>
  <c r="O113" i="2"/>
  <c r="AG113" i="2"/>
  <c r="F113" i="2"/>
  <c r="W113" i="2"/>
  <c r="J113" i="2"/>
  <c r="N113" i="2"/>
  <c r="AE113" i="2"/>
  <c r="R113" i="2"/>
  <c r="E113" i="2"/>
  <c r="V113" i="2"/>
  <c r="H113" i="2"/>
  <c r="Z113" i="2"/>
  <c r="M113" i="2"/>
  <c r="AD113" i="2"/>
  <c r="P113" i="2"/>
  <c r="K113" i="2"/>
  <c r="U113" i="2"/>
  <c r="Q113" i="2"/>
  <c r="X113" i="2"/>
  <c r="S113" i="2"/>
  <c r="AC113" i="2"/>
  <c r="AB113" i="2"/>
  <c r="AF113" i="2"/>
  <c r="AA113" i="2"/>
  <c r="I113" i="2"/>
  <c r="L113" i="2"/>
  <c r="Y113" i="2"/>
  <c r="G113" i="2"/>
  <c r="M5" i="9"/>
  <c r="M11" i="9" s="1"/>
  <c r="M8" i="6"/>
  <c r="G5" i="9"/>
  <c r="G11" i="9" s="1"/>
  <c r="G8" i="6"/>
  <c r="L8" i="6"/>
  <c r="L5" i="9"/>
  <c r="L11" i="9" s="1"/>
  <c r="S5" i="9"/>
  <c r="S11" i="9" s="1"/>
  <c r="S8" i="6"/>
  <c r="H5" i="9"/>
  <c r="H11" i="9" s="1"/>
  <c r="H8" i="6"/>
  <c r="L43" i="2"/>
  <c r="J16" i="8"/>
  <c r="J19" i="8" s="1"/>
  <c r="E5" i="8"/>
  <c r="AE8" i="6"/>
  <c r="AE5" i="9"/>
  <c r="AE11" i="9" s="1"/>
  <c r="AC5" i="9"/>
  <c r="AC11" i="9" s="1"/>
  <c r="AC8" i="6"/>
  <c r="C8" i="6"/>
  <c r="C5" i="9"/>
  <c r="C11" i="9" s="1"/>
  <c r="J5" i="9"/>
  <c r="J11" i="9" s="1"/>
  <c r="J8" i="6"/>
  <c r="O8" i="6"/>
  <c r="O5" i="9"/>
  <c r="O11" i="9" s="1"/>
  <c r="K45" i="2"/>
  <c r="I17" i="8"/>
  <c r="I16" i="9"/>
  <c r="Z5" i="9"/>
  <c r="Z11" i="9" s="1"/>
  <c r="Z8" i="6"/>
  <c r="N8" i="6"/>
  <c r="N5" i="9"/>
  <c r="N11" i="9" s="1"/>
  <c r="V5" i="9"/>
  <c r="V11" i="9" s="1"/>
  <c r="V8" i="6"/>
  <c r="AA8" i="6"/>
  <c r="AA5" i="9"/>
  <c r="AA11" i="9" s="1"/>
  <c r="F8" i="6"/>
  <c r="F5" i="9"/>
  <c r="F11" i="9" s="1"/>
  <c r="R5" i="9"/>
  <c r="R11" i="9" s="1"/>
  <c r="R8" i="6"/>
  <c r="T8" i="6"/>
  <c r="T5" i="9"/>
  <c r="T11" i="9" s="1"/>
  <c r="I5" i="9"/>
  <c r="I11" i="9" s="1"/>
  <c r="I8" i="6"/>
  <c r="AD8" i="6"/>
  <c r="AD5" i="9"/>
  <c r="AD11" i="9" s="1"/>
  <c r="U5" i="9"/>
  <c r="U11" i="9" s="1"/>
  <c r="U8" i="6"/>
  <c r="D8" i="6"/>
  <c r="D5" i="9"/>
  <c r="D11" i="9" s="1"/>
  <c r="I18" i="9" l="1"/>
  <c r="D18" i="9"/>
  <c r="F18" i="9"/>
  <c r="I22" i="8"/>
  <c r="I20" i="8"/>
  <c r="C18" i="9"/>
  <c r="F5" i="8"/>
  <c r="G18" i="9"/>
  <c r="Z6" i="9"/>
  <c r="Z12" i="9" s="1"/>
  <c r="K116" i="2"/>
  <c r="K115" i="2"/>
  <c r="K118" i="2" s="1"/>
  <c r="J6" i="9"/>
  <c r="J12" i="9" s="1"/>
  <c r="Q6" i="9"/>
  <c r="Q12" i="9" s="1"/>
  <c r="S6" i="9"/>
  <c r="S12" i="9" s="1"/>
  <c r="AE6" i="9"/>
  <c r="AE12" i="9" s="1"/>
  <c r="H18" i="9"/>
  <c r="AA6" i="9"/>
  <c r="AA12" i="9" s="1"/>
  <c r="AC6" i="9"/>
  <c r="AC12" i="9" s="1"/>
  <c r="M6" i="9"/>
  <c r="M12" i="9" s="1"/>
  <c r="L15" i="9"/>
  <c r="N44" i="2"/>
  <c r="N115" i="2" s="1"/>
  <c r="J16" i="9"/>
  <c r="L45" i="2"/>
  <c r="J17" i="8"/>
  <c r="C113" i="2"/>
  <c r="C114" i="2" s="1"/>
  <c r="C6" i="9"/>
  <c r="C12" i="9" s="1"/>
  <c r="D116" i="2"/>
  <c r="D115" i="2"/>
  <c r="D118" i="2" s="1"/>
  <c r="AB6" i="9"/>
  <c r="AB12" i="9" s="1"/>
  <c r="L6" i="9"/>
  <c r="L12" i="9" s="1"/>
  <c r="M115" i="2"/>
  <c r="J116" i="2"/>
  <c r="I6" i="9"/>
  <c r="I12" i="9" s="1"/>
  <c r="J115" i="2"/>
  <c r="O6" i="9"/>
  <c r="O12" i="9" s="1"/>
  <c r="G116" i="2"/>
  <c r="G115" i="2"/>
  <c r="F6" i="9"/>
  <c r="F12" i="9" s="1"/>
  <c r="R6" i="9"/>
  <c r="R12" i="9" s="1"/>
  <c r="Y6" i="9"/>
  <c r="Y12" i="9" s="1"/>
  <c r="V6" i="9"/>
  <c r="V12" i="9" s="1"/>
  <c r="K16" i="8"/>
  <c r="K19" i="8" s="1"/>
  <c r="M43" i="2"/>
  <c r="X6" i="9"/>
  <c r="X12" i="9" s="1"/>
  <c r="H116" i="2"/>
  <c r="H115" i="2"/>
  <c r="H118" i="2" s="1"/>
  <c r="G6" i="9"/>
  <c r="G12" i="9" s="1"/>
  <c r="W6" i="9"/>
  <c r="W12" i="9" s="1"/>
  <c r="F115" i="2"/>
  <c r="E6" i="9"/>
  <c r="E12" i="9" s="1"/>
  <c r="F116" i="2"/>
  <c r="F118" i="2" s="1"/>
  <c r="K6" i="9"/>
  <c r="K12" i="9" s="1"/>
  <c r="L115" i="2"/>
  <c r="L116" i="2"/>
  <c r="P6" i="9"/>
  <c r="P12" i="9" s="1"/>
  <c r="U6" i="9"/>
  <c r="U12" i="9" s="1"/>
  <c r="AF6" i="9"/>
  <c r="AF12" i="9" s="1"/>
  <c r="E18" i="9"/>
  <c r="AD6" i="9"/>
  <c r="AD12" i="9" s="1"/>
  <c r="J18" i="9"/>
  <c r="I116" i="2"/>
  <c r="I115" i="2"/>
  <c r="H6" i="9"/>
  <c r="H12" i="9" s="1"/>
  <c r="T6" i="9"/>
  <c r="T12" i="9" s="1"/>
  <c r="E115" i="2"/>
  <c r="D6" i="9"/>
  <c r="D12" i="9" s="1"/>
  <c r="E116" i="2"/>
  <c r="N6" i="9"/>
  <c r="N12" i="9" s="1"/>
  <c r="G118" i="2" l="1"/>
  <c r="J118" i="2"/>
  <c r="I118" i="2"/>
  <c r="K120" i="2" s="1"/>
  <c r="L118" i="2"/>
  <c r="E118" i="2"/>
  <c r="G5" i="8"/>
  <c r="K20" i="9"/>
  <c r="G20" i="9"/>
  <c r="G21" i="9"/>
  <c r="C21" i="9"/>
  <c r="C20" i="9"/>
  <c r="E20" i="9"/>
  <c r="E21" i="9"/>
  <c r="J21" i="9"/>
  <c r="J20" i="9"/>
  <c r="L16" i="8"/>
  <c r="L19" i="8" s="1"/>
  <c r="N43" i="2"/>
  <c r="D20" i="9"/>
  <c r="D21" i="9"/>
  <c r="F20" i="9"/>
  <c r="F21" i="9"/>
  <c r="M20" i="9"/>
  <c r="I21" i="9"/>
  <c r="I20" i="9"/>
  <c r="H21" i="9"/>
  <c r="H20" i="9"/>
  <c r="L20" i="9"/>
  <c r="J22" i="8"/>
  <c r="J20" i="8"/>
  <c r="G122" i="2"/>
  <c r="F14" i="8" s="1"/>
  <c r="D122" i="2"/>
  <c r="C14" i="8" s="1"/>
  <c r="F122" i="2"/>
  <c r="E14" i="8" s="1"/>
  <c r="E122" i="2"/>
  <c r="D14" i="8" s="1"/>
  <c r="I122" i="2"/>
  <c r="H14" i="8" s="1"/>
  <c r="G120" i="2"/>
  <c r="H122" i="2"/>
  <c r="G14" i="8" s="1"/>
  <c r="E120" i="2"/>
  <c r="D120" i="2"/>
  <c r="L120" i="2"/>
  <c r="H120" i="2"/>
  <c r="F120" i="2"/>
  <c r="M45" i="2"/>
  <c r="K17" i="8"/>
  <c r="K16" i="9"/>
  <c r="K18" i="9" s="1"/>
  <c r="M15" i="9"/>
  <c r="O44" i="2"/>
  <c r="J122" i="2" l="1"/>
  <c r="I14" i="8" s="1"/>
  <c r="L122" i="2"/>
  <c r="K14" i="8" s="1"/>
  <c r="J120" i="2"/>
  <c r="I7" i="9" s="1"/>
  <c r="I13" i="9" s="1"/>
  <c r="K122" i="2"/>
  <c r="J14" i="8" s="1"/>
  <c r="J25" i="8" s="1"/>
  <c r="I120" i="2"/>
  <c r="E9" i="6"/>
  <c r="E7" i="9"/>
  <c r="E13" i="9" s="1"/>
  <c r="D9" i="6"/>
  <c r="D7" i="9"/>
  <c r="D13" i="9" s="1"/>
  <c r="J9" i="6"/>
  <c r="J7" i="9"/>
  <c r="J13" i="9" s="1"/>
  <c r="C25" i="8"/>
  <c r="C24" i="8"/>
  <c r="C27" i="8"/>
  <c r="C6" i="8" s="1"/>
  <c r="O43" i="2"/>
  <c r="M16" i="8"/>
  <c r="M19" i="8" s="1"/>
  <c r="H24" i="8"/>
  <c r="H27" i="8" s="1"/>
  <c r="H6" i="8" s="1"/>
  <c r="H25" i="8"/>
  <c r="F25" i="8"/>
  <c r="F24" i="8"/>
  <c r="G7" i="9"/>
  <c r="G13" i="9" s="1"/>
  <c r="G9" i="6"/>
  <c r="K25" i="8"/>
  <c r="K24" i="8"/>
  <c r="N15" i="9"/>
  <c r="N20" i="9" s="1"/>
  <c r="P44" i="2"/>
  <c r="O115" i="2"/>
  <c r="J24" i="8"/>
  <c r="H7" i="9"/>
  <c r="H13" i="9" s="1"/>
  <c r="H9" i="6"/>
  <c r="K22" i="8"/>
  <c r="K20" i="8"/>
  <c r="K7" i="9"/>
  <c r="K13" i="9" s="1"/>
  <c r="K9" i="6"/>
  <c r="I24" i="8"/>
  <c r="I25" i="8"/>
  <c r="N45" i="2"/>
  <c r="L17" i="8"/>
  <c r="L16" i="9"/>
  <c r="M116" i="2"/>
  <c r="M118" i="2" s="1"/>
  <c r="I9" i="6"/>
  <c r="G24" i="8"/>
  <c r="G25" i="8"/>
  <c r="G27" i="8"/>
  <c r="G6" i="8" s="1"/>
  <c r="D25" i="8"/>
  <c r="D24" i="8"/>
  <c r="D27" i="8" s="1"/>
  <c r="D6" i="8" s="1"/>
  <c r="K21" i="9"/>
  <c r="H5" i="8"/>
  <c r="F9" i="6"/>
  <c r="F7" i="9"/>
  <c r="F13" i="9" s="1"/>
  <c r="C7" i="9"/>
  <c r="C13" i="9" s="1"/>
  <c r="C9" i="6"/>
  <c r="E24" i="8"/>
  <c r="E25" i="8"/>
  <c r="K27" i="8" l="1"/>
  <c r="K6" i="8" s="1"/>
  <c r="E27" i="8"/>
  <c r="E6" i="8" s="1"/>
  <c r="I27" i="8"/>
  <c r="I6" i="8" s="1"/>
  <c r="F27" i="8"/>
  <c r="F6" i="8" s="1"/>
  <c r="J27" i="8"/>
  <c r="J6" i="8" s="1"/>
  <c r="I5" i="8"/>
  <c r="G23" i="9"/>
  <c r="G25" i="9" s="1"/>
  <c r="J7" i="8"/>
  <c r="J6" i="4"/>
  <c r="D23" i="9"/>
  <c r="D25" i="9"/>
  <c r="L18" i="9"/>
  <c r="L21" i="9"/>
  <c r="D7" i="8"/>
  <c r="D6" i="4"/>
  <c r="C7" i="8"/>
  <c r="I10" i="6"/>
  <c r="K10" i="6"/>
  <c r="C10" i="6"/>
  <c r="F10" i="6"/>
  <c r="H10" i="6"/>
  <c r="G10" i="6"/>
  <c r="E10" i="6"/>
  <c r="C12" i="6"/>
  <c r="D10" i="6"/>
  <c r="C6" i="4"/>
  <c r="J10" i="6"/>
  <c r="L22" i="8"/>
  <c r="L20" i="8"/>
  <c r="K7" i="8"/>
  <c r="K6" i="4"/>
  <c r="E23" i="9"/>
  <c r="E25" i="9" s="1"/>
  <c r="P43" i="2"/>
  <c r="N16" i="8"/>
  <c r="N19" i="8" s="1"/>
  <c r="I7" i="8"/>
  <c r="I6" i="4"/>
  <c r="E6" i="4"/>
  <c r="E7" i="8"/>
  <c r="M120" i="2"/>
  <c r="M122" i="2"/>
  <c r="L14" i="8" s="1"/>
  <c r="O15" i="9"/>
  <c r="O20" i="9" s="1"/>
  <c r="Q44" i="2"/>
  <c r="P115" i="2"/>
  <c r="M17" i="8"/>
  <c r="M16" i="9"/>
  <c r="O45" i="2"/>
  <c r="N116" i="2"/>
  <c r="N118" i="2" s="1"/>
  <c r="N122" i="2" s="1"/>
  <c r="M14" i="8" s="1"/>
  <c r="F23" i="9"/>
  <c r="F25" i="9" s="1"/>
  <c r="I23" i="9"/>
  <c r="I25" i="9"/>
  <c r="C23" i="9"/>
  <c r="C25" i="9" s="1"/>
  <c r="K23" i="9"/>
  <c r="K25" i="9"/>
  <c r="F6" i="4"/>
  <c r="F7" i="8"/>
  <c r="H7" i="8"/>
  <c r="H6" i="4"/>
  <c r="H23" i="9"/>
  <c r="H25" i="9" s="1"/>
  <c r="G6" i="4"/>
  <c r="G7" i="8"/>
  <c r="J23" i="9"/>
  <c r="J25" i="9" s="1"/>
  <c r="J18" i="6" l="1"/>
  <c r="J10" i="4"/>
  <c r="M24" i="8"/>
  <c r="M25" i="8"/>
  <c r="G18" i="6"/>
  <c r="G10" i="4"/>
  <c r="H18" i="6"/>
  <c r="H10" i="4"/>
  <c r="E18" i="6"/>
  <c r="E10" i="4"/>
  <c r="K10" i="4"/>
  <c r="K18" i="6"/>
  <c r="I18" i="6"/>
  <c r="I10" i="4"/>
  <c r="M18" i="9"/>
  <c r="M21" i="9"/>
  <c r="D10" i="4"/>
  <c r="D18" i="6"/>
  <c r="M22" i="8"/>
  <c r="M20" i="8"/>
  <c r="L7" i="9"/>
  <c r="L13" i="9" s="1"/>
  <c r="L9" i="6"/>
  <c r="J5" i="8"/>
  <c r="F18" i="6"/>
  <c r="F10" i="4"/>
  <c r="P15" i="9"/>
  <c r="P20" i="9" s="1"/>
  <c r="R44" i="2"/>
  <c r="Q115" i="2"/>
  <c r="Q43" i="2"/>
  <c r="O16" i="8"/>
  <c r="O19" i="8" s="1"/>
  <c r="P45" i="2"/>
  <c r="N17" i="8"/>
  <c r="N16" i="9"/>
  <c r="O116" i="2"/>
  <c r="O118" i="2" s="1"/>
  <c r="O120" i="2" s="1"/>
  <c r="N120" i="2"/>
  <c r="C18" i="6"/>
  <c r="C10" i="4"/>
  <c r="L24" i="8"/>
  <c r="L25" i="8"/>
  <c r="D7" i="6"/>
  <c r="D12" i="6" s="1"/>
  <c r="B7" i="5"/>
  <c r="B8" i="5" s="1"/>
  <c r="L27" i="8" l="1"/>
  <c r="L6" i="8" s="1"/>
  <c r="M27" i="8"/>
  <c r="M6" i="8" s="1"/>
  <c r="B10" i="5"/>
  <c r="E8" i="7"/>
  <c r="L23" i="9"/>
  <c r="L25" i="9" s="1"/>
  <c r="O122" i="2"/>
  <c r="N14" i="8" s="1"/>
  <c r="N22" i="8"/>
  <c r="N20" i="8"/>
  <c r="Q15" i="9"/>
  <c r="Q20" i="9" s="1"/>
  <c r="S44" i="2"/>
  <c r="R115" i="2"/>
  <c r="N9" i="6"/>
  <c r="N7" i="9"/>
  <c r="N13" i="9" s="1"/>
  <c r="Q45" i="2"/>
  <c r="O17" i="8"/>
  <c r="O16" i="9"/>
  <c r="P116" i="2"/>
  <c r="P118" i="2" s="1"/>
  <c r="P120" i="2" s="1"/>
  <c r="R43" i="2"/>
  <c r="P16" i="8"/>
  <c r="P19" i="8" s="1"/>
  <c r="N18" i="9"/>
  <c r="N21" i="9"/>
  <c r="C19" i="6"/>
  <c r="C20" i="6" s="1"/>
  <c r="C23" i="6" s="1"/>
  <c r="K5" i="8"/>
  <c r="E7" i="6"/>
  <c r="E12" i="6" s="1"/>
  <c r="C7" i="5"/>
  <c r="M9" i="6"/>
  <c r="M7" i="9"/>
  <c r="M13" i="9" s="1"/>
  <c r="L7" i="8"/>
  <c r="L6" i="4"/>
  <c r="L10" i="6"/>
  <c r="M10" i="6"/>
  <c r="N10" i="6"/>
  <c r="L18" i="6" l="1"/>
  <c r="L10" i="4"/>
  <c r="L5" i="8"/>
  <c r="S43" i="2"/>
  <c r="Q16" i="8"/>
  <c r="Q19" i="8" s="1"/>
  <c r="F7" i="6"/>
  <c r="F12" i="6" s="1"/>
  <c r="D7" i="5"/>
  <c r="O9" i="6"/>
  <c r="O7" i="9"/>
  <c r="O13" i="9" s="1"/>
  <c r="N23" i="9"/>
  <c r="N25" i="9" s="1"/>
  <c r="O18" i="9"/>
  <c r="O21" i="9"/>
  <c r="N6" i="4"/>
  <c r="N7" i="8"/>
  <c r="N25" i="8"/>
  <c r="N24" i="8"/>
  <c r="D19" i="6"/>
  <c r="D20" i="6" s="1"/>
  <c r="P122" i="2"/>
  <c r="O14" i="8" s="1"/>
  <c r="O22" i="8"/>
  <c r="O20" i="8"/>
  <c r="R45" i="2"/>
  <c r="P17" i="8"/>
  <c r="P16" i="9"/>
  <c r="Q116" i="2"/>
  <c r="Q118" i="2" s="1"/>
  <c r="T44" i="2"/>
  <c r="R15" i="9"/>
  <c r="R20" i="9" s="1"/>
  <c r="S115" i="2"/>
  <c r="M23" i="9"/>
  <c r="M25" i="9"/>
  <c r="M7" i="8"/>
  <c r="M6" i="4"/>
  <c r="N27" i="8" l="1"/>
  <c r="N6" i="8" s="1"/>
  <c r="N10" i="4"/>
  <c r="N18" i="6"/>
  <c r="S45" i="2"/>
  <c r="Q17" i="8"/>
  <c r="Q16" i="9"/>
  <c r="R116" i="2"/>
  <c r="R118" i="2" s="1"/>
  <c r="G7" i="6"/>
  <c r="G12" i="6" s="1"/>
  <c r="E7" i="5"/>
  <c r="E19" i="6"/>
  <c r="E20" i="6" s="1"/>
  <c r="R16" i="8"/>
  <c r="R19" i="8" s="1"/>
  <c r="T43" i="2"/>
  <c r="S15" i="9"/>
  <c r="S20" i="9" s="1"/>
  <c r="U44" i="2"/>
  <c r="T115" i="2"/>
  <c r="M5" i="8"/>
  <c r="B20" i="21"/>
  <c r="B25" i="21" s="1"/>
  <c r="B29" i="21" s="1"/>
  <c r="P22" i="8"/>
  <c r="P20" i="8"/>
  <c r="M18" i="6"/>
  <c r="M10" i="4"/>
  <c r="Q120" i="2"/>
  <c r="O24" i="8"/>
  <c r="O25" i="8"/>
  <c r="O23" i="9"/>
  <c r="O25" i="9" s="1"/>
  <c r="P18" i="9"/>
  <c r="P21" i="9"/>
  <c r="Q122" i="2"/>
  <c r="P14" i="8" s="1"/>
  <c r="O6" i="4"/>
  <c r="O7" i="8"/>
  <c r="O10" i="6"/>
  <c r="O27" i="8" l="1"/>
  <c r="O6" i="8" s="1"/>
  <c r="P7" i="9"/>
  <c r="P13" i="9" s="1"/>
  <c r="P9" i="6"/>
  <c r="N5" i="8"/>
  <c r="T15" i="9"/>
  <c r="T20" i="9" s="1"/>
  <c r="V44" i="2"/>
  <c r="U115" i="2"/>
  <c r="F19" i="6"/>
  <c r="F20" i="6" s="1"/>
  <c r="R120" i="2"/>
  <c r="R122" i="2"/>
  <c r="Q14" i="8" s="1"/>
  <c r="O18" i="6"/>
  <c r="O10" i="4"/>
  <c r="Q22" i="8"/>
  <c r="Q20" i="8"/>
  <c r="Q18" i="9"/>
  <c r="Q21" i="9"/>
  <c r="P25" i="8"/>
  <c r="P24" i="8"/>
  <c r="F7" i="5"/>
  <c r="H7" i="6"/>
  <c r="H12" i="6" s="1"/>
  <c r="R16" i="9"/>
  <c r="T45" i="2"/>
  <c r="R17" i="8"/>
  <c r="S116" i="2"/>
  <c r="S118" i="2" s="1"/>
  <c r="S122" i="2" s="1"/>
  <c r="R14" i="8" s="1"/>
  <c r="S16" i="8"/>
  <c r="S19" i="8" s="1"/>
  <c r="U43" i="2"/>
  <c r="P27" i="8" l="1"/>
  <c r="P6" i="8" s="1"/>
  <c r="R25" i="8"/>
  <c r="R24" i="8"/>
  <c r="U15" i="9"/>
  <c r="U20" i="9" s="1"/>
  <c r="W44" i="2"/>
  <c r="V115" i="2"/>
  <c r="S120" i="2"/>
  <c r="G19" i="6"/>
  <c r="G20" i="6" s="1"/>
  <c r="U45" i="2"/>
  <c r="S17" i="8"/>
  <c r="S16" i="9"/>
  <c r="T116" i="2"/>
  <c r="T118" i="2" s="1"/>
  <c r="R18" i="9"/>
  <c r="R21" i="9"/>
  <c r="Q9" i="6"/>
  <c r="Q10" i="6" s="1"/>
  <c r="Q7" i="9"/>
  <c r="Q13" i="9" s="1"/>
  <c r="Q25" i="8"/>
  <c r="Q24" i="8"/>
  <c r="O5" i="8"/>
  <c r="T16" i="8"/>
  <c r="T19" i="8" s="1"/>
  <c r="V43" i="2"/>
  <c r="P7" i="8"/>
  <c r="P6" i="4"/>
  <c r="P10" i="6"/>
  <c r="R22" i="8"/>
  <c r="R20" i="8"/>
  <c r="G7" i="5"/>
  <c r="I7" i="6"/>
  <c r="I12" i="6" s="1"/>
  <c r="P23" i="9"/>
  <c r="P25" i="9" s="1"/>
  <c r="Q27" i="8" l="1"/>
  <c r="Q6" i="8" s="1"/>
  <c r="R27" i="8"/>
  <c r="R6" i="8" s="1"/>
  <c r="P18" i="6"/>
  <c r="P10" i="4"/>
  <c r="V45" i="2"/>
  <c r="T17" i="8"/>
  <c r="T16" i="9"/>
  <c r="U116" i="2"/>
  <c r="U118" i="2" s="1"/>
  <c r="R9" i="6"/>
  <c r="R7" i="9"/>
  <c r="R13" i="9" s="1"/>
  <c r="W43" i="2"/>
  <c r="U16" i="8"/>
  <c r="U19" i="8" s="1"/>
  <c r="P5" i="8"/>
  <c r="X44" i="2"/>
  <c r="V15" i="9"/>
  <c r="V20" i="9" s="1"/>
  <c r="W115" i="2"/>
  <c r="Q23" i="9"/>
  <c r="Q25" i="9" s="1"/>
  <c r="Q7" i="8"/>
  <c r="Q6" i="4"/>
  <c r="T120" i="2"/>
  <c r="T122" i="2"/>
  <c r="S14" i="8" s="1"/>
  <c r="S18" i="9"/>
  <c r="S21" i="9"/>
  <c r="H19" i="6"/>
  <c r="H20" i="6" s="1"/>
  <c r="H7" i="5"/>
  <c r="J7" i="6"/>
  <c r="J12" i="6" s="1"/>
  <c r="S22" i="8"/>
  <c r="S20" i="8"/>
  <c r="Q5" i="8" l="1"/>
  <c r="R6" i="4"/>
  <c r="R7" i="8"/>
  <c r="R10" i="6"/>
  <c r="T18" i="9"/>
  <c r="T21" i="9"/>
  <c r="Q18" i="6"/>
  <c r="Q10" i="4"/>
  <c r="U17" i="8"/>
  <c r="U16" i="9"/>
  <c r="W45" i="2"/>
  <c r="V116" i="2"/>
  <c r="V118" i="2" s="1"/>
  <c r="Y44" i="2"/>
  <c r="W15" i="9"/>
  <c r="W20" i="9" s="1"/>
  <c r="X115" i="2"/>
  <c r="I19" i="6"/>
  <c r="I20" i="6" s="1"/>
  <c r="I7" i="5"/>
  <c r="K7" i="6"/>
  <c r="K12" i="6" s="1"/>
  <c r="T22" i="8"/>
  <c r="T20" i="8"/>
  <c r="X43" i="2"/>
  <c r="V16" i="8"/>
  <c r="V19" i="8" s="1"/>
  <c r="S24" i="8"/>
  <c r="S25" i="8"/>
  <c r="S7" i="9"/>
  <c r="S13" i="9" s="1"/>
  <c r="S9" i="6"/>
  <c r="R23" i="9"/>
  <c r="R25" i="9"/>
  <c r="U122" i="2"/>
  <c r="T14" i="8" s="1"/>
  <c r="U120" i="2"/>
  <c r="S27" i="8" l="1"/>
  <c r="S6" i="8" s="1"/>
  <c r="U22" i="8"/>
  <c r="U20" i="8"/>
  <c r="U18" i="9"/>
  <c r="U21" i="9"/>
  <c r="R5" i="8"/>
  <c r="S23" i="9"/>
  <c r="S25" i="9"/>
  <c r="J7" i="5"/>
  <c r="L7" i="6"/>
  <c r="L12" i="6" s="1"/>
  <c r="R18" i="6"/>
  <c r="R10" i="4"/>
  <c r="Y43" i="2"/>
  <c r="W16" i="8"/>
  <c r="W19" i="8" s="1"/>
  <c r="X15" i="9"/>
  <c r="X20" i="9" s="1"/>
  <c r="Z44" i="2"/>
  <c r="Y115" i="2"/>
  <c r="T7" i="9"/>
  <c r="T13" i="9" s="1"/>
  <c r="T9" i="6"/>
  <c r="S7" i="8"/>
  <c r="S6" i="4"/>
  <c r="S10" i="6"/>
  <c r="J19" i="6"/>
  <c r="J20" i="6" s="1"/>
  <c r="V122" i="2"/>
  <c r="U14" i="8" s="1"/>
  <c r="V120" i="2"/>
  <c r="T25" i="8"/>
  <c r="T24" i="8"/>
  <c r="X45" i="2"/>
  <c r="V17" i="8"/>
  <c r="V16" i="9"/>
  <c r="W116" i="2"/>
  <c r="W118" i="2" s="1"/>
  <c r="T27" i="8" l="1"/>
  <c r="T6" i="8" s="1"/>
  <c r="U7" i="9"/>
  <c r="U13" i="9" s="1"/>
  <c r="U9" i="6"/>
  <c r="W122" i="2"/>
  <c r="V14" i="8" s="1"/>
  <c r="W120" i="2"/>
  <c r="V18" i="9"/>
  <c r="V21" i="9"/>
  <c r="V22" i="8"/>
  <c r="V20" i="8"/>
  <c r="Z43" i="2"/>
  <c r="X16" i="8"/>
  <c r="X19" i="8" s="1"/>
  <c r="S10" i="4"/>
  <c r="S18" i="6"/>
  <c r="Y45" i="2"/>
  <c r="W17" i="8"/>
  <c r="W16" i="9"/>
  <c r="X116" i="2"/>
  <c r="X118" i="2" s="1"/>
  <c r="Y15" i="9"/>
  <c r="Y20" i="9" s="1"/>
  <c r="AA44" i="2"/>
  <c r="Z115" i="2"/>
  <c r="U24" i="8"/>
  <c r="U25" i="8"/>
  <c r="K19" i="6"/>
  <c r="K20" i="6" s="1"/>
  <c r="T7" i="8"/>
  <c r="T6" i="4"/>
  <c r="T10" i="6"/>
  <c r="M7" i="6"/>
  <c r="M12" i="6" s="1"/>
  <c r="K7" i="5"/>
  <c r="T23" i="9"/>
  <c r="T25" i="9" s="1"/>
  <c r="S5" i="8"/>
  <c r="U27" i="8" l="1"/>
  <c r="U6" i="8" s="1"/>
  <c r="V7" i="9"/>
  <c r="V13" i="9" s="1"/>
  <c r="V9" i="6"/>
  <c r="T18" i="6"/>
  <c r="T10" i="4"/>
  <c r="X120" i="2"/>
  <c r="X122" i="2"/>
  <c r="W14" i="8" s="1"/>
  <c r="V24" i="8"/>
  <c r="V25" i="8"/>
  <c r="U6" i="4"/>
  <c r="U7" i="8"/>
  <c r="U10" i="6"/>
  <c r="W18" i="9"/>
  <c r="W21" i="9"/>
  <c r="AA43" i="2"/>
  <c r="Y16" i="8"/>
  <c r="Y19" i="8" s="1"/>
  <c r="U23" i="9"/>
  <c r="U25" i="9" s="1"/>
  <c r="AB44" i="2"/>
  <c r="Z15" i="9"/>
  <c r="Z20" i="9" s="1"/>
  <c r="AA115" i="2"/>
  <c r="W22" i="8"/>
  <c r="W20" i="8"/>
  <c r="T5" i="8"/>
  <c r="L19" i="6"/>
  <c r="L20" i="6" s="1"/>
  <c r="Z45" i="2"/>
  <c r="X17" i="8"/>
  <c r="X16" i="9"/>
  <c r="Y116" i="2"/>
  <c r="Y118" i="2" s="1"/>
  <c r="L7" i="5"/>
  <c r="N7" i="6"/>
  <c r="N12" i="6" s="1"/>
  <c r="V27" i="8" l="1"/>
  <c r="V6" i="8" s="1"/>
  <c r="AC44" i="2"/>
  <c r="AA15" i="9"/>
  <c r="AA20" i="9" s="1"/>
  <c r="AB115" i="2"/>
  <c r="Z16" i="8"/>
  <c r="Z19" i="8" s="1"/>
  <c r="AB43" i="2"/>
  <c r="Y122" i="2"/>
  <c r="X14" i="8" s="1"/>
  <c r="Y120" i="2"/>
  <c r="X18" i="9"/>
  <c r="X21" i="9"/>
  <c r="W24" i="8"/>
  <c r="W25" i="8"/>
  <c r="W27" i="8"/>
  <c r="W6" i="8" s="1"/>
  <c r="M7" i="5"/>
  <c r="O7" i="6"/>
  <c r="O12" i="6" s="1"/>
  <c r="U5" i="8"/>
  <c r="U18" i="6"/>
  <c r="U10" i="4"/>
  <c r="W9" i="6"/>
  <c r="W7" i="9"/>
  <c r="W13" i="9" s="1"/>
  <c r="AA45" i="2"/>
  <c r="Y17" i="8"/>
  <c r="Y16" i="9"/>
  <c r="Z116" i="2"/>
  <c r="Z118" i="2" s="1"/>
  <c r="V6" i="4"/>
  <c r="V7" i="8"/>
  <c r="V10" i="6"/>
  <c r="X22" i="8"/>
  <c r="X20" i="8"/>
  <c r="M19" i="6"/>
  <c r="M20" i="6" s="1"/>
  <c r="V23" i="9"/>
  <c r="V25" i="9"/>
  <c r="Z120" i="2" l="1"/>
  <c r="Z122" i="2"/>
  <c r="Y14" i="8" s="1"/>
  <c r="Y18" i="9"/>
  <c r="Y21" i="9"/>
  <c r="P7" i="6"/>
  <c r="P12" i="6" s="1"/>
  <c r="N7" i="5"/>
  <c r="AB15" i="9"/>
  <c r="AB20" i="9" s="1"/>
  <c r="AD44" i="2"/>
  <c r="AC115" i="2"/>
  <c r="V18" i="6"/>
  <c r="V10" i="4"/>
  <c r="Y22" i="8"/>
  <c r="Y20" i="8"/>
  <c r="W7" i="8"/>
  <c r="W6" i="4"/>
  <c r="W10" i="6"/>
  <c r="Z16" i="9"/>
  <c r="AB45" i="2"/>
  <c r="Z17" i="8"/>
  <c r="AA116" i="2"/>
  <c r="AA118" i="2" s="1"/>
  <c r="W23" i="9"/>
  <c r="W25" i="9"/>
  <c r="X7" i="9"/>
  <c r="X13" i="9" s="1"/>
  <c r="X9" i="6"/>
  <c r="AC43" i="2"/>
  <c r="AA16" i="8"/>
  <c r="AA19" i="8" s="1"/>
  <c r="N19" i="6"/>
  <c r="N20" i="6" s="1"/>
  <c r="V5" i="8"/>
  <c r="X25" i="8"/>
  <c r="X24" i="8"/>
  <c r="X27" i="8" s="1"/>
  <c r="X6" i="8" s="1"/>
  <c r="Z22" i="8" l="1"/>
  <c r="Z20" i="8"/>
  <c r="Y9" i="6"/>
  <c r="Y7" i="9"/>
  <c r="Y13" i="9" s="1"/>
  <c r="W18" i="6"/>
  <c r="W10" i="4"/>
  <c r="X23" i="9"/>
  <c r="X25" i="9" s="1"/>
  <c r="Z18" i="9"/>
  <c r="Z21" i="9"/>
  <c r="AC45" i="2"/>
  <c r="AA17" i="8"/>
  <c r="AA16" i="9"/>
  <c r="AB116" i="2"/>
  <c r="AB118" i="2" s="1"/>
  <c r="X6" i="4"/>
  <c r="X7" i="8"/>
  <c r="X10" i="6"/>
  <c r="Q7" i="6"/>
  <c r="Q12" i="6" s="1"/>
  <c r="O7" i="5"/>
  <c r="W5" i="8"/>
  <c r="AD43" i="2"/>
  <c r="AB16" i="8"/>
  <c r="AB19" i="8" s="1"/>
  <c r="AE44" i="2"/>
  <c r="AC15" i="9"/>
  <c r="AC20" i="9" s="1"/>
  <c r="AD115" i="2"/>
  <c r="O19" i="6"/>
  <c r="O20" i="6" s="1"/>
  <c r="AA120" i="2"/>
  <c r="AA122" i="2"/>
  <c r="Z14" i="8" s="1"/>
  <c r="Y24" i="8"/>
  <c r="Y25" i="8"/>
  <c r="Y27" i="8"/>
  <c r="Y6" i="8" s="1"/>
  <c r="X10" i="4" l="1"/>
  <c r="X18" i="6"/>
  <c r="P19" i="6"/>
  <c r="P20" i="6" s="1"/>
  <c r="AA18" i="9"/>
  <c r="AA21" i="9"/>
  <c r="AA22" i="8"/>
  <c r="AA20" i="8"/>
  <c r="AD45" i="2"/>
  <c r="AB16" i="9"/>
  <c r="AB17" i="8"/>
  <c r="AC116" i="2"/>
  <c r="AC118" i="2" s="1"/>
  <c r="X5" i="8"/>
  <c r="Z25" i="8"/>
  <c r="Z24" i="8"/>
  <c r="Z27" i="8" s="1"/>
  <c r="Z6" i="8" s="1"/>
  <c r="Z9" i="6"/>
  <c r="Z7" i="9"/>
  <c r="Z13" i="9" s="1"/>
  <c r="AD15" i="9"/>
  <c r="AD20" i="9" s="1"/>
  <c r="AF44" i="2"/>
  <c r="AE115" i="2"/>
  <c r="Y23" i="9"/>
  <c r="Y25" i="9" s="1"/>
  <c r="P7" i="5"/>
  <c r="R7" i="6"/>
  <c r="R12" i="6" s="1"/>
  <c r="Y6" i="4"/>
  <c r="Y7" i="8"/>
  <c r="Y10" i="6"/>
  <c r="AE43" i="2"/>
  <c r="AC16" i="8"/>
  <c r="AC19" i="8" s="1"/>
  <c r="AB122" i="2"/>
  <c r="AA14" i="8" s="1"/>
  <c r="AB120" i="2"/>
  <c r="Y10" i="4" l="1"/>
  <c r="Y18" i="6"/>
  <c r="AB22" i="8"/>
  <c r="AB20" i="8"/>
  <c r="AB18" i="9"/>
  <c r="AB21" i="9"/>
  <c r="AC17" i="8"/>
  <c r="AC16" i="9"/>
  <c r="AE45" i="2"/>
  <c r="AD116" i="2"/>
  <c r="AD118" i="2" s="1"/>
  <c r="AA25" i="8"/>
  <c r="AA24" i="8"/>
  <c r="AA27" i="8" s="1"/>
  <c r="AA6" i="8" s="1"/>
  <c r="AA7" i="9"/>
  <c r="AA13" i="9" s="1"/>
  <c r="AA9" i="6"/>
  <c r="Q19" i="6"/>
  <c r="Q20" i="6" s="1"/>
  <c r="AD16" i="8"/>
  <c r="AD19" i="8" s="1"/>
  <c r="AF43" i="2"/>
  <c r="Q7" i="5"/>
  <c r="S7" i="6"/>
  <c r="S12" i="6" s="1"/>
  <c r="Z6" i="4"/>
  <c r="Z7" i="8"/>
  <c r="Z10" i="6"/>
  <c r="Z23" i="9"/>
  <c r="Z25" i="9"/>
  <c r="AE15" i="9"/>
  <c r="AE20" i="9" s="1"/>
  <c r="AG44" i="2"/>
  <c r="AF115" i="2"/>
  <c r="Y5" i="8"/>
  <c r="AC122" i="2"/>
  <c r="AB14" i="8" s="1"/>
  <c r="AC120" i="2"/>
  <c r="Z5" i="8" l="1"/>
  <c r="AE16" i="8"/>
  <c r="AE19" i="8" s="1"/>
  <c r="AG43" i="2"/>
  <c r="AF16" i="8" s="1"/>
  <c r="AF19" i="8" s="1"/>
  <c r="AC18" i="9"/>
  <c r="AC21" i="9"/>
  <c r="AF15" i="9"/>
  <c r="AF20" i="9" s="1"/>
  <c r="AG115" i="2"/>
  <c r="AC22" i="8"/>
  <c r="AC20" i="8"/>
  <c r="R19" i="6"/>
  <c r="R20" i="6" s="1"/>
  <c r="Z18" i="6"/>
  <c r="Z10" i="4"/>
  <c r="AB9" i="6"/>
  <c r="AB7" i="9"/>
  <c r="AB13" i="9" s="1"/>
  <c r="T7" i="6"/>
  <c r="T12" i="6" s="1"/>
  <c r="R7" i="5"/>
  <c r="AA6" i="4"/>
  <c r="AA7" i="8"/>
  <c r="AA10" i="6"/>
  <c r="AD120" i="2"/>
  <c r="AD122" i="2"/>
  <c r="AC14" i="8" s="1"/>
  <c r="AB24" i="8"/>
  <c r="AB25" i="8"/>
  <c r="AB27" i="8"/>
  <c r="AB6" i="8" s="1"/>
  <c r="AA23" i="9"/>
  <c r="AA25" i="9" s="1"/>
  <c r="AF45" i="2"/>
  <c r="AD17" i="8"/>
  <c r="AD16" i="9"/>
  <c r="AE116" i="2"/>
  <c r="AE118" i="2" s="1"/>
  <c r="AA18" i="6" l="1"/>
  <c r="AA10" i="4"/>
  <c r="AC7" i="9"/>
  <c r="AC13" i="9" s="1"/>
  <c r="AC9" i="6"/>
  <c r="U7" i="6"/>
  <c r="U12" i="6" s="1"/>
  <c r="S7" i="5"/>
  <c r="AE120" i="2"/>
  <c r="AE122" i="2"/>
  <c r="AD14" i="8" s="1"/>
  <c r="AA5" i="8"/>
  <c r="AD22" i="8"/>
  <c r="AD20" i="8"/>
  <c r="AE17" i="8"/>
  <c r="AG45" i="2"/>
  <c r="AE16" i="9"/>
  <c r="AF116" i="2"/>
  <c r="AF118" i="2" s="1"/>
  <c r="AD18" i="9"/>
  <c r="AD21" i="9"/>
  <c r="AB23" i="9"/>
  <c r="AB25" i="9"/>
  <c r="S19" i="6"/>
  <c r="S20" i="6" s="1"/>
  <c r="AC24" i="8"/>
  <c r="AC25" i="8"/>
  <c r="AB7" i="8"/>
  <c r="AB6" i="4"/>
  <c r="AB10" i="6"/>
  <c r="AC27" i="8" l="1"/>
  <c r="AC6" i="8" s="1"/>
  <c r="AE22" i="8"/>
  <c r="AE20" i="8"/>
  <c r="AD24" i="8"/>
  <c r="AD25" i="8"/>
  <c r="AD7" i="9"/>
  <c r="AD13" i="9" s="1"/>
  <c r="AD9" i="6"/>
  <c r="AC6" i="4"/>
  <c r="AC7" i="8"/>
  <c r="AC10" i="6"/>
  <c r="T19" i="6"/>
  <c r="T20" i="6" s="1"/>
  <c r="AC23" i="9"/>
  <c r="AC25" i="9"/>
  <c r="AB10" i="4"/>
  <c r="AB18" i="6"/>
  <c r="AE18" i="9"/>
  <c r="AE21" i="9"/>
  <c r="AB5" i="8"/>
  <c r="V7" i="6"/>
  <c r="V12" i="6" s="1"/>
  <c r="T7" i="5"/>
  <c r="AF120" i="2"/>
  <c r="AF122" i="2"/>
  <c r="AE14" i="8" s="1"/>
  <c r="AF17" i="8"/>
  <c r="AF16" i="9"/>
  <c r="AG116" i="2"/>
  <c r="AG118" i="2" s="1"/>
  <c r="AD27" i="8" l="1"/>
  <c r="AD6" i="8" s="1"/>
  <c r="U19" i="6"/>
  <c r="U20" i="6" s="1"/>
  <c r="AD7" i="8"/>
  <c r="AD6" i="4"/>
  <c r="AD10" i="6"/>
  <c r="AC18" i="6"/>
  <c r="AC10" i="4"/>
  <c r="AE7" i="9"/>
  <c r="AE13" i="9" s="1"/>
  <c r="AE9" i="6"/>
  <c r="AD23" i="9"/>
  <c r="AD25" i="9" s="1"/>
  <c r="AG122" i="2"/>
  <c r="AF14" i="8" s="1"/>
  <c r="AG120" i="2"/>
  <c r="AE25" i="8"/>
  <c r="AE24" i="8"/>
  <c r="AE27" i="8" s="1"/>
  <c r="AE6" i="8" s="1"/>
  <c r="AC5" i="8"/>
  <c r="AF22" i="8"/>
  <c r="AF20" i="8"/>
  <c r="AF18" i="9"/>
  <c r="AF21" i="9"/>
  <c r="W7" i="6"/>
  <c r="W12" i="6" s="1"/>
  <c r="U7" i="5"/>
  <c r="AD18" i="6" l="1"/>
  <c r="AD10" i="4"/>
  <c r="AF25" i="8"/>
  <c r="AF24" i="8"/>
  <c r="AF27" i="8"/>
  <c r="AF6" i="8" s="1"/>
  <c r="AE23" i="9"/>
  <c r="AE25" i="9" s="1"/>
  <c r="V7" i="5"/>
  <c r="X7" i="6"/>
  <c r="X12" i="6" s="1"/>
  <c r="AD5" i="8"/>
  <c r="AF9" i="6"/>
  <c r="AF7" i="9"/>
  <c r="AF13" i="9" s="1"/>
  <c r="AE7" i="8"/>
  <c r="AE6" i="4"/>
  <c r="AE10" i="6"/>
  <c r="V19" i="6"/>
  <c r="V20" i="6" s="1"/>
  <c r="AE10" i="4" l="1"/>
  <c r="AE18" i="6"/>
  <c r="AE5" i="8"/>
  <c r="AF23" i="9"/>
  <c r="AF25" i="9" s="1"/>
  <c r="W19" i="6"/>
  <c r="W20" i="6" s="1"/>
  <c r="AF7" i="8"/>
  <c r="AF6" i="4"/>
  <c r="AF10" i="6"/>
  <c r="Y7" i="6"/>
  <c r="Y12" i="6" s="1"/>
  <c r="W7" i="5"/>
  <c r="AF10" i="4" l="1"/>
  <c r="AF18" i="6"/>
  <c r="Z7" i="6"/>
  <c r="Z12" i="6" s="1"/>
  <c r="X7" i="5"/>
  <c r="AF5" i="8"/>
  <c r="X19" i="6"/>
  <c r="X20" i="6" s="1"/>
  <c r="Y19" i="6" l="1"/>
  <c r="Y20" i="6" s="1"/>
  <c r="Y7" i="5"/>
  <c r="AA7" i="6"/>
  <c r="AA12" i="6" s="1"/>
  <c r="B33" i="21"/>
  <c r="B38" i="21" s="1"/>
  <c r="B42" i="21" s="1"/>
  <c r="Z19" i="6" l="1"/>
  <c r="Z20" i="6" s="1"/>
  <c r="Z7" i="5"/>
  <c r="AB7" i="6"/>
  <c r="AB12" i="6" s="1"/>
  <c r="AA19" i="6" l="1"/>
  <c r="AA20" i="6" s="1"/>
  <c r="AC7" i="6"/>
  <c r="AC12" i="6" s="1"/>
  <c r="AA7" i="5"/>
  <c r="AB7" i="5" l="1"/>
  <c r="AD7" i="6"/>
  <c r="AD12" i="6" s="1"/>
  <c r="AB19" i="6"/>
  <c r="AB20" i="6" s="1"/>
  <c r="AC7" i="5" l="1"/>
  <c r="AE7" i="6"/>
  <c r="AE12" i="6" s="1"/>
  <c r="AC19" i="6"/>
  <c r="AC20" i="6" s="1"/>
  <c r="AD7" i="5" l="1"/>
  <c r="AF7" i="6"/>
  <c r="AF12" i="6" s="1"/>
  <c r="AE7" i="5" s="1"/>
  <c r="AD19" i="6"/>
  <c r="AD20" i="6" s="1"/>
  <c r="AE19" i="6" l="1"/>
  <c r="AE20" i="6" s="1"/>
  <c r="AF19" i="6" l="1"/>
  <c r="AF20" i="6" s="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<sst xmlns="http://schemas.openxmlformats.org/spreadsheetml/2006/main" count="277" uniqueCount="205">
  <si>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</si>
  <si>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</si>
  <si>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</si>
  <si>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</si>
  <si>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</si>
  <si>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</si>
  <si>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</si>
  <si>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</si>
  <si>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</si>
  <si>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</si>
  <si>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</si>
  <si>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</si>
  <si>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</si>
  <si>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</si>
  <si>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</si>
  <si>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</si>
  <si>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</si>
  <si>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</si>
  <si>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</si>
  <si>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</si>
  <si>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</si>
  <si>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</si>
  <si>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</si>
  <si>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</si>
  <si>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</si>
  <si>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Growth in debt</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</si>
  <si>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</si>
  <si>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</si>
  <si>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</si>
  <si>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</si>
  <si>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</si>
  <si>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</si>
  <si>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</si>
  <si>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</si>
  <si>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</si>
  <si>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</si>
  <si>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</si>
  <si>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</si>
  <si>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</si>
  <si>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</si>
  <si>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</si>
  <si>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</si>
  <si>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</si>
  <si>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</si>
  <si>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</si>
  <si>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</si>
  <si>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</si>
  <si>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</si>
  <si>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</si>
  <si>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</si>
  <si>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</si>
  <si>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</si>
  <si>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</si>
  <si>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</si>
  <si>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</si>
  <si>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</si>
  <si>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</si>
  <si>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</si>
  <si>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</si>
  <si>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</si>
  <si>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</si>
  <si>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</si>
  <si>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</si>
  <si>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</si>
  <si>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</si>
  <si>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</si>
  <si>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</si>
  <si>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</si>
  <si>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</si>
  <si>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</si>
  <si>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</si>
  <si>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</si>
  <si>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</si>
  <si>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</si>
  <si>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</si>
  <si>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</si>
  <si>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</si>
  <si>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</si>
  <si>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</si>
  <si>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</si>
  <si>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</si>
  <si>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</si>
  <si>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</si>
  <si>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</si>
  <si>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</si>
  <si>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</si>
  <si>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</si>
  <si>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</si>
  <si>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</si>
  <si>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</si>
  <si>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</si>
  <si>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</si>
  <si>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</si>
  <si>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</si>
  <si>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</si>
  <si>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</si>
  <si>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</si>
  <si>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</si>
  <si>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</si>
  <si>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</si>
  <si>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</si>
  <si>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</si>
  <si>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</si>
  <si>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</si>
  <si>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</si>
  <si>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</si>
  <si>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</si>
  <si>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</si>
  <si>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</si>
  <si>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</si>
  <si>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</si>
  <si>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</si>
  <si>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</si>
  <si>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</si>
  <si>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</si>
  <si>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</si>
  <si>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</si>
  <si>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</si>
  <si>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</si>
  <si>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</si>
  <si>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</si>
  <si>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</si>
  <si>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</si>
  <si>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</si>
  <si>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</si>
  <si>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</si>
  <si>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</si>
  <si>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</si>
  <si>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</si>
  <si>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</si>
  <si>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</si>
  <si>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</si>
  <si>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</si>
  <si>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</si>
  <si>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</si>
  <si>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F3; Line F3.20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</si>
  <si>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</si>
  <si>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</si>
  <si>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</si>
  <si>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</si>
  <si>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</si>
  <si>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</si>
  <si>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</si>
  <si>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</si>
  <si>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</si>
  <si>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</si>
  <si>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</si>
  <si>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</si>
  <si>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</si>
  <si>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</si>
  <si>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</si>
  <si>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</si>
  <si>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</si>
  <si>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</si>
  <si>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</si>
  <si>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</si>
  <si>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</si>
  <si>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</si>
  <si>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</si>
  <si>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</si>
  <si>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</si>
  <si>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</si>
  <si>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</si>
  <si>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</si>
  <si>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</si>
  <si>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</si>
  <si>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</si>
  <si>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</si>
  <si>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</si>
  <si>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</si>
  <si>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</si>
  <si>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</si>
  <si>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</si>
  <si>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</si>
  <si>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</si>
  <si>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</si>
  <si>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</si>
  <si>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</si>
  <si>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</si>
  <si>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</si>
  <si>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</si>
  <si>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</si>
  <si>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</si>
  <si>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</si>
  <si>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</si>
  <si>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</si>
  <si>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</si>
  <si>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</si>
  <si>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</si>
  <si>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</si>
  <si>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</si>
  <si>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</si>
  <si>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</si>
  <si>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</si>
  <si>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A1.43</t>
  </si>
  <si>
    <t>Hurunui Stand-alone Council</t>
  </si>
  <si>
    <t>RFI Table F10; Lines F10.62 + F10.70 - F10.61</t>
  </si>
  <si>
    <t>Information not provided in RFI Table G1; Line G1.3b. As such, projected growth from the LTP 2018 was used</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</si>
  <si>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</si>
  <si>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</si>
  <si>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</si>
  <si>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</si>
  <si>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</si>
  <si>
    <t>Consistent with reaching a percentage split of 30% for short-medium life assets by 2051. This split is in line with international experience</t>
  </si>
  <si>
    <t>Consistent with reaching a percentage split of 70% for long life assets by 2051. This split is in line with international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</si>
</sst>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8">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169" fontId="0" fillId="0" borderId="0" xfId="3" applyNumberFormat="1" applyFont="1" applyFill="1" applyBorder="1" applyAlignment="1">
      <alignment vertical="top"/>
    </xf>
    <xf numFmtId="0" fontId="18" fillId="0" borderId="0" xfId="0" applyFont="1" applyAlignment="1">
      <alignment horizontal="left" vertical="center" wrapText="1"/>
    </xf>
    <xf numFmtId="0" fontId="0" fillId="0" borderId="0" xfId="0" applyAlignment="1">
      <alignment horizontal="left" vertical="center"/>
    </xf>
    <xf numFmtId="0" fontId="16" fillId="0" borderId="0" xfId="0" applyFont="1" applyAlignment="1">
      <alignment horizontal="left" vertical="center"/>
    </xf>
    <xf numFmtId="166" fontId="16" fillId="0" borderId="0" xfId="2" applyNumberFormat="1" applyFont="1" applyFill="1" applyAlignment="1">
      <alignment horizontal="left" vertical="center"/>
    </xf>
    <xf numFmtId="9" fontId="16" fillId="0" borderId="0" xfId="3" applyFont="1" applyFill="1" applyAlignment="1">
      <alignment horizontal="left" vertical="center"/>
    </xf>
    <xf numFmtId="167" fontId="16" fillId="0" borderId="0" xfId="0" applyNumberFormat="1" applyFont="1" applyAlignment="1">
      <alignment horizontal="left" vertical="center"/>
    </xf>
    <xf numFmtId="0" fontId="16" fillId="0" borderId="0" xfId="0" applyFont="1" applyFill="1" applyAlignment="1">
      <alignment horizontal="left" vertical="center"/>
    </xf>
    <xf numFmtId="3" fontId="16" fillId="0" borderId="0" xfId="1" applyNumberFormat="1" applyFont="1" applyFill="1" applyAlignment="1">
      <alignment horizontal="left" vertical="center"/>
    </xf>
    <xf numFmtId="0" fontId="17" fillId="0" borderId="0" xfId="0" applyFont="1" applyFill="1" applyAlignment="1">
      <alignment horizontal="left" vertical="center"/>
    </xf>
    <xf numFmtId="166" fontId="17" fillId="0" borderId="0" xfId="2" applyNumberFormat="1" applyFont="1" applyFill="1" applyAlignment="1">
      <alignment horizontal="left" vertical="center"/>
    </xf>
    <xf numFmtId="2" fontId="16" fillId="0" borderId="0" xfId="2" applyNumberFormat="1" applyFont="1" applyFill="1" applyAlignment="1">
      <alignment horizontal="left" vertical="center"/>
    </xf>
    <xf numFmtId="1" fontId="17" fillId="0" borderId="0" xfId="2" applyNumberFormat="1" applyFont="1" applyFill="1" applyAlignment="1">
      <alignment horizontal="left" vertical="center"/>
    </xf>
    <xf numFmtId="173" fontId="16" fillId="0" borderId="0" xfId="0" applyNumberFormat="1" applyFont="1" applyFill="1" applyAlignment="1">
      <alignment horizontal="left" vertical="center"/>
    </xf>
    <xf numFmtId="167" fontId="16" fillId="0" borderId="0" xfId="0" applyNumberFormat="1" applyFont="1" applyFill="1" applyAlignment="1">
      <alignment horizontal="left" vertical="center"/>
    </xf>
    <xf numFmtId="0" fontId="15" fillId="0" borderId="0" xfId="0" applyFont="1" applyFill="1" applyAlignment="1">
      <alignment horizontal="left" vertical="center"/>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80" zoomScaleNormal="8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95</v>
      </c>
      <c r="D1" s="61"/>
      <c r="E1" s="61"/>
      <c r="F1" s="61"/>
    </row>
    <row r="2" spans="1:6" x14ac:dyDescent="0.35">
      <c r="A2" s="63" t="s">
        <v>96</v>
      </c>
      <c r="B2" s="60" t="s">
        <v>195</v>
      </c>
      <c r="C2" s="171"/>
      <c r="D2" s="60"/>
      <c r="E2" s="14"/>
      <c r="F2" s="60"/>
    </row>
    <row r="3" spans="1:6" x14ac:dyDescent="0.35">
      <c r="C3" s="14"/>
      <c r="D3" s="14"/>
    </row>
    <row r="4" spans="1:6" x14ac:dyDescent="0.35">
      <c r="A4" s="14" t="s">
        <v>155</v>
      </c>
      <c r="B4" s="14"/>
      <c r="D4" s="14"/>
    </row>
    <row r="6" spans="1:6" ht="21" x14ac:dyDescent="0.5">
      <c r="A6" s="15" t="s">
        <v>164</v>
      </c>
    </row>
    <row r="7" spans="1:6" ht="241" customHeight="1" x14ac:dyDescent="0.35">
      <c r="A7" s="107">
        <v>1</v>
      </c>
      <c r="B7" s="104" t="s">
        <v>165</v>
      </c>
    </row>
    <row r="8" spans="1:6" ht="408" customHeight="1" x14ac:dyDescent="0.35">
      <c r="A8" s="107">
        <v>2</v>
      </c>
      <c r="B8" s="104" t="s">
        <v>186</v>
      </c>
    </row>
    <row r="9" spans="1:6" ht="195.5" customHeight="1" x14ac:dyDescent="0.35">
      <c r="A9" s="107">
        <f>A8+1</f>
        <v>3</v>
      </c>
      <c r="B9" s="105" t="s">
        <v>169</v>
      </c>
    </row>
    <row r="10" spans="1:6" ht="236" customHeight="1" x14ac:dyDescent="0.35">
      <c r="A10" s="107">
        <v>4</v>
      </c>
      <c r="B10" s="105" t="s">
        <v>170</v>
      </c>
    </row>
    <row r="11" spans="1:6" ht="21" x14ac:dyDescent="0.35">
      <c r="A11" s="107">
        <f>A10+1</f>
        <v>5</v>
      </c>
      <c r="B11" s="63" t="s">
        <v>184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161</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187</v>
      </c>
      <c r="B6" s="1">
        <f>Assumptions!C17</f>
        <v>144288089.75999996</v>
      </c>
      <c r="C6" s="12">
        <f ca="1">B6+Depreciation!C18+'Cash Flow'!C13</f>
        <v>148630234.84519413</v>
      </c>
      <c r="D6" s="1">
        <f ca="1">C6+Depreciation!D18</f>
        <v>176672874.5826492</v>
      </c>
      <c r="E6" s="1">
        <f ca="1">D6+Depreciation!E18</f>
        <v>206225423.06816643</v>
      </c>
      <c r="F6" s="1">
        <f ca="1">E6+Depreciation!F18</f>
        <v>237355798.79853067</v>
      </c>
      <c r="G6" s="1">
        <f ca="1">F6+Depreciation!G18</f>
        <v>270134720.90776294</v>
      </c>
      <c r="H6" s="1">
        <f ca="1">G6+Depreciation!H18</f>
        <v>304635818.85936296</v>
      </c>
      <c r="I6" s="1">
        <f ca="1">H6+Depreciation!I18</f>
        <v>340935746.29100233</v>
      </c>
      <c r="J6" s="1">
        <f ca="1">I6+Depreciation!J18</f>
        <v>379114299.16510117</v>
      </c>
      <c r="K6" s="1">
        <f ca="1">J6+Depreciation!K18</f>
        <v>419254538.38428688</v>
      </c>
      <c r="L6" s="1">
        <f ca="1">K6+Depreciation!L18</f>
        <v>461442917.03650194</v>
      </c>
      <c r="M6" s="1">
        <f ca="1">L6+Depreciation!M18</f>
        <v>505769412.44049978</v>
      </c>
      <c r="N6" s="1">
        <f ca="1">M6+Depreciation!N18</f>
        <v>552327663.16865468</v>
      </c>
      <c r="O6" s="1">
        <f ca="1">N6+Depreciation!O18</f>
        <v>601215111.23041892</v>
      </c>
      <c r="P6" s="1">
        <f ca="1">O6+Depreciation!P18</f>
        <v>652533149.60639787</v>
      </c>
      <c r="Q6" s="1">
        <f ca="1">P6+Depreciation!Q18</f>
        <v>706387275.32988608</v>
      </c>
      <c r="R6" s="1">
        <f ca="1">Q6+Depreciation!R18</f>
        <v>762887248.31982708</v>
      </c>
      <c r="S6" s="1">
        <f ca="1">R6+Depreciation!S18</f>
        <v>822147256.1765331</v>
      </c>
      <c r="T6" s="1">
        <f ca="1">S6+Depreciation!T18</f>
        <v>884286085.15913534</v>
      </c>
      <c r="U6" s="1">
        <f ca="1">T6+Depreciation!U18</f>
        <v>949427297.57164586</v>
      </c>
      <c r="V6" s="1">
        <f ca="1">U6+Depreciation!V18</f>
        <v>1017699415.7927006</v>
      </c>
      <c r="W6" s="1">
        <f ca="1">V6+Depreciation!W18</f>
        <v>1089236113.1925361</v>
      </c>
      <c r="X6" s="1">
        <f ca="1">W6+Depreciation!X18</f>
        <v>1164176412.1895359</v>
      </c>
      <c r="Y6" s="1">
        <f ca="1">X6+Depreciation!Y18</f>
        <v>1242664889.7077808</v>
      </c>
      <c r="Z6" s="1">
        <f ca="1">Y6+Depreciation!Z18</f>
        <v>1324851890.306458</v>
      </c>
      <c r="AA6" s="1">
        <f ca="1">Z6+Depreciation!AA18</f>
        <v>1410893747.2617364</v>
      </c>
      <c r="AB6" s="1">
        <f ca="1">AA6+Depreciation!AB18</f>
        <v>1500953011.8918252</v>
      </c>
      <c r="AC6" s="1">
        <f ca="1">AB6+Depreciation!AC18</f>
        <v>1595198691.4263902</v>
      </c>
      <c r="AD6" s="1">
        <f ca="1">AC6+Depreciation!AD18</f>
        <v>1693806495.7323368</v>
      </c>
      <c r="AE6" s="1">
        <f ca="1">AD6+Depreciation!AE18</f>
        <v>1796959093.2191896</v>
      </c>
      <c r="AF6" s="1"/>
      <c r="AG6" s="1"/>
      <c r="AH6" s="1"/>
      <c r="AI6" s="1"/>
      <c r="AJ6" s="1"/>
      <c r="AK6" s="1"/>
      <c r="AL6" s="1"/>
      <c r="AM6" s="1"/>
      <c r="AN6" s="1"/>
      <c r="AO6" s="1"/>
      <c r="AP6" s="1"/>
    </row>
    <row r="7" spans="1:42" x14ac:dyDescent="0.35">
      <c r="A7" t="s">
        <v>12</v>
      </c>
      <c r="B7" s="1">
        <f>Depreciation!C12</f>
        <v>74777583.41678977</v>
      </c>
      <c r="C7" s="1">
        <f>Depreciation!D12</f>
        <v>78088945.842244834</v>
      </c>
      <c r="D7" s="1">
        <f>Depreciation!E12</f>
        <v>82118816.141778082</v>
      </c>
      <c r="E7" s="1">
        <f>Depreciation!F12</f>
        <v>86909787.98420684</v>
      </c>
      <c r="F7" s="1">
        <f>Depreciation!G12</f>
        <v>92506445.281089708</v>
      </c>
      <c r="G7" s="1">
        <f>Depreciation!H12</f>
        <v>98955445.946345091</v>
      </c>
      <c r="H7" s="1">
        <f>Depreciation!I12</f>
        <v>106305608.97847684</v>
      </c>
      <c r="I7" s="1">
        <f>Depreciation!J12</f>
        <v>114608004.99228381</v>
      </c>
      <c r="J7" s="1">
        <f>Depreciation!K12</f>
        <v>123916050.33164831</v>
      </c>
      <c r="K7" s="1">
        <f>Depreciation!L12</f>
        <v>134285604.89988786</v>
      </c>
      <c r="L7" s="1">
        <f>Depreciation!M12</f>
        <v>145775073.84922302</v>
      </c>
      <c r="M7" s="1">
        <f>Depreciation!N12</f>
        <v>158445513.27616596</v>
      </c>
      <c r="N7" s="1">
        <f>Depreciation!O12</f>
        <v>172360740.07507953</v>
      </c>
      <c r="O7" s="1">
        <f>Depreciation!P12</f>
        <v>187587446.10779661</v>
      </c>
      <c r="P7" s="1">
        <f>Depreciation!Q12</f>
        <v>204195316.85303855</v>
      </c>
      <c r="Q7" s="1">
        <f>Depreciation!R12</f>
        <v>222257154.7054294</v>
      </c>
      <c r="R7" s="1">
        <f>Depreciation!S12</f>
        <v>241849007.10018364</v>
      </c>
      <c r="S7" s="1">
        <f>Depreciation!T12</f>
        <v>263050299.64605162</v>
      </c>
      <c r="T7" s="1">
        <f>Depreciation!U12</f>
        <v>285943974.45585239</v>
      </c>
      <c r="U7" s="1">
        <f>Depreciation!V12</f>
        <v>310616633.8709107</v>
      </c>
      <c r="V7" s="1">
        <f>Depreciation!W12</f>
        <v>337158689.78295779</v>
      </c>
      <c r="W7" s="1">
        <f>Depreciation!X12</f>
        <v>365664518.76455998</v>
      </c>
      <c r="X7" s="1">
        <f>Depreciation!Y12</f>
        <v>396232623.22691476</v>
      </c>
      <c r="Y7" s="1">
        <f>Depreciation!Z12</f>
        <v>428965798.83191317</v>
      </c>
      <c r="Z7" s="1">
        <f>Depreciation!AA12</f>
        <v>463971308.39371496</v>
      </c>
      <c r="AA7" s="1">
        <f>Depreciation!AB12</f>
        <v>501361062.51373607</v>
      </c>
      <c r="AB7" s="1">
        <f>Depreciation!AC12</f>
        <v>541251807.20191121</v>
      </c>
      <c r="AC7" s="1">
        <f>Depreciation!AD12</f>
        <v>583765318.74638331</v>
      </c>
      <c r="AD7" s="1">
        <f>Depreciation!AE12</f>
        <v>629028606.10339475</v>
      </c>
      <c r="AE7" s="1">
        <f>Depreciation!AF12</f>
        <v>677174121.08912647</v>
      </c>
      <c r="AF7" s="1"/>
      <c r="AG7" s="1"/>
      <c r="AH7" s="1"/>
      <c r="AI7" s="1"/>
      <c r="AJ7" s="1"/>
      <c r="AK7" s="1"/>
      <c r="AL7" s="1"/>
      <c r="AM7" s="1"/>
      <c r="AN7" s="1"/>
      <c r="AO7" s="1"/>
      <c r="AP7" s="1"/>
    </row>
    <row r="8" spans="1:42" x14ac:dyDescent="0.35">
      <c r="A8" t="s">
        <v>188</v>
      </c>
      <c r="B8" s="1">
        <f t="shared" ref="B8:AE8" si="1">B6-B7</f>
        <v>69510506.343210191</v>
      </c>
      <c r="C8" s="1">
        <f t="shared" ca="1" si="1"/>
        <v>70541289.002949297</v>
      </c>
      <c r="D8" s="1">
        <f ca="1">D6-D7</f>
        <v>94554058.440871119</v>
      </c>
      <c r="E8" s="1">
        <f t="shared" ca="1" si="1"/>
        <v>119315635.08395959</v>
      </c>
      <c r="F8" s="1">
        <f t="shared" ca="1" si="1"/>
        <v>144849353.51744097</v>
      </c>
      <c r="G8" s="1">
        <f t="shared" ca="1" si="1"/>
        <v>171179274.96141785</v>
      </c>
      <c r="H8" s="1">
        <f t="shared" ca="1" si="1"/>
        <v>198330209.88088614</v>
      </c>
      <c r="I8" s="1">
        <f t="shared" ca="1" si="1"/>
        <v>226327741.29871851</v>
      </c>
      <c r="J8" s="1">
        <f t="shared" ca="1" si="1"/>
        <v>255198248.83345288</v>
      </c>
      <c r="K8" s="1">
        <f t="shared" ca="1" si="1"/>
        <v>284968933.48439902</v>
      </c>
      <c r="L8" s="1">
        <f t="shared" ca="1" si="1"/>
        <v>315667843.18727893</v>
      </c>
      <c r="M8" s="1">
        <f t="shared" ca="1" si="1"/>
        <v>347323899.16433382</v>
      </c>
      <c r="N8" s="1">
        <f t="shared" ca="1" si="1"/>
        <v>379966923.09357512</v>
      </c>
      <c r="O8" s="1">
        <f t="shared" ca="1" si="1"/>
        <v>413627665.12262231</v>
      </c>
      <c r="P8" s="1">
        <f t="shared" ca="1" si="1"/>
        <v>448337832.75335932</v>
      </c>
      <c r="Q8" s="1">
        <f t="shared" ca="1" si="1"/>
        <v>484130120.62445664</v>
      </c>
      <c r="R8" s="1">
        <f t="shared" ca="1" si="1"/>
        <v>521038241.21964347</v>
      </c>
      <c r="S8" s="1">
        <f t="shared" ca="1" si="1"/>
        <v>559096956.53048146</v>
      </c>
      <c r="T8" s="1">
        <f t="shared" ca="1" si="1"/>
        <v>598342110.70328295</v>
      </c>
      <c r="U8" s="1">
        <f t="shared" ca="1" si="1"/>
        <v>638810663.70073509</v>
      </c>
      <c r="V8" s="1">
        <f t="shared" ca="1" si="1"/>
        <v>680540726.00974286</v>
      </c>
      <c r="W8" s="1">
        <f t="shared" ca="1" si="1"/>
        <v>723571594.42797613</v>
      </c>
      <c r="X8" s="1">
        <f t="shared" ca="1" si="1"/>
        <v>767943788.96262109</v>
      </c>
      <c r="Y8" s="1">
        <f t="shared" ca="1" si="1"/>
        <v>813699090.87586761</v>
      </c>
      <c r="Z8" s="1">
        <f t="shared" ca="1" si="1"/>
        <v>860880581.91274309</v>
      </c>
      <c r="AA8" s="1">
        <f t="shared" ca="1" si="1"/>
        <v>909532684.74800038</v>
      </c>
      <c r="AB8" s="1">
        <f t="shared" ca="1" si="1"/>
        <v>959701204.68991399</v>
      </c>
      <c r="AC8" s="1">
        <f t="shared" ca="1" si="1"/>
        <v>1011433372.6800069</v>
      </c>
      <c r="AD8" s="1">
        <f t="shared" ca="1" si="1"/>
        <v>1064777889.628942</v>
      </c>
      <c r="AE8" s="1">
        <f t="shared" ca="1" si="1"/>
        <v>1119784972.1300631</v>
      </c>
      <c r="AF8" s="1"/>
      <c r="AG8" s="1"/>
      <c r="AH8" s="1"/>
      <c r="AI8" s="1"/>
      <c r="AJ8" s="1"/>
      <c r="AK8" s="1"/>
      <c r="AL8" s="1"/>
      <c r="AM8" s="1"/>
      <c r="AN8" s="1"/>
      <c r="AO8" s="1"/>
      <c r="AP8" s="1"/>
    </row>
    <row r="10" spans="1:42" x14ac:dyDescent="0.35">
      <c r="A10" t="s">
        <v>17</v>
      </c>
      <c r="B10" s="1">
        <f>B8-B11</f>
        <v>48776506.343210191</v>
      </c>
      <c r="C10" s="1">
        <f ca="1">C8-C11</f>
        <v>27551479.551353656</v>
      </c>
      <c r="D10" s="1">
        <f ca="1">D8-D11</f>
        <v>31576477.200081214</v>
      </c>
      <c r="E10" s="1">
        <f t="shared" ref="E10:AE10" ca="1" si="2">E8-E11</f>
        <v>39873509.427080914</v>
      </c>
      <c r="F10" s="1">
        <f t="shared" ca="1" si="2"/>
        <v>54900291.869557917</v>
      </c>
      <c r="G10" s="1">
        <f ca="1">G8-G11</f>
        <v>71236774.122100115</v>
      </c>
      <c r="H10" s="1">
        <f t="shared" ca="1" si="2"/>
        <v>89191199.767114207</v>
      </c>
      <c r="I10" s="1">
        <f t="shared" ca="1" si="2"/>
        <v>109118389.40302566</v>
      </c>
      <c r="J10" s="1">
        <f t="shared" ca="1" si="2"/>
        <v>129524200.51073456</v>
      </c>
      <c r="K10" s="1">
        <f t="shared" ca="1" si="2"/>
        <v>150484761.27425975</v>
      </c>
      <c r="L10" s="1">
        <f t="shared" ca="1" si="2"/>
        <v>172086405.22580877</v>
      </c>
      <c r="M10" s="1">
        <f t="shared" ca="1" si="2"/>
        <v>194426664.77069768</v>
      </c>
      <c r="N10" s="1">
        <f t="shared" ca="1" si="2"/>
        <v>217615346.11265671</v>
      </c>
      <c r="O10" s="1">
        <f t="shared" ca="1" si="2"/>
        <v>241775691.63505578</v>
      </c>
      <c r="P10" s="1">
        <f t="shared" ca="1" si="2"/>
        <v>267045636.21918029</v>
      </c>
      <c r="Q10" s="1">
        <f t="shared" ca="1" si="2"/>
        <v>292844220.97583944</v>
      </c>
      <c r="R10" s="1">
        <f t="shared" ca="1" si="2"/>
        <v>319229242.96490061</v>
      </c>
      <c r="S10" s="1">
        <f t="shared" ca="1" si="2"/>
        <v>346265721.32589382</v>
      </c>
      <c r="T10" s="1">
        <f t="shared" ca="1" si="2"/>
        <v>374026558.09348023</v>
      </c>
      <c r="U10" s="1">
        <f t="shared" ca="1" si="2"/>
        <v>402593249.05089176</v>
      </c>
      <c r="V10" s="1">
        <f t="shared" ca="1" si="2"/>
        <v>432056648.00754565</v>
      </c>
      <c r="W10" s="1">
        <f t="shared" ca="1" si="2"/>
        <v>462517788.1005646</v>
      </c>
      <c r="X10" s="1">
        <f t="shared" ca="1" si="2"/>
        <v>494088763.94633216</v>
      </c>
      <c r="Y10" s="1">
        <f t="shared" ca="1" si="2"/>
        <v>526893678.7081998</v>
      </c>
      <c r="Z10" s="1">
        <f t="shared" ca="1" si="2"/>
        <v>561069660.40086222</v>
      </c>
      <c r="AA10" s="1">
        <f t="shared" ca="1" si="2"/>
        <v>596767952.02154088</v>
      </c>
      <c r="AB10" s="1">
        <f t="shared" ca="1" si="2"/>
        <v>634155080.38387179</v>
      </c>
      <c r="AC10" s="1">
        <f t="shared" ca="1" si="2"/>
        <v>670644872.20415819</v>
      </c>
      <c r="AD10" s="1">
        <f t="shared" ca="1" si="2"/>
        <v>706093251.84242177</v>
      </c>
      <c r="AE10" s="1">
        <f t="shared" ca="1" si="2"/>
        <v>740346465.95613337</v>
      </c>
      <c r="AF10" s="1"/>
      <c r="AG10" s="1"/>
      <c r="AH10" s="1"/>
      <c r="AI10" s="1"/>
      <c r="AJ10" s="1"/>
      <c r="AK10" s="1"/>
      <c r="AL10" s="1"/>
      <c r="AM10" s="1"/>
      <c r="AN10" s="1"/>
      <c r="AO10" s="1"/>
    </row>
    <row r="11" spans="1:42" x14ac:dyDescent="0.35">
      <c r="A11" t="s">
        <v>9</v>
      </c>
      <c r="B11" s="1">
        <f>Assumptions!$C$20</f>
        <v>20734000</v>
      </c>
      <c r="C11" s="1">
        <f ca="1">'Debt worksheet'!D5</f>
        <v>42989809.451595642</v>
      </c>
      <c r="D11" s="1">
        <f ca="1">'Debt worksheet'!E5</f>
        <v>62977581.240789905</v>
      </c>
      <c r="E11" s="1">
        <f ca="1">'Debt worksheet'!F5</f>
        <v>79442125.65687868</v>
      </c>
      <c r="F11" s="1">
        <f ca="1">'Debt worksheet'!G5</f>
        <v>89949061.647883058</v>
      </c>
      <c r="G11" s="1">
        <f ca="1">'Debt worksheet'!H5</f>
        <v>99942500.839317739</v>
      </c>
      <c r="H11" s="1">
        <f ca="1">'Debt worksheet'!I5</f>
        <v>109139010.11377193</v>
      </c>
      <c r="I11" s="1">
        <f ca="1">'Debt worksheet'!J5</f>
        <v>117209351.89569286</v>
      </c>
      <c r="J11" s="1">
        <f ca="1">'Debt worksheet'!K5</f>
        <v>125674048.32271832</v>
      </c>
      <c r="K11" s="1">
        <f ca="1">'Debt worksheet'!L5</f>
        <v>134484172.21013927</v>
      </c>
      <c r="L11" s="1">
        <f ca="1">'Debt worksheet'!M5</f>
        <v>143581437.96147016</v>
      </c>
      <c r="M11" s="1">
        <f ca="1">'Debt worksheet'!N5</f>
        <v>152897234.39363614</v>
      </c>
      <c r="N11" s="1">
        <f ca="1">'Debt worksheet'!O5</f>
        <v>162351576.98091841</v>
      </c>
      <c r="O11" s="1">
        <f ca="1">'Debt worksheet'!P5</f>
        <v>171851973.48756653</v>
      </c>
      <c r="P11" s="1">
        <f ca="1">'Debt worksheet'!Q5</f>
        <v>181292196.53417903</v>
      </c>
      <c r="Q11" s="1">
        <f ca="1">'Debt worksheet'!R5</f>
        <v>191285899.64861721</v>
      </c>
      <c r="R11" s="1">
        <f ca="1">'Debt worksheet'!S5</f>
        <v>201808998.25474289</v>
      </c>
      <c r="S11" s="1">
        <f ca="1">'Debt worksheet'!T5</f>
        <v>212831235.20458764</v>
      </c>
      <c r="T11" s="1">
        <f ca="1">'Debt worksheet'!U5</f>
        <v>224315552.60980272</v>
      </c>
      <c r="U11" s="1">
        <f ca="1">'Debt worksheet'!V5</f>
        <v>236217414.64984331</v>
      </c>
      <c r="V11" s="1">
        <f ca="1">'Debt worksheet'!W5</f>
        <v>248484078.00219721</v>
      </c>
      <c r="W11" s="1">
        <f ca="1">'Debt worksheet'!X5</f>
        <v>261053806.32741156</v>
      </c>
      <c r="X11" s="1">
        <f ca="1">'Debt worksheet'!Y5</f>
        <v>273855025.01628894</v>
      </c>
      <c r="Y11" s="1">
        <f ca="1">'Debt worksheet'!Z5</f>
        <v>286805412.16766781</v>
      </c>
      <c r="Z11" s="1">
        <f ca="1">'Debt worksheet'!AA5</f>
        <v>299810921.51188082</v>
      </c>
      <c r="AA11" s="1">
        <f ca="1">'Debt worksheet'!AB5</f>
        <v>312764732.72645956</v>
      </c>
      <c r="AB11" s="1">
        <f ca="1">'Debt worksheet'!AC5</f>
        <v>325546124.30604219</v>
      </c>
      <c r="AC11" s="1">
        <f ca="1">'Debt worksheet'!AD5</f>
        <v>340788500.47584867</v>
      </c>
      <c r="AD11" s="1">
        <f ca="1">'Debt worksheet'!AE5</f>
        <v>358684637.7865203</v>
      </c>
      <c r="AE11" s="1">
        <f ca="1">'Debt worksheet'!AF5</f>
        <v>379438506.17392963</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80" zoomScaleNormal="8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162</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1708606.5484043609</v>
      </c>
      <c r="D5" s="4">
        <f ca="1">'Profit and Loss'!D9</f>
        <v>4743505.5228057373</v>
      </c>
      <c r="E5" s="4">
        <f ca="1">'Profit and Loss'!E9</f>
        <v>9058133.7698952127</v>
      </c>
      <c r="F5" s="4">
        <f ca="1">'Profit and Loss'!F9</f>
        <v>15832467.896931116</v>
      </c>
      <c r="G5" s="4">
        <f ca="1">'Profit and Loss'!G9</f>
        <v>17188825.620914742</v>
      </c>
      <c r="H5" s="4">
        <f ca="1">'Profit and Loss'!H9</f>
        <v>18855588.011890404</v>
      </c>
      <c r="I5" s="4">
        <f ca="1">'Profit and Loss'!I9</f>
        <v>20879422.617586698</v>
      </c>
      <c r="J5" s="4">
        <f ca="1">'Profit and Loss'!J9</f>
        <v>21411460.433266409</v>
      </c>
      <c r="K5" s="4">
        <f ca="1">'Profit and Loss'!K9</f>
        <v>22022069.992400274</v>
      </c>
      <c r="L5" s="4">
        <f ca="1">'Profit and Loss'!L9</f>
        <v>22721558.332644597</v>
      </c>
      <c r="M5" s="4">
        <f ca="1">'Profit and Loss'!M9</f>
        <v>23521230.022496726</v>
      </c>
      <c r="N5" s="4">
        <f ca="1">'Profit and Loss'!N9</f>
        <v>24433468.713929631</v>
      </c>
      <c r="O5" s="4">
        <f ca="1">'Profit and Loss'!O9</f>
        <v>25471824.756202575</v>
      </c>
      <c r="P5" s="4">
        <f ca="1">'Profit and Loss'!P9</f>
        <v>26651109.296649408</v>
      </c>
      <c r="Q5" s="4">
        <f ca="1">'Profit and Loss'!Q9</f>
        <v>27252551.863808118</v>
      </c>
      <c r="R5" s="4">
        <f ca="1">'Profit and Loss'!R9</f>
        <v>27915036.531424481</v>
      </c>
      <c r="S5" s="4">
        <f ca="1">'Profit and Loss'!S9</f>
        <v>28645918.51210703</v>
      </c>
      <c r="T5" s="4">
        <f ca="1">'Profit and Loss'!T9</f>
        <v>29453219.03151916</v>
      </c>
      <c r="U5" s="4">
        <f ca="1">'Profit and Loss'!U9</f>
        <v>30345675.562669151</v>
      </c>
      <c r="V5" s="4">
        <f ca="1">'Profit and Loss'!V9</f>
        <v>31332795.453642555</v>
      </c>
      <c r="W5" s="4">
        <f ca="1">'Profit and Loss'!W9</f>
        <v>32424913.162573978</v>
      </c>
      <c r="X5" s="4">
        <f ca="1">'Profit and Loss'!X9</f>
        <v>33633251.326520182</v>
      </c>
      <c r="Y5" s="4">
        <f ca="1">'Profit and Loss'!Y9</f>
        <v>34969985.904511407</v>
      </c>
      <c r="Z5" s="4">
        <f ca="1">'Profit and Loss'!Z9</f>
        <v>36448315.649465755</v>
      </c>
      <c r="AA5" s="4">
        <f ca="1">'Profit and Loss'!AA9</f>
        <v>38082536.178897768</v>
      </c>
      <c r="AB5" s="4">
        <f ca="1">'Profit and Loss'!AB9</f>
        <v>39888118.930485122</v>
      </c>
      <c r="AC5" s="4">
        <f ca="1">'Profit and Loss'!AC9</f>
        <v>39112558.676583424</v>
      </c>
      <c r="AD5" s="4">
        <f ca="1">'Profit and Loss'!AD9</f>
        <v>38198155.450802758</v>
      </c>
      <c r="AE5" s="4">
        <f ca="1">'Profit and Loss'!AE9</f>
        <v>37135441.742432237</v>
      </c>
      <c r="AF5" s="4">
        <f ca="1">'Profit and Loss'!AF9</f>
        <v>35914442.071007043</v>
      </c>
      <c r="AG5" s="4"/>
      <c r="AH5" s="4"/>
      <c r="AI5" s="4"/>
      <c r="AJ5" s="4"/>
      <c r="AK5" s="4"/>
      <c r="AL5" s="4"/>
      <c r="AM5" s="4"/>
      <c r="AN5" s="4"/>
      <c r="AO5" s="4"/>
      <c r="AP5" s="4"/>
    </row>
    <row r="6" spans="1:42" x14ac:dyDescent="0.35">
      <c r="A6" t="s">
        <v>21</v>
      </c>
      <c r="C6" s="4">
        <f>Depreciation!C8+Depreciation!C9</f>
        <v>2633538.5367897917</v>
      </c>
      <c r="D6" s="4">
        <f>Depreciation!D8+Depreciation!D9</f>
        <v>3311362.425455065</v>
      </c>
      <c r="E6" s="4">
        <f>Depreciation!E8+Depreciation!E9</f>
        <v>4029870.2995332424</v>
      </c>
      <c r="F6" s="4">
        <f>Depreciation!F8+Depreciation!F9</f>
        <v>4790971.8424287587</v>
      </c>
      <c r="G6" s="4">
        <f>Depreciation!G8+Depreciation!G9</f>
        <v>5596657.2968828641</v>
      </c>
      <c r="H6" s="4">
        <f>Depreciation!H8+Depreciation!H9</f>
        <v>6449000.6652553864</v>
      </c>
      <c r="I6" s="4">
        <f>Depreciation!I8+Depreciation!I9</f>
        <v>7350163.0321317408</v>
      </c>
      <c r="J6" s="4">
        <f>Depreciation!J8+Depreciation!J9</f>
        <v>8302396.0138069643</v>
      </c>
      <c r="K6" s="4">
        <f>Depreciation!K8+Depreciation!K9</f>
        <v>9308045.339364497</v>
      </c>
      <c r="L6" s="4">
        <f>Depreciation!L8+Depreciation!L9</f>
        <v>10369554.568239573</v>
      </c>
      <c r="M6" s="4">
        <f>Depreciation!M8+Depreciation!M9</f>
        <v>11489468.949335143</v>
      </c>
      <c r="N6" s="4">
        <f>Depreciation!N8+Depreciation!N9</f>
        <v>12670439.426942952</v>
      </c>
      <c r="O6" s="4">
        <f>Depreciation!O8+Depreciation!O9</f>
        <v>13915226.798913548</v>
      </c>
      <c r="P6" s="4">
        <f>Depreciation!P8+Depreciation!P9</f>
        <v>15226706.032717062</v>
      </c>
      <c r="Q6" s="4">
        <f>Depreciation!Q8+Depreciation!Q9</f>
        <v>16607870.745241914</v>
      </c>
      <c r="R6" s="4">
        <f>Depreciation!R8+Depreciation!R9</f>
        <v>18061837.852390863</v>
      </c>
      <c r="S6" s="4">
        <f>Depreciation!S8+Depreciation!S9</f>
        <v>19591852.394754212</v>
      </c>
      <c r="T6" s="4">
        <f>Depreciation!T8+Depreciation!T9</f>
        <v>21201292.545867965</v>
      </c>
      <c r="U6" s="4">
        <f>Depreciation!U8+Depreciation!U9</f>
        <v>22893674.809800774</v>
      </c>
      <c r="V6" s="4">
        <f>Depreciation!V8+Depreciation!V9</f>
        <v>24672659.415058319</v>
      </c>
      <c r="W6" s="4">
        <f>Depreciation!W8+Depreciation!W9</f>
        <v>26542055.912047107</v>
      </c>
      <c r="X6" s="4">
        <f>Depreciation!X8+Depreciation!X9</f>
        <v>28505828.981602143</v>
      </c>
      <c r="Y6" s="4">
        <f>Depreciation!Y8+Depreciation!Y9</f>
        <v>30568104.462354779</v>
      </c>
      <c r="Z6" s="4">
        <f>Depreciation!Z8+Depreciation!Z9</f>
        <v>32733175.604998428</v>
      </c>
      <c r="AA6" s="4">
        <f>Depreciation!AA8+Depreciation!AA9</f>
        <v>35005509.561801814</v>
      </c>
      <c r="AB6" s="4">
        <f>Depreciation!AB8+Depreciation!AB9</f>
        <v>37389754.120021097</v>
      </c>
      <c r="AC6" s="4">
        <f>Depreciation!AC8+Depreciation!AC9</f>
        <v>39890744.688175134</v>
      </c>
      <c r="AD6" s="4">
        <f>Depreciation!AD8+Depreciation!AD9</f>
        <v>42513511.544472128</v>
      </c>
      <c r="AE6" s="4">
        <f>Depreciation!AE8+Depreciation!AE9</f>
        <v>45263287.357011437</v>
      </c>
      <c r="AF6" s="4">
        <f>Depreciation!AF8+Depreciation!AF9</f>
        <v>48145514.985731706</v>
      </c>
      <c r="AG6" s="4"/>
      <c r="AH6" s="4"/>
      <c r="AI6" s="4"/>
      <c r="AJ6" s="4"/>
      <c r="AK6" s="4"/>
      <c r="AL6" s="4"/>
      <c r="AM6" s="4"/>
      <c r="AN6" s="4"/>
      <c r="AO6" s="4"/>
      <c r="AP6" s="4"/>
    </row>
    <row r="7" spans="1:42" x14ac:dyDescent="0.35">
      <c r="A7" t="s">
        <v>23</v>
      </c>
      <c r="C7" s="4">
        <f ca="1">C6+C5</f>
        <v>4342145.0851941528</v>
      </c>
      <c r="D7" s="4">
        <f ca="1">D6+D5</f>
        <v>8054867.9482608028</v>
      </c>
      <c r="E7" s="4">
        <f t="shared" ref="E7:AF7" ca="1" si="1">E6+E5</f>
        <v>13088004.069428455</v>
      </c>
      <c r="F7" s="4">
        <f t="shared" ca="1" si="1"/>
        <v>20623439.739359874</v>
      </c>
      <c r="G7" s="4">
        <f ca="1">G6+G5</f>
        <v>22785482.917797606</v>
      </c>
      <c r="H7" s="4">
        <f t="shared" ca="1" si="1"/>
        <v>25304588.67714579</v>
      </c>
      <c r="I7" s="4">
        <f t="shared" ca="1" si="1"/>
        <v>28229585.649718441</v>
      </c>
      <c r="J7" s="4">
        <f t="shared" ca="1" si="1"/>
        <v>29713856.447073374</v>
      </c>
      <c r="K7" s="4">
        <f t="shared" ca="1" si="1"/>
        <v>31330115.331764773</v>
      </c>
      <c r="L7" s="4">
        <f t="shared" ca="1" si="1"/>
        <v>33091112.90088417</v>
      </c>
      <c r="M7" s="4">
        <f t="shared" ca="1" si="1"/>
        <v>35010698.971831873</v>
      </c>
      <c r="N7" s="4">
        <f t="shared" ca="1" si="1"/>
        <v>37103908.140872583</v>
      </c>
      <c r="O7" s="4">
        <f t="shared" ca="1" si="1"/>
        <v>39387051.555116124</v>
      </c>
      <c r="P7" s="4">
        <f t="shared" ca="1" si="1"/>
        <v>41877815.329366468</v>
      </c>
      <c r="Q7" s="4">
        <f t="shared" ca="1" si="1"/>
        <v>43860422.609050035</v>
      </c>
      <c r="R7" s="4">
        <f t="shared" ca="1" si="1"/>
        <v>45976874.383815348</v>
      </c>
      <c r="S7" s="4">
        <f t="shared" ca="1" si="1"/>
        <v>48237770.906861246</v>
      </c>
      <c r="T7" s="4">
        <f t="shared" ca="1" si="1"/>
        <v>50654511.577387124</v>
      </c>
      <c r="U7" s="4">
        <f t="shared" ca="1" si="1"/>
        <v>53239350.372469924</v>
      </c>
      <c r="V7" s="4">
        <f t="shared" ca="1" si="1"/>
        <v>56005454.868700877</v>
      </c>
      <c r="W7" s="4">
        <f t="shared" ca="1" si="1"/>
        <v>58966969.074621081</v>
      </c>
      <c r="X7" s="4">
        <f t="shared" ca="1" si="1"/>
        <v>62139080.308122322</v>
      </c>
      <c r="Y7" s="4">
        <f t="shared" ca="1" si="1"/>
        <v>65538090.366866186</v>
      </c>
      <c r="Z7" s="4">
        <f t="shared" ca="1" si="1"/>
        <v>69181491.254464179</v>
      </c>
      <c r="AA7" s="4">
        <f t="shared" ca="1" si="1"/>
        <v>73088045.740699589</v>
      </c>
      <c r="AB7" s="4">
        <f t="shared" ca="1" si="1"/>
        <v>77277873.050506219</v>
      </c>
      <c r="AC7" s="4">
        <f t="shared" ca="1" si="1"/>
        <v>79003303.364758551</v>
      </c>
      <c r="AD7" s="4">
        <f t="shared" ca="1" si="1"/>
        <v>80711666.995274886</v>
      </c>
      <c r="AE7" s="4">
        <f t="shared" ca="1" si="1"/>
        <v>82398729.099443674</v>
      </c>
      <c r="AF7" s="4">
        <f t="shared" ca="1" si="1"/>
        <v>84059957.056738749</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26597954.536789794</v>
      </c>
      <c r="D10" s="9">
        <f>Investment!D25</f>
        <v>28042639.737455063</v>
      </c>
      <c r="E10" s="9">
        <f>Investment!E25</f>
        <v>29552548.485517237</v>
      </c>
      <c r="F10" s="9">
        <f>Investment!F25</f>
        <v>31130375.730364244</v>
      </c>
      <c r="G10" s="9">
        <f>Investment!G25</f>
        <v>32778922.109232292</v>
      </c>
      <c r="H10" s="9">
        <f>Investment!H25</f>
        <v>34501097.951599985</v>
      </c>
      <c r="I10" s="9">
        <f>Investment!I25</f>
        <v>36299927.431639366</v>
      </c>
      <c r="J10" s="9">
        <f>Investment!J25</f>
        <v>38178552.874098837</v>
      </c>
      <c r="K10" s="9">
        <f>Investment!K25</f>
        <v>40140239.21918571</v>
      </c>
      <c r="L10" s="9">
        <f>Investment!L25</f>
        <v>42188378.652215064</v>
      </c>
      <c r="M10" s="9">
        <f>Investment!M25</f>
        <v>44326495.403997846</v>
      </c>
      <c r="N10" s="9">
        <f>Investment!N25</f>
        <v>46558250.728154868</v>
      </c>
      <c r="O10" s="9">
        <f>Investment!O25</f>
        <v>48887448.06176424</v>
      </c>
      <c r="P10" s="9">
        <f>Investment!P25</f>
        <v>51318038.375978969</v>
      </c>
      <c r="Q10" s="9">
        <f>Investment!Q25</f>
        <v>53854125.723488197</v>
      </c>
      <c r="R10" s="9">
        <f>Investment!R25</f>
        <v>56499972.989941038</v>
      </c>
      <c r="S10" s="9">
        <f>Investment!S25</f>
        <v>59260007.856706001</v>
      </c>
      <c r="T10" s="9">
        <f>Investment!T25</f>
        <v>62138828.982602209</v>
      </c>
      <c r="U10" s="9">
        <f>Investment!U25</f>
        <v>65141212.412510507</v>
      </c>
      <c r="V10" s="9">
        <f>Investment!V25</f>
        <v>68272118.221054763</v>
      </c>
      <c r="W10" s="9">
        <f>Investment!W25</f>
        <v>71536697.399835438</v>
      </c>
      <c r="X10" s="9">
        <f>Investment!X25</f>
        <v>74940298.996999696</v>
      </c>
      <c r="Y10" s="9">
        <f>Investment!Y25</f>
        <v>78488477.518245041</v>
      </c>
      <c r="Z10" s="9">
        <f>Investment!Z25</f>
        <v>82187000.598677188</v>
      </c>
      <c r="AA10" s="9">
        <f>Investment!AA25</f>
        <v>86041856.955278322</v>
      </c>
      <c r="AB10" s="9">
        <f>Investment!AB25</f>
        <v>90059264.630088836</v>
      </c>
      <c r="AC10" s="9">
        <f>Investment!AC25</f>
        <v>94245679.534565032</v>
      </c>
      <c r="AD10" s="9">
        <f>Investment!AD25</f>
        <v>98607804.305946514</v>
      </c>
      <c r="AE10" s="9">
        <f>Investment!AE25</f>
        <v>103152597.486853</v>
      </c>
      <c r="AF10" s="9">
        <f>Investment!AF25</f>
        <v>107887283.03972819</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-22255809.451595642</v>
      </c>
      <c r="D12" s="1">
        <f t="shared" ref="D12:AF12" ca="1" si="2">D7-D9-D10</f>
        <v>-19987771.78919426</v>
      </c>
      <c r="E12" s="1">
        <f ca="1">E7-E9-E10</f>
        <v>-16464544.416088782</v>
      </c>
      <c r="F12" s="1">
        <f t="shared" ca="1" si="2"/>
        <v>-10506935.99100437</v>
      </c>
      <c r="G12" s="1">
        <f ca="1">G7-G9-G10</f>
        <v>-9993439.1914346851</v>
      </c>
      <c r="H12" s="1">
        <f t="shared" ca="1" si="2"/>
        <v>-9196509.2744541951</v>
      </c>
      <c r="I12" s="1">
        <f t="shared" ca="1" si="2"/>
        <v>-8070341.7819209248</v>
      </c>
      <c r="J12" s="1">
        <f t="shared" ca="1" si="2"/>
        <v>-8464696.4270254634</v>
      </c>
      <c r="K12" s="1">
        <f t="shared" ca="1" si="2"/>
        <v>-8810123.8874209374</v>
      </c>
      <c r="L12" s="1">
        <f t="shared" ca="1" si="2"/>
        <v>-9097265.7513308935</v>
      </c>
      <c r="M12" s="1">
        <f t="shared" ca="1" si="2"/>
        <v>-9315796.4321659729</v>
      </c>
      <c r="N12" s="1">
        <f t="shared" ca="1" si="2"/>
        <v>-9454342.5872822851</v>
      </c>
      <c r="O12" s="1">
        <f t="shared" ca="1" si="2"/>
        <v>-9500396.5066481158</v>
      </c>
      <c r="P12" s="1">
        <f t="shared" ca="1" si="2"/>
        <v>-9440223.0466125011</v>
      </c>
      <c r="Q12" s="1">
        <f t="shared" ca="1" si="2"/>
        <v>-9993703.1144381613</v>
      </c>
      <c r="R12" s="1">
        <f t="shared" ca="1" si="2"/>
        <v>-10523098.60612569</v>
      </c>
      <c r="S12" s="1">
        <f t="shared" ca="1" si="2"/>
        <v>-11022236.949844755</v>
      </c>
      <c r="T12" s="1">
        <f t="shared" ca="1" si="2"/>
        <v>-11484317.405215085</v>
      </c>
      <c r="U12" s="1">
        <f t="shared" ca="1" si="2"/>
        <v>-11901862.040040582</v>
      </c>
      <c r="V12" s="1">
        <f t="shared" ca="1" si="2"/>
        <v>-12266663.352353886</v>
      </c>
      <c r="W12" s="1">
        <f t="shared" ca="1" si="2"/>
        <v>-12569728.325214356</v>
      </c>
      <c r="X12" s="1">
        <f t="shared" ca="1" si="2"/>
        <v>-12801218.688877374</v>
      </c>
      <c r="Y12" s="1">
        <f t="shared" ca="1" si="2"/>
        <v>-12950387.151378855</v>
      </c>
      <c r="Z12" s="1">
        <f t="shared" ca="1" si="2"/>
        <v>-13005509.344213009</v>
      </c>
      <c r="AA12" s="1">
        <f t="shared" ca="1" si="2"/>
        <v>-12953811.214578733</v>
      </c>
      <c r="AB12" s="1">
        <f t="shared" ca="1" si="2"/>
        <v>-12781391.579582617</v>
      </c>
      <c r="AC12" s="1">
        <f t="shared" ca="1" si="2"/>
        <v>-15242376.16980648</v>
      </c>
      <c r="AD12" s="1">
        <f t="shared" ca="1" si="2"/>
        <v>-17896137.310671628</v>
      </c>
      <c r="AE12" s="1">
        <f t="shared" ca="1" si="2"/>
        <v>-20753868.387409329</v>
      </c>
      <c r="AF12" s="1">
        <f t="shared" ca="1" si="2"/>
        <v>-23827325.982989445</v>
      </c>
      <c r="AG12" s="1"/>
      <c r="AH12" s="1"/>
      <c r="AI12" s="1"/>
      <c r="AJ12" s="1"/>
      <c r="AK12" s="1"/>
      <c r="AL12" s="1"/>
      <c r="AM12" s="1"/>
      <c r="AN12" s="1"/>
      <c r="AO12" s="1"/>
      <c r="AP12" s="1"/>
    </row>
    <row r="13" spans="1:42" x14ac:dyDescent="0.35">
      <c r="A13" t="s">
        <v>19</v>
      </c>
      <c r="C13" s="1">
        <f ca="1">C12</f>
        <v>-22255809.451595642</v>
      </c>
      <c r="D13" s="1">
        <f ca="1">D12</f>
        <v>-19987771.78919426</v>
      </c>
      <c r="E13" s="1">
        <f ca="1">E12</f>
        <v>-16464544.416088782</v>
      </c>
      <c r="F13" s="1">
        <f t="shared" ref="F13:AF13" ca="1" si="3">F12</f>
        <v>-10506935.99100437</v>
      </c>
      <c r="G13" s="1">
        <f ca="1">G12</f>
        <v>-9993439.1914346851</v>
      </c>
      <c r="H13" s="1">
        <f t="shared" ca="1" si="3"/>
        <v>-9196509.2744541951</v>
      </c>
      <c r="I13" s="1">
        <f t="shared" ca="1" si="3"/>
        <v>-8070341.7819209248</v>
      </c>
      <c r="J13" s="1">
        <f t="shared" ca="1" si="3"/>
        <v>-8464696.4270254634</v>
      </c>
      <c r="K13" s="1">
        <f t="shared" ca="1" si="3"/>
        <v>-8810123.8874209374</v>
      </c>
      <c r="L13" s="1">
        <f t="shared" ca="1" si="3"/>
        <v>-9097265.7513308935</v>
      </c>
      <c r="M13" s="1">
        <f t="shared" ca="1" si="3"/>
        <v>-9315796.4321659729</v>
      </c>
      <c r="N13" s="1">
        <f t="shared" ca="1" si="3"/>
        <v>-9454342.5872822851</v>
      </c>
      <c r="O13" s="1">
        <f t="shared" ca="1" si="3"/>
        <v>-9500396.5066481158</v>
      </c>
      <c r="P13" s="1">
        <f t="shared" ca="1" si="3"/>
        <v>-9440223.0466125011</v>
      </c>
      <c r="Q13" s="1">
        <f t="shared" ca="1" si="3"/>
        <v>-9993703.1144381613</v>
      </c>
      <c r="R13" s="1">
        <f t="shared" ca="1" si="3"/>
        <v>-10523098.60612569</v>
      </c>
      <c r="S13" s="1">
        <f t="shared" ca="1" si="3"/>
        <v>-11022236.949844755</v>
      </c>
      <c r="T13" s="1">
        <f t="shared" ca="1" si="3"/>
        <v>-11484317.405215085</v>
      </c>
      <c r="U13" s="1">
        <f t="shared" ca="1" si="3"/>
        <v>-11901862.040040582</v>
      </c>
      <c r="V13" s="1">
        <f t="shared" ca="1" si="3"/>
        <v>-12266663.352353886</v>
      </c>
      <c r="W13" s="1">
        <f t="shared" ca="1" si="3"/>
        <v>-12569728.325214356</v>
      </c>
      <c r="X13" s="1">
        <f t="shared" ca="1" si="3"/>
        <v>-12801218.688877374</v>
      </c>
      <c r="Y13" s="1">
        <f t="shared" ca="1" si="3"/>
        <v>-12950387.151378855</v>
      </c>
      <c r="Z13" s="1">
        <f t="shared" ca="1" si="3"/>
        <v>-13005509.344213009</v>
      </c>
      <c r="AA13" s="1">
        <f t="shared" ca="1" si="3"/>
        <v>-12953811.214578733</v>
      </c>
      <c r="AB13" s="1">
        <f t="shared" ca="1" si="3"/>
        <v>-12781391.579582617</v>
      </c>
      <c r="AC13" s="1">
        <f t="shared" ca="1" si="3"/>
        <v>-15242376.16980648</v>
      </c>
      <c r="AD13" s="1">
        <f t="shared" ca="1" si="3"/>
        <v>-17896137.310671628</v>
      </c>
      <c r="AE13" s="1">
        <f t="shared" ca="1" si="3"/>
        <v>-20753868.387409329</v>
      </c>
      <c r="AF13" s="1">
        <f t="shared" ca="1" si="3"/>
        <v>-23827325.982989445</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136</v>
      </c>
      <c r="C6" s="9">
        <f>Assumptions!C17</f>
        <v>144288089.75999996</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72144044.87999998</v>
      </c>
      <c r="D7" s="9">
        <f>C12</f>
        <v>74777583.41678977</v>
      </c>
      <c r="E7" s="9">
        <f>D12</f>
        <v>78088945.842244834</v>
      </c>
      <c r="F7" s="9">
        <f t="shared" ref="F7:H7" si="1">E12</f>
        <v>82118816.141778082</v>
      </c>
      <c r="G7" s="9">
        <f t="shared" si="1"/>
        <v>86909787.98420684</v>
      </c>
      <c r="H7" s="9">
        <f t="shared" si="1"/>
        <v>92506445.281089708</v>
      </c>
      <c r="I7" s="9">
        <f t="shared" ref="I7" si="2">H12</f>
        <v>98955445.946345091</v>
      </c>
      <c r="J7" s="9">
        <f t="shared" ref="J7" si="3">I12</f>
        <v>106305608.97847684</v>
      </c>
      <c r="K7" s="9">
        <f t="shared" ref="K7" si="4">J12</f>
        <v>114608004.99228381</v>
      </c>
      <c r="L7" s="9">
        <f t="shared" ref="L7" si="5">K12</f>
        <v>123916050.33164831</v>
      </c>
      <c r="M7" s="9">
        <f t="shared" ref="M7" si="6">L12</f>
        <v>134285604.89988786</v>
      </c>
      <c r="N7" s="9">
        <f t="shared" ref="N7" si="7">M12</f>
        <v>145775073.84922302</v>
      </c>
      <c r="O7" s="9">
        <f t="shared" ref="O7" si="8">N12</f>
        <v>158445513.27616596</v>
      </c>
      <c r="P7" s="9">
        <f t="shared" ref="P7" si="9">O12</f>
        <v>172360740.07507953</v>
      </c>
      <c r="Q7" s="9">
        <f t="shared" ref="Q7" si="10">P12</f>
        <v>187587446.10779661</v>
      </c>
      <c r="R7" s="9">
        <f t="shared" ref="R7" si="11">Q12</f>
        <v>204195316.85303855</v>
      </c>
      <c r="S7" s="9">
        <f t="shared" ref="S7" si="12">R12</f>
        <v>222257154.7054294</v>
      </c>
      <c r="T7" s="9">
        <f t="shared" ref="T7" si="13">S12</f>
        <v>241849007.10018364</v>
      </c>
      <c r="U7" s="9">
        <f t="shared" ref="U7" si="14">T12</f>
        <v>263050299.64605162</v>
      </c>
      <c r="V7" s="9">
        <f t="shared" ref="V7" si="15">U12</f>
        <v>285943974.45585239</v>
      </c>
      <c r="W7" s="9">
        <f t="shared" ref="W7" si="16">V12</f>
        <v>310616633.8709107</v>
      </c>
      <c r="X7" s="9">
        <f t="shared" ref="X7" si="17">W12</f>
        <v>337158689.78295779</v>
      </c>
      <c r="Y7" s="9">
        <f t="shared" ref="Y7" si="18">X12</f>
        <v>365664518.76455998</v>
      </c>
      <c r="Z7" s="9">
        <f t="shared" ref="Z7" si="19">Y12</f>
        <v>396232623.22691476</v>
      </c>
      <c r="AA7" s="9">
        <f t="shared" ref="AA7" si="20">Z12</f>
        <v>428965798.83191317</v>
      </c>
      <c r="AB7" s="9">
        <f t="shared" ref="AB7" si="21">AA12</f>
        <v>463971308.39371496</v>
      </c>
      <c r="AC7" s="9">
        <f t="shared" ref="AC7" si="22">AB12</f>
        <v>501361062.51373607</v>
      </c>
      <c r="AD7" s="9">
        <f t="shared" ref="AD7" si="23">AC12</f>
        <v>541251807.20191121</v>
      </c>
      <c r="AE7" s="9">
        <f t="shared" ref="AE7" si="24">AD12</f>
        <v>583765318.74638331</v>
      </c>
      <c r="AF7" s="9">
        <f t="shared" ref="AF7" si="25">AE12</f>
        <v>629028606.10339475</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137</v>
      </c>
      <c r="C8" s="9">
        <f>Assumptions!D111*Assumptions!D11</f>
        <v>2058392.5527897917</v>
      </c>
      <c r="D8" s="9">
        <f>Assumptions!E111*Assumptions!E11</f>
        <v>2124261.1144790649</v>
      </c>
      <c r="E8" s="9">
        <f>Assumptions!F111*Assumptions!F11</f>
        <v>2192237.4701423948</v>
      </c>
      <c r="F8" s="9">
        <f>Assumptions!G111*Assumptions!G11</f>
        <v>2262389.0691869515</v>
      </c>
      <c r="G8" s="9">
        <f>Assumptions!H111*Assumptions!H11</f>
        <v>2334785.5194009342</v>
      </c>
      <c r="H8" s="9">
        <f>Assumptions!I111*Assumptions!I11</f>
        <v>2409498.656021764</v>
      </c>
      <c r="I8" s="9">
        <f>Assumptions!J111*Assumptions!J11</f>
        <v>2486602.6130144601</v>
      </c>
      <c r="J8" s="9">
        <f>Assumptions!K111*Assumptions!K11</f>
        <v>2566173.8966309233</v>
      </c>
      <c r="K8" s="9">
        <f>Assumptions!L111*Assumptions!L11</f>
        <v>2648291.4613231127</v>
      </c>
      <c r="L8" s="9">
        <f>Assumptions!M111*Assumptions!M11</f>
        <v>2733036.7880854523</v>
      </c>
      <c r="M8" s="9">
        <f>Assumptions!N111*Assumptions!N11</f>
        <v>2820493.9653041866</v>
      </c>
      <c r="N8" s="9">
        <f>Assumptions!O111*Assumptions!O11</f>
        <v>2910749.7721939208</v>
      </c>
      <c r="O8" s="9">
        <f>Assumptions!P111*Assumptions!P11</f>
        <v>3003893.7649041265</v>
      </c>
      <c r="P8" s="9">
        <f>Assumptions!Q111*Assumptions!Q11</f>
        <v>3100018.3653810578</v>
      </c>
      <c r="Q8" s="9">
        <f>Assumptions!R111*Assumptions!R11</f>
        <v>3199218.9530732511</v>
      </c>
      <c r="R8" s="9">
        <f>Assumptions!S111*Assumptions!S11</f>
        <v>3301593.9595715958</v>
      </c>
      <c r="S8" s="9">
        <f>Assumptions!T111*Assumptions!T11</f>
        <v>3407244.9662778871</v>
      </c>
      <c r="T8" s="9">
        <f>Assumptions!U111*Assumptions!U11</f>
        <v>3516276.8051987793</v>
      </c>
      <c r="U8" s="9">
        <f>Assumptions!V111*Assumptions!V11</f>
        <v>3628797.6629651398</v>
      </c>
      <c r="V8" s="9">
        <f>Assumptions!W111*Assumptions!W11</f>
        <v>3744919.1881800247</v>
      </c>
      <c r="W8" s="9">
        <f>Assumptions!X111*Assumptions!X11</f>
        <v>3864756.6022017859</v>
      </c>
      <c r="X8" s="9">
        <f>Assumptions!Y111*Assumptions!Y11</f>
        <v>3988428.8134722426</v>
      </c>
      <c r="Y8" s="9">
        <f>Assumptions!Z111*Assumptions!Z11</f>
        <v>4116058.5355033535</v>
      </c>
      <c r="Z8" s="9">
        <f>Assumptions!AA111*Assumptions!AA11</f>
        <v>4247772.4086394608</v>
      </c>
      <c r="AA8" s="9">
        <f>Assumptions!AB111*Assumptions!AB11</f>
        <v>4383701.1257159254</v>
      </c>
      <c r="AB8" s="9">
        <f>Assumptions!AC111*Assumptions!AC11</f>
        <v>4523979.5617388338</v>
      </c>
      <c r="AC8" s="9">
        <f>Assumptions!AD111*Assumptions!AD11</f>
        <v>4668746.9077144759</v>
      </c>
      <c r="AD8" s="9">
        <f>Assumptions!AE111*Assumptions!AE11</f>
        <v>4818146.8087613396</v>
      </c>
      <c r="AE8" s="9">
        <f>Assumptions!AF111*Assumptions!AF11</f>
        <v>4972327.5066417027</v>
      </c>
      <c r="AF8" s="9">
        <f>Assumptions!AG111*Assumptions!AG11</f>
        <v>5131441.9868542366</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575145.98400000005</v>
      </c>
      <c r="D9" s="9">
        <f>Assumptions!E120*Assumptions!E11</f>
        <v>1187101.310976</v>
      </c>
      <c r="E9" s="9">
        <f>Assumptions!F120*Assumptions!F11</f>
        <v>1837632.8293908478</v>
      </c>
      <c r="F9" s="9">
        <f>Assumptions!G120*Assumptions!G11</f>
        <v>2528582.7732418068</v>
      </c>
      <c r="G9" s="9">
        <f>Assumptions!H120*Assumptions!H11</f>
        <v>3261871.7774819303</v>
      </c>
      <c r="H9" s="9">
        <f>Assumptions!I120*Assumptions!I11</f>
        <v>4039502.0092336228</v>
      </c>
      <c r="I9" s="9">
        <f>Assumptions!J120*Assumptions!J11</f>
        <v>4863560.4191172812</v>
      </c>
      <c r="J9" s="9">
        <f>Assumptions!K120*Assumptions!K11</f>
        <v>5736222.117176041</v>
      </c>
      <c r="K9" s="9">
        <f>Assumptions!L120*Assumptions!L11</f>
        <v>6659753.8780413838</v>
      </c>
      <c r="L9" s="9">
        <f>Assumptions!M120*Assumptions!M11</f>
        <v>7636517.7801541202</v>
      </c>
      <c r="M9" s="9">
        <f>Assumptions!N120*Assumptions!N11</f>
        <v>8668974.9840309564</v>
      </c>
      <c r="N9" s="9">
        <f>Assumptions!O120*Assumptions!O11</f>
        <v>9759689.6547490321</v>
      </c>
      <c r="O9" s="9">
        <f>Assumptions!P120*Assumptions!P11</f>
        <v>10911333.034009421</v>
      </c>
      <c r="P9" s="9">
        <f>Assumptions!Q120*Assumptions!Q11</f>
        <v>12126687.667336004</v>
      </c>
      <c r="Q9" s="9">
        <f>Assumptions!R120*Assumptions!R11</f>
        <v>13408651.792168664</v>
      </c>
      <c r="R9" s="9">
        <f>Assumptions!S120*Assumptions!S11</f>
        <v>14760243.892819269</v>
      </c>
      <c r="S9" s="9">
        <f>Assumptions!T120*Assumptions!T11</f>
        <v>16184607.428476326</v>
      </c>
      <c r="T9" s="9">
        <f>Assumptions!U120*Assumptions!U11</f>
        <v>17685015.740669187</v>
      </c>
      <c r="U9" s="9">
        <f>Assumptions!V120*Assumptions!V11</f>
        <v>19264877.146835633</v>
      </c>
      <c r="V9" s="9">
        <f>Assumptions!W120*Assumptions!W11</f>
        <v>20927740.226878293</v>
      </c>
      <c r="W9" s="9">
        <f>Assumptions!X120*Assumptions!X11</f>
        <v>22677299.309845321</v>
      </c>
      <c r="X9" s="9">
        <f>Assumptions!Y120*Assumptions!Y11</f>
        <v>24517400.168129902</v>
      </c>
      <c r="Y9" s="9">
        <f>Assumptions!Z120*Assumptions!Z11</f>
        <v>26452045.926851425</v>
      </c>
      <c r="Z9" s="9">
        <f>Assumptions!AA120*Assumptions!AA11</f>
        <v>28485403.196358968</v>
      </c>
      <c r="AA9" s="9">
        <f>Assumptions!AB120*Assumptions!AB11</f>
        <v>30621808.436085891</v>
      </c>
      <c r="AB9" s="9">
        <f>Assumptions!AC120*Assumptions!AC11</f>
        <v>32865774.558282264</v>
      </c>
      <c r="AC9" s="9">
        <f>Assumptions!AD120*Assumptions!AD11</f>
        <v>35221997.780460656</v>
      </c>
      <c r="AD9" s="9">
        <f>Assumptions!AE120*Assumptions!AE11</f>
        <v>37695364.735710785</v>
      </c>
      <c r="AE9" s="9">
        <f>Assumptions!AF120*Assumptions!AF11</f>
        <v>40290959.850369737</v>
      </c>
      <c r="AF9" s="9">
        <f>Assumptions!AG120*Assumptions!AG11</f>
        <v>43014072.998877473</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36</v>
      </c>
      <c r="C10" s="9">
        <f>SUM($C$8:C9)</f>
        <v>2633538.5367897917</v>
      </c>
      <c r="D10" s="9">
        <f>SUM($C$8:D9)</f>
        <v>5944900.9622448571</v>
      </c>
      <c r="E10" s="9">
        <f>SUM($C$8:E9)</f>
        <v>9974771.2617780995</v>
      </c>
      <c r="F10" s="9">
        <f>SUM($C$8:F9)</f>
        <v>14765743.104206858</v>
      </c>
      <c r="G10" s="9">
        <f>SUM($C$8:G9)</f>
        <v>20362400.40108972</v>
      </c>
      <c r="H10" s="9">
        <f>SUM($C$8:H9)</f>
        <v>26811401.066345111</v>
      </c>
      <c r="I10" s="9">
        <f>SUM($C$8:I9)</f>
        <v>34161564.098476849</v>
      </c>
      <c r="J10" s="9">
        <f>SUM($C$8:J9)</f>
        <v>42463960.112283811</v>
      </c>
      <c r="K10" s="9">
        <f>SUM($C$8:K9)</f>
        <v>51772005.45164831</v>
      </c>
      <c r="L10" s="9">
        <f>SUM($C$8:L9)</f>
        <v>62141560.019887879</v>
      </c>
      <c r="M10" s="9">
        <f>SUM($C$8:M9)</f>
        <v>73631028.969223037</v>
      </c>
      <c r="N10" s="9">
        <f>SUM($C$8:N9)</f>
        <v>86301468.396165982</v>
      </c>
      <c r="O10" s="9">
        <f>SUM($C$8:O9)</f>
        <v>100216695.19507954</v>
      </c>
      <c r="P10" s="9">
        <f>SUM($C$8:P9)</f>
        <v>115443401.2277966</v>
      </c>
      <c r="Q10" s="9">
        <f>SUM($C$8:Q9)</f>
        <v>132051271.97303851</v>
      </c>
      <c r="R10" s="9">
        <f>SUM($C$8:R9)</f>
        <v>150113109.82542935</v>
      </c>
      <c r="S10" s="9">
        <f>SUM($C$8:S9)</f>
        <v>169704962.22018361</v>
      </c>
      <c r="T10" s="9">
        <f>SUM($C$8:T9)</f>
        <v>190906254.76605156</v>
      </c>
      <c r="U10" s="9">
        <f>SUM($C$8:U9)</f>
        <v>213799929.57585233</v>
      </c>
      <c r="V10" s="9">
        <f>SUM($C$8:V9)</f>
        <v>238472588.99091065</v>
      </c>
      <c r="W10" s="9">
        <f>SUM($C$8:W9)</f>
        <v>265014644.90295777</v>
      </c>
      <c r="X10" s="9">
        <f>SUM($C$8:X9)</f>
        <v>293520473.88455993</v>
      </c>
      <c r="Y10" s="9">
        <f>SUM($C$8:Y9)</f>
        <v>324088578.34691471</v>
      </c>
      <c r="Z10" s="9">
        <f>SUM($C$8:Z9)</f>
        <v>356821753.95191318</v>
      </c>
      <c r="AA10" s="9">
        <f>SUM($C$8:AA9)</f>
        <v>391827263.51371497</v>
      </c>
      <c r="AB10" s="9">
        <f>SUM($C$8:AB9)</f>
        <v>429217017.63373607</v>
      </c>
      <c r="AC10" s="9">
        <f>SUM($C$8:AC9)</f>
        <v>469107762.32191122</v>
      </c>
      <c r="AD10" s="9">
        <f>SUM($C$8:AD9)</f>
        <v>511621273.86638337</v>
      </c>
      <c r="AE10" s="9">
        <f>SUM($C$8:AE9)</f>
        <v>556884561.22339475</v>
      </c>
      <c r="AF10" s="9">
        <f>SUM($C$8:AF9)</f>
        <v>605030076.20912659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74777583.41678977</v>
      </c>
      <c r="D12" s="9">
        <f>D7+D8+D9</f>
        <v>78088945.842244834</v>
      </c>
      <c r="E12" s="9">
        <f>E7+E8+E9</f>
        <v>82118816.141778082</v>
      </c>
      <c r="F12" s="9">
        <f t="shared" ref="F12:H12" si="26">F7+F8+F9</f>
        <v>86909787.98420684</v>
      </c>
      <c r="G12" s="9">
        <f t="shared" si="26"/>
        <v>92506445.281089708</v>
      </c>
      <c r="H12" s="9">
        <f t="shared" si="26"/>
        <v>98955445.946345091</v>
      </c>
      <c r="I12" s="9">
        <f t="shared" ref="I12:AF12" si="27">I7+I8+I9</f>
        <v>106305608.97847684</v>
      </c>
      <c r="J12" s="9">
        <f t="shared" si="27"/>
        <v>114608004.99228381</v>
      </c>
      <c r="K12" s="9">
        <f t="shared" si="27"/>
        <v>123916050.33164831</v>
      </c>
      <c r="L12" s="9">
        <f t="shared" si="27"/>
        <v>134285604.89988786</v>
      </c>
      <c r="M12" s="9">
        <f t="shared" si="27"/>
        <v>145775073.84922302</v>
      </c>
      <c r="N12" s="9">
        <f t="shared" si="27"/>
        <v>158445513.27616596</v>
      </c>
      <c r="O12" s="9">
        <f t="shared" si="27"/>
        <v>172360740.07507953</v>
      </c>
      <c r="P12" s="9">
        <f t="shared" si="27"/>
        <v>187587446.10779661</v>
      </c>
      <c r="Q12" s="9">
        <f t="shared" si="27"/>
        <v>204195316.85303855</v>
      </c>
      <c r="R12" s="9">
        <f t="shared" si="27"/>
        <v>222257154.7054294</v>
      </c>
      <c r="S12" s="9">
        <f t="shared" si="27"/>
        <v>241849007.10018364</v>
      </c>
      <c r="T12" s="9">
        <f t="shared" si="27"/>
        <v>263050299.64605162</v>
      </c>
      <c r="U12" s="9">
        <f t="shared" si="27"/>
        <v>285943974.45585239</v>
      </c>
      <c r="V12" s="9">
        <f t="shared" si="27"/>
        <v>310616633.8709107</v>
      </c>
      <c r="W12" s="9">
        <f t="shared" si="27"/>
        <v>337158689.78295779</v>
      </c>
      <c r="X12" s="9">
        <f t="shared" si="27"/>
        <v>365664518.76455998</v>
      </c>
      <c r="Y12" s="9">
        <f t="shared" si="27"/>
        <v>396232623.22691476</v>
      </c>
      <c r="Z12" s="9">
        <f t="shared" si="27"/>
        <v>428965798.83191317</v>
      </c>
      <c r="AA12" s="9">
        <f t="shared" si="27"/>
        <v>463971308.39371496</v>
      </c>
      <c r="AB12" s="9">
        <f t="shared" si="27"/>
        <v>501361062.51373607</v>
      </c>
      <c r="AC12" s="9">
        <f t="shared" si="27"/>
        <v>541251807.20191121</v>
      </c>
      <c r="AD12" s="9">
        <f t="shared" si="27"/>
        <v>583765318.74638331</v>
      </c>
      <c r="AE12" s="9">
        <f t="shared" si="27"/>
        <v>629028606.10339475</v>
      </c>
      <c r="AF12" s="9">
        <f t="shared" si="27"/>
        <v>677174121.08912647</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26597954.536789794</v>
      </c>
      <c r="D18" s="9">
        <f>Investment!D25</f>
        <v>28042639.737455063</v>
      </c>
      <c r="E18" s="9">
        <f>Investment!E25</f>
        <v>29552548.485517237</v>
      </c>
      <c r="F18" s="9">
        <f>Investment!F25</f>
        <v>31130375.730364244</v>
      </c>
      <c r="G18" s="9">
        <f>Investment!G25</f>
        <v>32778922.109232292</v>
      </c>
      <c r="H18" s="9">
        <f>Investment!H25</f>
        <v>34501097.951599985</v>
      </c>
      <c r="I18" s="9">
        <f>Investment!I25</f>
        <v>36299927.431639366</v>
      </c>
      <c r="J18" s="9">
        <f>Investment!J25</f>
        <v>38178552.874098837</v>
      </c>
      <c r="K18" s="9">
        <f>Investment!K25</f>
        <v>40140239.21918571</v>
      </c>
      <c r="L18" s="9">
        <f>Investment!L25</f>
        <v>42188378.652215064</v>
      </c>
      <c r="M18" s="9">
        <f>Investment!M25</f>
        <v>44326495.403997846</v>
      </c>
      <c r="N18" s="9">
        <f>Investment!N25</f>
        <v>46558250.728154868</v>
      </c>
      <c r="O18" s="9">
        <f>Investment!O25</f>
        <v>48887448.06176424</v>
      </c>
      <c r="P18" s="9">
        <f>Investment!P25</f>
        <v>51318038.375978969</v>
      </c>
      <c r="Q18" s="9">
        <f>Investment!Q25</f>
        <v>53854125.723488197</v>
      </c>
      <c r="R18" s="9">
        <f>Investment!R25</f>
        <v>56499972.989941038</v>
      </c>
      <c r="S18" s="9">
        <f>Investment!S25</f>
        <v>59260007.856706001</v>
      </c>
      <c r="T18" s="9">
        <f>Investment!T25</f>
        <v>62138828.982602209</v>
      </c>
      <c r="U18" s="9">
        <f>Investment!U25</f>
        <v>65141212.412510507</v>
      </c>
      <c r="V18" s="9">
        <f>Investment!V25</f>
        <v>68272118.221054763</v>
      </c>
      <c r="W18" s="9">
        <f>Investment!W25</f>
        <v>71536697.399835438</v>
      </c>
      <c r="X18" s="9">
        <f>Investment!X25</f>
        <v>74940298.996999696</v>
      </c>
      <c r="Y18" s="9">
        <f>Investment!Y25</f>
        <v>78488477.518245041</v>
      </c>
      <c r="Z18" s="9">
        <f>Investment!Z25</f>
        <v>82187000.598677188</v>
      </c>
      <c r="AA18" s="9">
        <f>Investment!AA25</f>
        <v>86041856.955278322</v>
      </c>
      <c r="AB18" s="9">
        <f>Investment!AB25</f>
        <v>90059264.630088836</v>
      </c>
      <c r="AC18" s="9">
        <f>Investment!AC25</f>
        <v>94245679.534565032</v>
      </c>
      <c r="AD18" s="9">
        <f>Investment!AD25</f>
        <v>98607804.305946514</v>
      </c>
      <c r="AE18" s="9">
        <f>Investment!AE25</f>
        <v>103152597.486853</v>
      </c>
      <c r="AF18" s="9">
        <f>Investment!AF25</f>
        <v>107887283.03972819</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45</v>
      </c>
      <c r="C19" s="9">
        <f>$C$6-C7+C18</f>
        <v>98741999.41678977</v>
      </c>
      <c r="D19" s="9">
        <f>D18+C20</f>
        <v>124151100.61745504</v>
      </c>
      <c r="E19" s="9">
        <f>E18+D20</f>
        <v>150392286.67751721</v>
      </c>
      <c r="F19" s="9">
        <f t="shared" ref="F19:AF19" si="28">F18+E20</f>
        <v>177492792.10834819</v>
      </c>
      <c r="G19" s="9">
        <f t="shared" si="28"/>
        <v>205480742.37515169</v>
      </c>
      <c r="H19" s="9">
        <f t="shared" si="28"/>
        <v>234385183.02986881</v>
      </c>
      <c r="I19" s="9">
        <f t="shared" si="28"/>
        <v>264236109.79625279</v>
      </c>
      <c r="J19" s="9">
        <f t="shared" si="28"/>
        <v>295064499.63821989</v>
      </c>
      <c r="K19" s="9">
        <f t="shared" si="28"/>
        <v>326902342.8435986</v>
      </c>
      <c r="L19" s="9">
        <f t="shared" si="28"/>
        <v>359782676.15644914</v>
      </c>
      <c r="M19" s="9">
        <f t="shared" si="28"/>
        <v>393739616.99220741</v>
      </c>
      <c r="N19" s="9">
        <f t="shared" si="28"/>
        <v>428808398.77102709</v>
      </c>
      <c r="O19" s="9">
        <f t="shared" si="28"/>
        <v>465025407.40584838</v>
      </c>
      <c r="P19" s="9">
        <f t="shared" si="28"/>
        <v>502428218.98291379</v>
      </c>
      <c r="Q19" s="9">
        <f t="shared" si="28"/>
        <v>541055638.67368495</v>
      </c>
      <c r="R19" s="9">
        <f t="shared" si="28"/>
        <v>580947740.91838408</v>
      </c>
      <c r="S19" s="9">
        <f t="shared" si="28"/>
        <v>622145910.92269921</v>
      </c>
      <c r="T19" s="9">
        <f t="shared" si="28"/>
        <v>664692887.51054728</v>
      </c>
      <c r="U19" s="9">
        <f t="shared" si="28"/>
        <v>708632807.37718987</v>
      </c>
      <c r="V19" s="9">
        <f t="shared" si="28"/>
        <v>754011250.7884438</v>
      </c>
      <c r="W19" s="9">
        <f t="shared" si="28"/>
        <v>800875288.77322102</v>
      </c>
      <c r="X19" s="9">
        <f t="shared" si="28"/>
        <v>849273531.85817361</v>
      </c>
      <c r="Y19" s="9">
        <f t="shared" si="28"/>
        <v>899256180.3948164</v>
      </c>
      <c r="Z19" s="9">
        <f t="shared" si="28"/>
        <v>950875076.53113878</v>
      </c>
      <c r="AA19" s="9">
        <f t="shared" si="28"/>
        <v>1004183757.8814187</v>
      </c>
      <c r="AB19" s="9">
        <f t="shared" si="28"/>
        <v>1059237512.9497056</v>
      </c>
      <c r="AC19" s="9">
        <f t="shared" si="28"/>
        <v>1116093438.3642495</v>
      </c>
      <c r="AD19" s="9">
        <f t="shared" si="28"/>
        <v>1174810497.9820211</v>
      </c>
      <c r="AE19" s="9">
        <f t="shared" si="28"/>
        <v>1235449583.9244018</v>
      </c>
      <c r="AF19" s="9">
        <f t="shared" si="28"/>
        <v>1298073579.6071186</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96108460.87999998</v>
      </c>
      <c r="D20" s="9">
        <f>D19-D8-D9</f>
        <v>120839738.19199997</v>
      </c>
      <c r="E20" s="9">
        <f t="shared" ref="E20:AF20" si="29">E19-E8-E9</f>
        <v>146362416.37798396</v>
      </c>
      <c r="F20" s="9">
        <f t="shared" si="29"/>
        <v>172701820.26591942</v>
      </c>
      <c r="G20" s="9">
        <f t="shared" si="29"/>
        <v>199884085.07826883</v>
      </c>
      <c r="H20" s="9">
        <f t="shared" si="29"/>
        <v>227936182.36461341</v>
      </c>
      <c r="I20" s="9">
        <f t="shared" si="29"/>
        <v>256885946.76412106</v>
      </c>
      <c r="J20" s="9">
        <f t="shared" si="29"/>
        <v>286762103.62441289</v>
      </c>
      <c r="K20" s="9">
        <f t="shared" si="29"/>
        <v>317594297.50423408</v>
      </c>
      <c r="L20" s="9">
        <f t="shared" si="29"/>
        <v>349413121.58820957</v>
      </c>
      <c r="M20" s="9">
        <f t="shared" si="29"/>
        <v>382250148.04287225</v>
      </c>
      <c r="N20" s="9">
        <f t="shared" si="29"/>
        <v>416137959.34408414</v>
      </c>
      <c r="O20" s="9">
        <f t="shared" si="29"/>
        <v>451110180.60693485</v>
      </c>
      <c r="P20" s="9">
        <f t="shared" si="29"/>
        <v>487201512.95019674</v>
      </c>
      <c r="Q20" s="9">
        <f t="shared" si="29"/>
        <v>524447767.92844301</v>
      </c>
      <c r="R20" s="9">
        <f t="shared" si="29"/>
        <v>562885903.06599319</v>
      </c>
      <c r="S20" s="9">
        <f t="shared" si="29"/>
        <v>602554058.52794504</v>
      </c>
      <c r="T20" s="9">
        <f t="shared" si="29"/>
        <v>643491594.96467936</v>
      </c>
      <c r="U20" s="9">
        <f t="shared" si="29"/>
        <v>685739132.56738901</v>
      </c>
      <c r="V20" s="9">
        <f t="shared" si="29"/>
        <v>729338591.37338555</v>
      </c>
      <c r="W20" s="9">
        <f t="shared" si="29"/>
        <v>774333232.86117387</v>
      </c>
      <c r="X20" s="9">
        <f t="shared" si="29"/>
        <v>820767702.87657142</v>
      </c>
      <c r="Y20" s="9">
        <f t="shared" si="29"/>
        <v>868688075.93246162</v>
      </c>
      <c r="Z20" s="9">
        <f t="shared" si="29"/>
        <v>918141900.92614043</v>
      </c>
      <c r="AA20" s="9">
        <f t="shared" si="29"/>
        <v>969178248.31961679</v>
      </c>
      <c r="AB20" s="9">
        <f t="shared" si="29"/>
        <v>1021847758.8296845</v>
      </c>
      <c r="AC20" s="9">
        <f t="shared" si="29"/>
        <v>1076202693.6760745</v>
      </c>
      <c r="AD20" s="9">
        <f t="shared" si="29"/>
        <v>1132296986.4375489</v>
      </c>
      <c r="AE20" s="9">
        <f t="shared" si="29"/>
        <v>1190186296.5673904</v>
      </c>
      <c r="AF20" s="9">
        <f t="shared" si="29"/>
        <v>1249928064.6213868</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37</v>
      </c>
      <c r="C22" s="9">
        <f>'Balance Sheet'!B11</f>
        <v>20734000</v>
      </c>
      <c r="D22" s="9">
        <f ca="1">'Balance Sheet'!C11</f>
        <v>42989809.451595642</v>
      </c>
      <c r="E22" s="9">
        <f ca="1">'Balance Sheet'!D11</f>
        <v>62977581.240789905</v>
      </c>
      <c r="F22" s="9">
        <f ca="1">'Balance Sheet'!E11</f>
        <v>79442125.65687868</v>
      </c>
      <c r="G22" s="9">
        <f ca="1">'Balance Sheet'!F11</f>
        <v>89949061.647883058</v>
      </c>
      <c r="H22" s="9">
        <f ca="1">'Balance Sheet'!G11</f>
        <v>99942500.839317739</v>
      </c>
      <c r="I22" s="9">
        <f ca="1">'Balance Sheet'!H11</f>
        <v>109139010.11377193</v>
      </c>
      <c r="J22" s="9">
        <f ca="1">'Balance Sheet'!I11</f>
        <v>117209351.89569286</v>
      </c>
      <c r="K22" s="9">
        <f ca="1">'Balance Sheet'!J11</f>
        <v>125674048.32271832</v>
      </c>
      <c r="L22" s="9">
        <f ca="1">'Balance Sheet'!K11</f>
        <v>134484172.21013927</v>
      </c>
      <c r="M22" s="9">
        <f ca="1">'Balance Sheet'!L11</f>
        <v>143581437.96147016</v>
      </c>
      <c r="N22" s="9">
        <f ca="1">'Balance Sheet'!M11</f>
        <v>152897234.39363614</v>
      </c>
      <c r="O22" s="9">
        <f ca="1">'Balance Sheet'!N11</f>
        <v>162351576.98091841</v>
      </c>
      <c r="P22" s="9">
        <f ca="1">'Balance Sheet'!O11</f>
        <v>171851973.48756653</v>
      </c>
      <c r="Q22" s="9">
        <f ca="1">'Balance Sheet'!P11</f>
        <v>181292196.53417903</v>
      </c>
      <c r="R22" s="9">
        <f ca="1">'Balance Sheet'!Q11</f>
        <v>191285899.64861721</v>
      </c>
      <c r="S22" s="9">
        <f ca="1">'Balance Sheet'!R11</f>
        <v>201808998.25474289</v>
      </c>
      <c r="T22" s="9">
        <f ca="1">'Balance Sheet'!S11</f>
        <v>212831235.20458764</v>
      </c>
      <c r="U22" s="9">
        <f ca="1">'Balance Sheet'!T11</f>
        <v>224315552.60980272</v>
      </c>
      <c r="V22" s="9">
        <f ca="1">'Balance Sheet'!U11</f>
        <v>236217414.64984331</v>
      </c>
      <c r="W22" s="9">
        <f ca="1">'Balance Sheet'!V11</f>
        <v>248484078.00219721</v>
      </c>
      <c r="X22" s="9">
        <f ca="1">'Balance Sheet'!W11</f>
        <v>261053806.32741156</v>
      </c>
      <c r="Y22" s="9">
        <f ca="1">'Balance Sheet'!X11</f>
        <v>273855025.01628894</v>
      </c>
      <c r="Z22" s="9">
        <f ca="1">'Balance Sheet'!Y11</f>
        <v>286805412.16766781</v>
      </c>
      <c r="AA22" s="9">
        <f ca="1">'Balance Sheet'!Z11</f>
        <v>299810921.51188082</v>
      </c>
      <c r="AB22" s="9">
        <f ca="1">'Balance Sheet'!AA11</f>
        <v>312764732.72645956</v>
      </c>
      <c r="AC22" s="9">
        <f ca="1">'Balance Sheet'!AB11</f>
        <v>325546124.30604219</v>
      </c>
      <c r="AD22" s="9">
        <f ca="1">'Balance Sheet'!AC11</f>
        <v>340788500.47584867</v>
      </c>
      <c r="AE22" s="9">
        <f ca="1">'Balance Sheet'!AD11</f>
        <v>358684637.7865203</v>
      </c>
      <c r="AF22" s="9">
        <f ca="1">'Balance Sheet'!AE11</f>
        <v>379438506.17392963</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38</v>
      </c>
      <c r="C23" s="9">
        <f>C20-C22</f>
        <v>75374460.87999998</v>
      </c>
      <c r="D23" s="9">
        <f t="shared" ref="D23:AF23" ca="1" si="30">D20-D22</f>
        <v>77849928.740404338</v>
      </c>
      <c r="E23" s="9">
        <f t="shared" ca="1" si="30"/>
        <v>83384835.137194052</v>
      </c>
      <c r="F23" s="9">
        <f t="shared" ca="1" si="30"/>
        <v>93259694.609040737</v>
      </c>
      <c r="G23" s="9">
        <f t="shared" ca="1" si="30"/>
        <v>109935023.43038577</v>
      </c>
      <c r="H23" s="9">
        <f t="shared" ca="1" si="30"/>
        <v>127993681.52529567</v>
      </c>
      <c r="I23" s="9">
        <f t="shared" ca="1" si="30"/>
        <v>147746936.65034914</v>
      </c>
      <c r="J23" s="9">
        <f ca="1">J20-J22</f>
        <v>169552751.72872004</v>
      </c>
      <c r="K23" s="9">
        <f t="shared" ca="1" si="30"/>
        <v>191920249.18151575</v>
      </c>
      <c r="L23" s="9">
        <f t="shared" ca="1" si="30"/>
        <v>214928949.37807029</v>
      </c>
      <c r="M23" s="9">
        <f t="shared" ca="1" si="30"/>
        <v>238668710.08140209</v>
      </c>
      <c r="N23" s="9">
        <f t="shared" ca="1" si="30"/>
        <v>263240724.95044801</v>
      </c>
      <c r="O23" s="9">
        <f t="shared" ca="1" si="30"/>
        <v>288758603.62601644</v>
      </c>
      <c r="P23" s="9">
        <f t="shared" ca="1" si="30"/>
        <v>315349539.46263021</v>
      </c>
      <c r="Q23" s="9">
        <f t="shared" ca="1" si="30"/>
        <v>343155571.39426398</v>
      </c>
      <c r="R23" s="9">
        <f t="shared" ca="1" si="30"/>
        <v>371600003.41737598</v>
      </c>
      <c r="S23" s="9">
        <f t="shared" ca="1" si="30"/>
        <v>400745060.27320218</v>
      </c>
      <c r="T23" s="9">
        <f t="shared" ca="1" si="30"/>
        <v>430660359.76009172</v>
      </c>
      <c r="U23" s="9">
        <f t="shared" ca="1" si="30"/>
        <v>461423579.95758629</v>
      </c>
      <c r="V23" s="9">
        <f t="shared" ca="1" si="30"/>
        <v>493121176.72354221</v>
      </c>
      <c r="W23" s="9">
        <f t="shared" ca="1" si="30"/>
        <v>525849154.85897666</v>
      </c>
      <c r="X23" s="9">
        <f t="shared" ca="1" si="30"/>
        <v>559713896.54915988</v>
      </c>
      <c r="Y23" s="9">
        <f t="shared" ca="1" si="30"/>
        <v>594833050.91617274</v>
      </c>
      <c r="Z23" s="9">
        <f t="shared" ca="1" si="30"/>
        <v>631336488.75847268</v>
      </c>
      <c r="AA23" s="9">
        <f t="shared" ca="1" si="30"/>
        <v>669367326.80773592</v>
      </c>
      <c r="AB23" s="9">
        <f t="shared" ca="1" si="30"/>
        <v>709083026.10322499</v>
      </c>
      <c r="AC23" s="9">
        <f t="shared" ca="1" si="30"/>
        <v>750656569.37003231</v>
      </c>
      <c r="AD23" s="9">
        <f t="shared" ca="1" si="30"/>
        <v>791508485.9617002</v>
      </c>
      <c r="AE23" s="9">
        <f t="shared" ca="1" si="30"/>
        <v>831501658.7808702</v>
      </c>
      <c r="AF23" s="9">
        <f t="shared" ca="1" si="30"/>
        <v>870489558.44745708</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163</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20734000</v>
      </c>
      <c r="D5" s="1">
        <f ca="1">C5+C6</f>
        <v>42989809.451595642</v>
      </c>
      <c r="E5" s="1">
        <f t="shared" ref="E5:AF5" ca="1" si="1">D5+D6</f>
        <v>62977581.240789905</v>
      </c>
      <c r="F5" s="1">
        <f t="shared" ca="1" si="1"/>
        <v>79442125.65687868</v>
      </c>
      <c r="G5" s="1">
        <f t="shared" ca="1" si="1"/>
        <v>89949061.647883058</v>
      </c>
      <c r="H5" s="1">
        <f t="shared" ca="1" si="1"/>
        <v>99942500.839317739</v>
      </c>
      <c r="I5" s="1">
        <f t="shared" ca="1" si="1"/>
        <v>109139010.11377193</v>
      </c>
      <c r="J5" s="1">
        <f t="shared" ca="1" si="1"/>
        <v>117209351.89569286</v>
      </c>
      <c r="K5" s="1">
        <f t="shared" ca="1" si="1"/>
        <v>125674048.32271832</v>
      </c>
      <c r="L5" s="1">
        <f t="shared" ca="1" si="1"/>
        <v>134484172.21013927</v>
      </c>
      <c r="M5" s="1">
        <f t="shared" ca="1" si="1"/>
        <v>143581437.96147016</v>
      </c>
      <c r="N5" s="1">
        <f t="shared" ca="1" si="1"/>
        <v>152897234.39363614</v>
      </c>
      <c r="O5" s="1">
        <f t="shared" ca="1" si="1"/>
        <v>162351576.98091841</v>
      </c>
      <c r="P5" s="1">
        <f t="shared" ca="1" si="1"/>
        <v>171851973.48756653</v>
      </c>
      <c r="Q5" s="1">
        <f t="shared" ca="1" si="1"/>
        <v>181292196.53417903</v>
      </c>
      <c r="R5" s="1">
        <f t="shared" ca="1" si="1"/>
        <v>191285899.64861721</v>
      </c>
      <c r="S5" s="1">
        <f t="shared" ca="1" si="1"/>
        <v>201808998.25474289</v>
      </c>
      <c r="T5" s="1">
        <f t="shared" ca="1" si="1"/>
        <v>212831235.20458764</v>
      </c>
      <c r="U5" s="1">
        <f t="shared" ca="1" si="1"/>
        <v>224315552.60980272</v>
      </c>
      <c r="V5" s="1">
        <f t="shared" ca="1" si="1"/>
        <v>236217414.64984331</v>
      </c>
      <c r="W5" s="1">
        <f t="shared" ca="1" si="1"/>
        <v>248484078.00219721</v>
      </c>
      <c r="X5" s="1">
        <f t="shared" ca="1" si="1"/>
        <v>261053806.32741156</v>
      </c>
      <c r="Y5" s="1">
        <f t="shared" ca="1" si="1"/>
        <v>273855025.01628894</v>
      </c>
      <c r="Z5" s="1">
        <f t="shared" ca="1" si="1"/>
        <v>286805412.16766781</v>
      </c>
      <c r="AA5" s="1">
        <f t="shared" ca="1" si="1"/>
        <v>299810921.51188082</v>
      </c>
      <c r="AB5" s="1">
        <f t="shared" ca="1" si="1"/>
        <v>312764732.72645956</v>
      </c>
      <c r="AC5" s="1">
        <f t="shared" ca="1" si="1"/>
        <v>325546124.30604219</v>
      </c>
      <c r="AD5" s="1">
        <f t="shared" ca="1" si="1"/>
        <v>340788500.47584867</v>
      </c>
      <c r="AE5" s="1">
        <f t="shared" ca="1" si="1"/>
        <v>358684637.7865203</v>
      </c>
      <c r="AF5" s="1">
        <f t="shared" ca="1" si="1"/>
        <v>379438506.17392963</v>
      </c>
      <c r="AG5" s="1"/>
      <c r="AH5" s="1"/>
      <c r="AI5" s="1"/>
      <c r="AJ5" s="1"/>
      <c r="AK5" s="1"/>
      <c r="AL5" s="1"/>
      <c r="AM5" s="1"/>
      <c r="AN5" s="1"/>
      <c r="AO5" s="1"/>
      <c r="AP5" s="1"/>
    </row>
    <row r="6" spans="1:42" x14ac:dyDescent="0.35">
      <c r="A6" s="63" t="s">
        <v>3</v>
      </c>
      <c r="C6" s="1">
        <f ca="1">-'Cash Flow'!C13</f>
        <v>22255809.451595642</v>
      </c>
      <c r="D6" s="1">
        <f ca="1">-'Cash Flow'!D13</f>
        <v>19987771.78919426</v>
      </c>
      <c r="E6" s="1">
        <f ca="1">-'Cash Flow'!E13</f>
        <v>16464544.416088782</v>
      </c>
      <c r="F6" s="1">
        <f ca="1">-'Cash Flow'!F13</f>
        <v>10506935.99100437</v>
      </c>
      <c r="G6" s="1">
        <f ca="1">-'Cash Flow'!G13</f>
        <v>9993439.1914346851</v>
      </c>
      <c r="H6" s="1">
        <f ca="1">-'Cash Flow'!H13</f>
        <v>9196509.2744541951</v>
      </c>
      <c r="I6" s="1">
        <f ca="1">-'Cash Flow'!I13</f>
        <v>8070341.7819209248</v>
      </c>
      <c r="J6" s="1">
        <f ca="1">-'Cash Flow'!J13</f>
        <v>8464696.4270254634</v>
      </c>
      <c r="K6" s="1">
        <f ca="1">-'Cash Flow'!K13</f>
        <v>8810123.8874209374</v>
      </c>
      <c r="L6" s="1">
        <f ca="1">-'Cash Flow'!L13</f>
        <v>9097265.7513308935</v>
      </c>
      <c r="M6" s="1">
        <f ca="1">-'Cash Flow'!M13</f>
        <v>9315796.4321659729</v>
      </c>
      <c r="N6" s="1">
        <f ca="1">-'Cash Flow'!N13</f>
        <v>9454342.5872822851</v>
      </c>
      <c r="O6" s="1">
        <f ca="1">-'Cash Flow'!O13</f>
        <v>9500396.5066481158</v>
      </c>
      <c r="P6" s="1">
        <f ca="1">-'Cash Flow'!P13</f>
        <v>9440223.0466125011</v>
      </c>
      <c r="Q6" s="1">
        <f ca="1">-'Cash Flow'!Q13</f>
        <v>9993703.1144381613</v>
      </c>
      <c r="R6" s="1">
        <f ca="1">-'Cash Flow'!R13</f>
        <v>10523098.60612569</v>
      </c>
      <c r="S6" s="1">
        <f ca="1">-'Cash Flow'!S13</f>
        <v>11022236.949844755</v>
      </c>
      <c r="T6" s="1">
        <f ca="1">-'Cash Flow'!T13</f>
        <v>11484317.405215085</v>
      </c>
      <c r="U6" s="1">
        <f ca="1">-'Cash Flow'!U13</f>
        <v>11901862.040040582</v>
      </c>
      <c r="V6" s="1">
        <f ca="1">-'Cash Flow'!V13</f>
        <v>12266663.352353886</v>
      </c>
      <c r="W6" s="1">
        <f ca="1">-'Cash Flow'!W13</f>
        <v>12569728.325214356</v>
      </c>
      <c r="X6" s="1">
        <f ca="1">-'Cash Flow'!X13</f>
        <v>12801218.688877374</v>
      </c>
      <c r="Y6" s="1">
        <f ca="1">-'Cash Flow'!Y13</f>
        <v>12950387.151378855</v>
      </c>
      <c r="Z6" s="1">
        <f ca="1">-'Cash Flow'!Z13</f>
        <v>13005509.344213009</v>
      </c>
      <c r="AA6" s="1">
        <f ca="1">-'Cash Flow'!AA13</f>
        <v>12953811.214578733</v>
      </c>
      <c r="AB6" s="1">
        <f ca="1">-'Cash Flow'!AB13</f>
        <v>12781391.579582617</v>
      </c>
      <c r="AC6" s="1">
        <f ca="1">-'Cash Flow'!AC13</f>
        <v>15242376.16980648</v>
      </c>
      <c r="AD6" s="1">
        <f ca="1">-'Cash Flow'!AD13</f>
        <v>17896137.310671628</v>
      </c>
      <c r="AE6" s="1">
        <f ca="1">-'Cash Flow'!AE13</f>
        <v>20753868.387409329</v>
      </c>
      <c r="AF6" s="1">
        <f ca="1">-'Cash Flow'!AF13</f>
        <v>23827325.982989445</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1504643.3308058477</v>
      </c>
      <c r="D8" s="1">
        <f ca="1">IF(SUM(D5:D6)&gt;0,Assumptions!$C$26*SUM(D5:D6),Assumptions!$C$27*(SUM(D5:D6)))</f>
        <v>2204215.3434276469</v>
      </c>
      <c r="E8" s="1">
        <f ca="1">IF(SUM(E5:E6)&gt;0,Assumptions!$C$26*SUM(E5:E6),Assumptions!$C$27*(SUM(E5:E6)))</f>
        <v>2780474.3979907539</v>
      </c>
      <c r="F8" s="1">
        <f ca="1">IF(SUM(F5:F6)&gt;0,Assumptions!$C$26*SUM(F5:F6),Assumptions!$C$27*(SUM(F5:F6)))</f>
        <v>3148217.1576759075</v>
      </c>
      <c r="G8" s="1">
        <f ca="1">IF(SUM(G5:G6)&gt;0,Assumptions!$C$26*SUM(G5:G6),Assumptions!$C$27*(SUM(G5:G6)))</f>
        <v>3497987.5293761212</v>
      </c>
      <c r="H8" s="1">
        <f ca="1">IF(SUM(H5:H6)&gt;0,Assumptions!$C$26*SUM(H5:H6),Assumptions!$C$27*(SUM(H5:H6)))</f>
        <v>3819865.3539820178</v>
      </c>
      <c r="I8" s="1">
        <f ca="1">IF(SUM(I5:I6)&gt;0,Assumptions!$C$26*SUM(I5:I6),Assumptions!$C$27*(SUM(I5:I6)))</f>
        <v>4102327.3163492503</v>
      </c>
      <c r="J8" s="1">
        <f ca="1">IF(SUM(J5:J6)&gt;0,Assumptions!$C$26*SUM(J5:J6),Assumptions!$C$27*(SUM(J5:J6)))</f>
        <v>4398591.6912951414</v>
      </c>
      <c r="K8" s="1">
        <f ca="1">IF(SUM(K5:K6)&gt;0,Assumptions!$C$26*SUM(K5:K6),Assumptions!$C$27*(SUM(K5:K6)))</f>
        <v>4706946.0273548746</v>
      </c>
      <c r="L8" s="1">
        <f ca="1">IF(SUM(L5:L6)&gt;0,Assumptions!$C$26*SUM(L5:L6),Assumptions!$C$27*(SUM(L5:L6)))</f>
        <v>5025350.3286514562</v>
      </c>
      <c r="M8" s="1">
        <f ca="1">IF(SUM(M5:M6)&gt;0,Assumptions!$C$26*SUM(M5:M6),Assumptions!$C$27*(SUM(M5:M6)))</f>
        <v>5351403.2037772657</v>
      </c>
      <c r="N8" s="1">
        <f ca="1">IF(SUM(N5:N6)&gt;0,Assumptions!$C$26*SUM(N5:N6),Assumptions!$C$27*(SUM(N5:N6)))</f>
        <v>5682305.1943321452</v>
      </c>
      <c r="O8" s="1">
        <f ca="1">IF(SUM(O5:O6)&gt;0,Assumptions!$C$26*SUM(O5:O6),Assumptions!$C$27*(SUM(O5:O6)))</f>
        <v>6014819.0720648291</v>
      </c>
      <c r="P8" s="1">
        <f ca="1">IF(SUM(P5:P6)&gt;0,Assumptions!$C$26*SUM(P5:P6),Assumptions!$C$27*(SUM(P5:P6)))</f>
        <v>6345226.8786962666</v>
      </c>
      <c r="Q8" s="1">
        <f ca="1">IF(SUM(Q5:Q6)&gt;0,Assumptions!$C$26*SUM(Q5:Q6),Assumptions!$C$27*(SUM(Q5:Q6)))</f>
        <v>6695006.4877016032</v>
      </c>
      <c r="R8" s="1">
        <f ca="1">IF(SUM(R5:R6)&gt;0,Assumptions!$C$26*SUM(R5:R6),Assumptions!$C$27*(SUM(R5:R6)))</f>
        <v>7063314.9389160015</v>
      </c>
      <c r="S8" s="1">
        <f ca="1">IF(SUM(S5:S6)&gt;0,Assumptions!$C$26*SUM(S5:S6),Assumptions!$C$27*(SUM(S5:S6)))</f>
        <v>7449093.2321605682</v>
      </c>
      <c r="T8" s="1">
        <f ca="1">IF(SUM(T5:T6)&gt;0,Assumptions!$C$26*SUM(T5:T6),Assumptions!$C$27*(SUM(T5:T6)))</f>
        <v>7851044.3413430965</v>
      </c>
      <c r="U8" s="1">
        <f ca="1">IF(SUM(U5:U6)&gt;0,Assumptions!$C$26*SUM(U5:U6),Assumptions!$C$27*(SUM(U5:U6)))</f>
        <v>8267609.5127445161</v>
      </c>
      <c r="V8" s="1">
        <f ca="1">IF(SUM(V5:V6)&gt;0,Assumptions!$C$26*SUM(V5:V6),Assumptions!$C$27*(SUM(V5:V6)))</f>
        <v>8696942.7300769035</v>
      </c>
      <c r="W8" s="1">
        <f ca="1">IF(SUM(W5:W6)&gt;0,Assumptions!$C$26*SUM(W5:W6),Assumptions!$C$27*(SUM(W5:W6)))</f>
        <v>9136883.2214594055</v>
      </c>
      <c r="X8" s="1">
        <f ca="1">IF(SUM(X5:X6)&gt;0,Assumptions!$C$26*SUM(X5:X6),Assumptions!$C$27*(SUM(X5:X6)))</f>
        <v>9584925.8755701128</v>
      </c>
      <c r="Y8" s="1">
        <f ca="1">IF(SUM(Y5:Y6)&gt;0,Assumptions!$C$26*SUM(Y5:Y6),Assumptions!$C$27*(SUM(Y5:Y6)))</f>
        <v>10038189.425868373</v>
      </c>
      <c r="Z8" s="1">
        <f ca="1">IF(SUM(Z5:Z6)&gt;0,Assumptions!$C$26*SUM(Z5:Z6),Assumptions!$C$27*(SUM(Z5:Z6)))</f>
        <v>10493382.252915829</v>
      </c>
      <c r="AA8" s="1">
        <f ca="1">IF(SUM(AA5:AA6)&gt;0,Assumptions!$C$26*SUM(AA5:AA6),Assumptions!$C$27*(SUM(AA5:AA6)))</f>
        <v>10946765.645426085</v>
      </c>
      <c r="AB8" s="1">
        <f ca="1">IF(SUM(AB5:AB6)&gt;0,Assumptions!$C$26*SUM(AB5:AB6),Assumptions!$C$27*(SUM(AB5:AB6)))</f>
        <v>11394114.350711478</v>
      </c>
      <c r="AC8" s="1">
        <f ca="1">IF(SUM(AC5:AC6)&gt;0,Assumptions!$C$26*SUM(AC5:AC6),Assumptions!$C$27*(SUM(AC5:AC6)))</f>
        <v>11927597.516654706</v>
      </c>
      <c r="AD8" s="1">
        <f ca="1">IF(SUM(AD5:AD6)&gt;0,Assumptions!$C$26*SUM(AD5:AD6),Assumptions!$C$27*(SUM(AD5:AD6)))</f>
        <v>12553962.322528211</v>
      </c>
      <c r="AE8" s="1">
        <f ca="1">IF(SUM(AE5:AE6)&gt;0,Assumptions!$C$26*SUM(AE5:AE6),Assumptions!$C$27*(SUM(AE5:AE6)))</f>
        <v>13280347.716087539</v>
      </c>
      <c r="AF8" s="1">
        <f ca="1">IF(SUM(AF5:AF6)&gt;0,Assumptions!$C$26*SUM(AF5:AF6),Assumptions!$C$27*(SUM(AF5:AF6)))</f>
        <v>14114304.125492169</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80" zoomScaleNormal="80" workbookViewId="0">
      <selection sqref="A1:XFD1048576"/>
    </sheetView>
  </sheetViews>
  <sheetFormatPr defaultRowHeight="15.5" x14ac:dyDescent="0.35"/>
  <cols>
    <col min="1" max="1" width="107.9140625" style="63" customWidth="1"/>
    <col min="2" max="2" width="18.1640625" style="63" bestFit="1" customWidth="1"/>
    <col min="3" max="3" width="62.25" style="63" customWidth="1"/>
    <col min="4" max="16384" width="8.6640625" style="63"/>
  </cols>
  <sheetData>
    <row r="1" spans="1:3" ht="26" x14ac:dyDescent="0.6">
      <c r="A1" s="13" t="s">
        <v>182</v>
      </c>
    </row>
    <row r="2" spans="1:3" ht="26" x14ac:dyDescent="0.6">
      <c r="A2" s="13"/>
    </row>
    <row r="3" spans="1:3" ht="186" x14ac:dyDescent="0.35">
      <c r="A3" s="173" t="s">
        <v>185</v>
      </c>
    </row>
    <row r="4" spans="1:3" ht="26" x14ac:dyDescent="0.6">
      <c r="A4" s="13"/>
    </row>
    <row r="5" spans="1:3" ht="18.5" x14ac:dyDescent="0.45">
      <c r="A5" s="89" t="s">
        <v>174</v>
      </c>
      <c r="B5" s="90"/>
    </row>
    <row r="6" spans="1:3" ht="18.5" x14ac:dyDescent="0.45">
      <c r="A6" s="90"/>
      <c r="B6" s="90"/>
    </row>
    <row r="7" spans="1:3" s="182" customFormat="1" ht="18.5" x14ac:dyDescent="0.35">
      <c r="A7" s="183" t="s">
        <v>97</v>
      </c>
      <c r="B7" s="184">
        <f>Assumptions!C24</f>
        <v>9344000</v>
      </c>
      <c r="C7" s="181" t="str">
        <f>Assumptions!B24</f>
        <v>RFI Table F10; Lines F10.62 + F10.70 - F10.61</v>
      </c>
    </row>
    <row r="8" spans="1:3" s="182" customFormat="1" ht="34" x14ac:dyDescent="0.35">
      <c r="A8" s="183" t="s">
        <v>171</v>
      </c>
      <c r="B8" s="185">
        <f>Assumptions!$C$133</f>
        <v>0.7</v>
      </c>
      <c r="C8" s="181" t="s">
        <v>198</v>
      </c>
    </row>
    <row r="9" spans="1:3" s="182" customFormat="1" ht="18.5" x14ac:dyDescent="0.35">
      <c r="A9" s="183"/>
      <c r="B9" s="186"/>
      <c r="C9" s="181"/>
    </row>
    <row r="10" spans="1:3" s="182" customFormat="1" ht="51" x14ac:dyDescent="0.35">
      <c r="A10" s="187" t="s">
        <v>103</v>
      </c>
      <c r="B10" s="188">
        <f>Assumptions!C135</f>
        <v>3685.9259259259256</v>
      </c>
      <c r="C10" s="181" t="s">
        <v>199</v>
      </c>
    </row>
    <row r="11" spans="1:3" s="182" customFormat="1" ht="18.5" x14ac:dyDescent="0.35">
      <c r="A11" s="187"/>
      <c r="B11" s="187"/>
      <c r="C11" s="181"/>
    </row>
    <row r="12" spans="1:3" s="182" customFormat="1" ht="18.5" x14ac:dyDescent="0.35">
      <c r="A12" s="187" t="s">
        <v>181</v>
      </c>
      <c r="B12" s="184">
        <f>(B7*B8)/B10</f>
        <v>1774.533762057878</v>
      </c>
      <c r="C12" s="181"/>
    </row>
    <row r="13" spans="1:3" s="182" customFormat="1" ht="18.5" x14ac:dyDescent="0.35">
      <c r="A13" s="189"/>
      <c r="B13" s="190"/>
      <c r="C13" s="181"/>
    </row>
    <row r="14" spans="1:3" s="182" customFormat="1" ht="18.5" x14ac:dyDescent="0.35">
      <c r="A14" s="187" t="s">
        <v>104</v>
      </c>
      <c r="B14" s="191">
        <v>1</v>
      </c>
      <c r="C14" s="181"/>
    </row>
    <row r="15" spans="1:3" s="182" customFormat="1" ht="18.5" x14ac:dyDescent="0.35">
      <c r="A15" s="189"/>
      <c r="B15" s="192"/>
      <c r="C15" s="181"/>
    </row>
    <row r="16" spans="1:3" s="182" customFormat="1" ht="18.5" x14ac:dyDescent="0.35">
      <c r="A16" s="189" t="s">
        <v>176</v>
      </c>
      <c r="B16" s="193">
        <f>B12/B14</f>
        <v>1774.533762057878</v>
      </c>
      <c r="C16" s="181"/>
    </row>
    <row r="17" spans="1:3" s="182" customFormat="1" ht="18.5" x14ac:dyDescent="0.35">
      <c r="A17" s="187"/>
      <c r="B17" s="194"/>
      <c r="C17" s="181"/>
    </row>
    <row r="18" spans="1:3" s="182" customFormat="1" ht="18.5" x14ac:dyDescent="0.35">
      <c r="A18" s="195" t="s">
        <v>175</v>
      </c>
      <c r="B18" s="194"/>
      <c r="C18" s="181"/>
    </row>
    <row r="19" spans="1:3" s="182" customFormat="1" ht="18.5" x14ac:dyDescent="0.35">
      <c r="A19" s="187"/>
      <c r="B19" s="194"/>
      <c r="C19" s="181"/>
    </row>
    <row r="20" spans="1:3" s="182" customFormat="1" ht="34" x14ac:dyDescent="0.35">
      <c r="A20" s="187" t="s">
        <v>66</v>
      </c>
      <c r="B20" s="184">
        <f>'Profit and Loss'!L5</f>
        <v>55066721.088556156</v>
      </c>
      <c r="C20" s="181" t="s">
        <v>200</v>
      </c>
    </row>
    <row r="21" spans="1:3" s="182" customFormat="1" ht="34" x14ac:dyDescent="0.35">
      <c r="A21" s="187" t="str">
        <f>A8</f>
        <v>Assumed revenue from households</v>
      </c>
      <c r="B21" s="185">
        <f>B8</f>
        <v>0.7</v>
      </c>
      <c r="C21" s="181" t="s">
        <v>198</v>
      </c>
    </row>
    <row r="22" spans="1:3" s="182" customFormat="1" ht="18.5" x14ac:dyDescent="0.35">
      <c r="A22" s="187"/>
      <c r="B22" s="187"/>
      <c r="C22" s="181"/>
    </row>
    <row r="23" spans="1:3" s="182" customFormat="1" ht="34" x14ac:dyDescent="0.35">
      <c r="A23" s="187" t="s">
        <v>102</v>
      </c>
      <c r="B23" s="188">
        <f>Assumptions!M135</f>
        <v>3836.0453366504426</v>
      </c>
      <c r="C23" s="181" t="s">
        <v>201</v>
      </c>
    </row>
    <row r="24" spans="1:3" s="182" customFormat="1" ht="18.5" x14ac:dyDescent="0.35">
      <c r="A24" s="187"/>
      <c r="B24" s="187"/>
      <c r="C24" s="181"/>
    </row>
    <row r="25" spans="1:3" s="182" customFormat="1" ht="18.5" x14ac:dyDescent="0.35">
      <c r="A25" s="187" t="s">
        <v>180</v>
      </c>
      <c r="B25" s="184">
        <f>(B20*B21)/B23</f>
        <v>10048.552970348235</v>
      </c>
      <c r="C25" s="181"/>
    </row>
    <row r="26" spans="1:3" s="182" customFormat="1" ht="18.5" x14ac:dyDescent="0.35">
      <c r="A26" s="187"/>
      <c r="B26" s="184"/>
      <c r="C26" s="181"/>
    </row>
    <row r="27" spans="1:3" s="182" customFormat="1" ht="34" x14ac:dyDescent="0.35">
      <c r="A27" s="187" t="s">
        <v>104</v>
      </c>
      <c r="B27" s="191">
        <f>1.022^11</f>
        <v>1.2704566586717592</v>
      </c>
      <c r="C27" s="181" t="s">
        <v>202</v>
      </c>
    </row>
    <row r="28" spans="1:3" s="182" customFormat="1" ht="18.5" x14ac:dyDescent="0.35">
      <c r="A28" s="189"/>
      <c r="B28" s="190"/>
      <c r="C28" s="181"/>
    </row>
    <row r="29" spans="1:3" s="182" customFormat="1" ht="18.5" x14ac:dyDescent="0.35">
      <c r="A29" s="189" t="s">
        <v>177</v>
      </c>
      <c r="B29" s="184">
        <f>B25/B27</f>
        <v>7909.4024197990557</v>
      </c>
      <c r="C29" s="181"/>
    </row>
    <row r="30" spans="1:3" s="182" customFormat="1" ht="18.5" x14ac:dyDescent="0.35">
      <c r="A30" s="189"/>
      <c r="B30" s="190"/>
      <c r="C30" s="181"/>
    </row>
    <row r="31" spans="1:3" s="182" customFormat="1" ht="18.5" x14ac:dyDescent="0.35">
      <c r="A31" s="195" t="s">
        <v>183</v>
      </c>
      <c r="B31" s="189"/>
      <c r="C31" s="181"/>
    </row>
    <row r="32" spans="1:3" s="182" customFormat="1" ht="18.5" x14ac:dyDescent="0.35">
      <c r="A32" s="187"/>
      <c r="B32" s="184"/>
      <c r="C32" s="181"/>
    </row>
    <row r="33" spans="1:3" s="182" customFormat="1" ht="34" x14ac:dyDescent="0.35">
      <c r="A33" s="187" t="s">
        <v>67</v>
      </c>
      <c r="B33" s="184">
        <f>'Profit and Loss'!AF5</f>
        <v>152197466.22101197</v>
      </c>
      <c r="C33" s="181" t="s">
        <v>200</v>
      </c>
    </row>
    <row r="34" spans="1:3" s="182" customFormat="1" ht="34" x14ac:dyDescent="0.35">
      <c r="A34" s="187" t="str">
        <f>A21</f>
        <v>Assumed revenue from households</v>
      </c>
      <c r="B34" s="185">
        <f>B21</f>
        <v>0.7</v>
      </c>
      <c r="C34" s="181" t="s">
        <v>198</v>
      </c>
    </row>
    <row r="35" spans="1:3" s="182" customFormat="1" ht="18.5" x14ac:dyDescent="0.35">
      <c r="A35" s="187"/>
      <c r="B35" s="187"/>
      <c r="C35" s="181"/>
    </row>
    <row r="36" spans="1:3" s="182" customFormat="1" ht="34" x14ac:dyDescent="0.35">
      <c r="A36" s="187" t="s">
        <v>101</v>
      </c>
      <c r="B36" s="188">
        <f>Assumptions!AG135</f>
        <v>4154.8752387127533</v>
      </c>
      <c r="C36" s="181" t="s">
        <v>201</v>
      </c>
    </row>
    <row r="37" spans="1:3" s="182" customFormat="1" ht="18.5" x14ac:dyDescent="0.35">
      <c r="A37" s="187"/>
      <c r="B37" s="187"/>
      <c r="C37" s="181"/>
    </row>
    <row r="38" spans="1:3" s="182" customFormat="1" ht="18.5" x14ac:dyDescent="0.35">
      <c r="A38" s="187" t="s">
        <v>179</v>
      </c>
      <c r="B38" s="184">
        <f>(B33*B34)/B36</f>
        <v>25641.738977393608</v>
      </c>
      <c r="C38" s="181"/>
    </row>
    <row r="39" spans="1:3" s="182" customFormat="1" ht="18.5" x14ac:dyDescent="0.35">
      <c r="A39" s="187"/>
      <c r="B39" s="187"/>
      <c r="C39" s="181"/>
    </row>
    <row r="40" spans="1:3" s="182" customFormat="1" ht="34" x14ac:dyDescent="0.35">
      <c r="A40" s="187" t="s">
        <v>104</v>
      </c>
      <c r="B40" s="191">
        <f>1.022^31</f>
        <v>1.9632597808456462</v>
      </c>
      <c r="C40" s="181" t="s">
        <v>202</v>
      </c>
    </row>
    <row r="41" spans="1:3" s="182" customFormat="1" ht="18.5" x14ac:dyDescent="0.35">
      <c r="A41" s="189"/>
      <c r="B41" s="190"/>
    </row>
    <row r="42" spans="1:3" s="182" customFormat="1" ht="18.5" x14ac:dyDescent="0.35">
      <c r="A42" s="189" t="s">
        <v>178</v>
      </c>
      <c r="B42" s="184">
        <f>B38/B40</f>
        <v>13060.797774988694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80" zoomScaleNormal="80" workbookViewId="0">
      <pane ySplit="4" topLeftCell="A65" activePane="bottomLeft" state="frozen"/>
      <selection sqref="A1:XFD1048576"/>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158</v>
      </c>
    </row>
    <row r="2" spans="1:33" ht="26.5" thickBot="1" x14ac:dyDescent="0.4">
      <c r="A2" s="111"/>
      <c r="B2" s="111"/>
      <c r="D2" s="112"/>
      <c r="G2" s="112"/>
      <c r="I2" s="112"/>
    </row>
    <row r="3" spans="1:33" s="114" customFormat="1" ht="21.5" thickBot="1" x14ac:dyDescent="0.4">
      <c r="A3" s="84"/>
      <c r="B3" s="84"/>
      <c r="C3" s="113"/>
      <c r="D3" s="196" t="s">
        <v>28</v>
      </c>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row>
    <row r="4" spans="1:33" s="120" customFormat="1" ht="16" thickBot="1" x14ac:dyDescent="0.4">
      <c r="A4" s="115" t="s">
        <v>26</v>
      </c>
      <c r="B4" s="115" t="s">
        <v>193</v>
      </c>
      <c r="C4" s="116" t="s">
        <v>27</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29</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30</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63</v>
      </c>
      <c r="B9" s="78" t="s">
        <v>129</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64</v>
      </c>
      <c r="B11" s="78" t="s">
        <v>129</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x14ac:dyDescent="0.35">
      <c r="A13" s="77" t="s">
        <v>32</v>
      </c>
      <c r="B13" s="106" t="s">
        <v>197</v>
      </c>
      <c r="C13" s="127">
        <v>4.0000000000000036E-3</v>
      </c>
      <c r="D13" s="128">
        <f t="shared" ref="D13:AG13" si="3">(1+$C$13)^D8</f>
        <v>1.004</v>
      </c>
      <c r="E13" s="128">
        <f t="shared" si="3"/>
        <v>1.008016</v>
      </c>
      <c r="F13" s="128">
        <f t="shared" si="3"/>
        <v>1.012048064</v>
      </c>
      <c r="G13" s="128">
        <f t="shared" si="3"/>
        <v>1.0160962562560001</v>
      </c>
      <c r="H13" s="128">
        <f t="shared" si="3"/>
        <v>1.020160641281024</v>
      </c>
      <c r="I13" s="128">
        <f t="shared" si="3"/>
        <v>1.0242412838461481</v>
      </c>
      <c r="J13" s="128">
        <f t="shared" si="3"/>
        <v>1.0283382489815327</v>
      </c>
      <c r="K13" s="128">
        <f t="shared" si="3"/>
        <v>1.032451601977459</v>
      </c>
      <c r="L13" s="128">
        <f t="shared" si="3"/>
        <v>1.0365814083853688</v>
      </c>
      <c r="M13" s="128">
        <f t="shared" si="3"/>
        <v>1.0407277340189103</v>
      </c>
      <c r="N13" s="128">
        <f t="shared" si="3"/>
        <v>1.044890644954986</v>
      </c>
      <c r="O13" s="128">
        <f t="shared" si="3"/>
        <v>1.049070207534806</v>
      </c>
      <c r="P13" s="128">
        <f t="shared" si="3"/>
        <v>1.0532664883649452</v>
      </c>
      <c r="Q13" s="128">
        <f t="shared" si="3"/>
        <v>1.057479554318405</v>
      </c>
      <c r="R13" s="128">
        <f t="shared" si="3"/>
        <v>1.0617094725356786</v>
      </c>
      <c r="S13" s="128">
        <f t="shared" si="3"/>
        <v>1.0659563104258214</v>
      </c>
      <c r="T13" s="128">
        <f t="shared" si="3"/>
        <v>1.0702201356675247</v>
      </c>
      <c r="U13" s="128">
        <f t="shared" si="3"/>
        <v>1.0745010162101949</v>
      </c>
      <c r="V13" s="128">
        <f t="shared" si="3"/>
        <v>1.0787990202750355</v>
      </c>
      <c r="W13" s="128">
        <f t="shared" si="3"/>
        <v>1.0831142163561358</v>
      </c>
      <c r="X13" s="128">
        <f t="shared" si="3"/>
        <v>1.0874466732215602</v>
      </c>
      <c r="Y13" s="128">
        <f t="shared" si="3"/>
        <v>1.0917964599144465</v>
      </c>
      <c r="Z13" s="128">
        <f t="shared" si="3"/>
        <v>1.0961636457541042</v>
      </c>
      <c r="AA13" s="128">
        <f t="shared" si="3"/>
        <v>1.1005483003371208</v>
      </c>
      <c r="AB13" s="128">
        <f t="shared" si="3"/>
        <v>1.1049504935384693</v>
      </c>
      <c r="AC13" s="128">
        <f t="shared" si="3"/>
        <v>1.1093702955126232</v>
      </c>
      <c r="AD13" s="128">
        <f t="shared" si="3"/>
        <v>1.1138077766946737</v>
      </c>
      <c r="AE13" s="128">
        <f t="shared" si="3"/>
        <v>1.1182630078014526</v>
      </c>
      <c r="AF13" s="128">
        <f t="shared" si="3"/>
        <v>1.1227360598326583</v>
      </c>
      <c r="AG13" s="128">
        <f t="shared" si="3"/>
        <v>1.1272270040719889</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189</v>
      </c>
      <c r="B15" s="178" t="s">
        <v>190</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131</v>
      </c>
      <c r="B17" s="77" t="s">
        <v>167</v>
      </c>
      <c r="C17" s="136">
        <f>AVERAGE(C49:C50)</f>
        <v>144288089.75999996</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125</v>
      </c>
      <c r="C18" s="136">
        <f>C17/2</f>
        <v>72144044.87999998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65</v>
      </c>
      <c r="B20" s="77" t="s">
        <v>135</v>
      </c>
      <c r="C20" s="137">
        <v>20734000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156</v>
      </c>
      <c r="B22" s="178" t="s">
        <v>190</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196</v>
      </c>
      <c r="C24" s="136">
        <v>9344000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192</v>
      </c>
      <c r="C25" s="136">
        <v>6408000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129</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47</v>
      </c>
      <c r="B27" s="78" t="s">
        <v>129</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51</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52</v>
      </c>
      <c r="B31" s="70" t="s">
        <v>130</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53</v>
      </c>
      <c r="B32" s="70" t="s">
        <v>130</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105</v>
      </c>
      <c r="B33" s="82" t="s">
        <v>127</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54</v>
      </c>
      <c r="B35" s="69" t="s">
        <v>128</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55</v>
      </c>
      <c r="B36" s="69" t="s">
        <v>128</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56</v>
      </c>
      <c r="B37" s="69" t="s">
        <v>128</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57</v>
      </c>
      <c r="B39" s="69" t="s">
        <v>128</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58</v>
      </c>
      <c r="B40" s="69" t="s">
        <v>128</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59</v>
      </c>
      <c r="B41" s="69" t="s">
        <v>128</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60</v>
      </c>
      <c r="B43" s="69" t="s">
        <v>87</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61</v>
      </c>
      <c r="B44" s="69" t="s">
        <v>87</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88</v>
      </c>
      <c r="B45" s="69" t="s">
        <v>87</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157</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107</v>
      </c>
      <c r="B49" s="77" t="s">
        <v>133</v>
      </c>
      <c r="C49" s="71">
        <v>137344179.51999995</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108</v>
      </c>
      <c r="B50" s="77" t="s">
        <v>134</v>
      </c>
      <c r="C50" s="71">
        <v>151231999.99999997</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120</v>
      </c>
      <c r="B52" s="77" t="s">
        <v>115</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121</v>
      </c>
      <c r="B53" s="77" t="s">
        <v>115</v>
      </c>
      <c r="C53" s="144">
        <v>0.9</v>
      </c>
      <c r="D53" s="72"/>
      <c r="E53" s="180"/>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119</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109</v>
      </c>
      <c r="B56" s="77" t="s">
        <v>168</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110</v>
      </c>
      <c r="B57" s="77" t="s">
        <v>168</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111</v>
      </c>
      <c r="B58" s="69" t="s">
        <v>87</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117</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109</v>
      </c>
      <c r="B61" s="77" t="s">
        <v>115</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110</v>
      </c>
      <c r="B62" s="77" t="s">
        <v>115</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111</v>
      </c>
      <c r="B63" s="69" t="s">
        <v>87</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116</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109</v>
      </c>
      <c r="B66" s="86" t="s">
        <v>87</v>
      </c>
      <c r="C66" s="71">
        <f>C49*C52/C57</f>
        <v>405652.06499715149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110</v>
      </c>
      <c r="B67" s="86" t="s">
        <v>87</v>
      </c>
      <c r="C67" s="71">
        <f>C50*C52/C56</f>
        <v>631720.84159034491</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111</v>
      </c>
      <c r="B68" s="86" t="s">
        <v>87</v>
      </c>
      <c r="C68" s="145">
        <f>AVERAGE(C66:C67)</f>
        <v>518686.4532937482</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118</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109</v>
      </c>
      <c r="B71" s="86" t="s">
        <v>87</v>
      </c>
      <c r="C71" s="71">
        <f>C49*C53/C62</f>
        <v>1105694.3002263508</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110</v>
      </c>
      <c r="B72" s="86" t="s">
        <v>87</v>
      </c>
      <c r="C72" s="71">
        <f>C50*C53/C61</f>
        <v>1619996.8708367415</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111</v>
      </c>
      <c r="B73" s="86" t="s">
        <v>87</v>
      </c>
      <c r="C73" s="145">
        <f>AVERAGE(C71:C72)</f>
        <v>1362845.5855315463</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112</v>
      </c>
      <c r="B75" s="70" t="s">
        <v>122</v>
      </c>
      <c r="C75" s="71">
        <f>C67+C73</f>
        <v>1994566.4271218912</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138</v>
      </c>
      <c r="B77" s="179" t="s">
        <v>173</v>
      </c>
      <c r="C77" s="87">
        <v>64155000</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139</v>
      </c>
      <c r="B79" s="69" t="s">
        <v>152</v>
      </c>
      <c r="C79" s="87">
        <v>1545599409.7142992</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140</v>
      </c>
      <c r="B80" s="69" t="s">
        <v>152</v>
      </c>
      <c r="C80" s="87">
        <v>1796981191.8913951</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141</v>
      </c>
      <c r="B82" s="69" t="s">
        <v>87</v>
      </c>
      <c r="C82" s="87">
        <f>C79+$C$77</f>
        <v>1609754409.7142992</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142</v>
      </c>
      <c r="B83" s="69" t="s">
        <v>87</v>
      </c>
      <c r="C83" s="87">
        <f>C80+$C$77</f>
        <v>1861136191.8913951</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147</v>
      </c>
      <c r="B85" s="69" t="s">
        <v>194</v>
      </c>
      <c r="C85" s="150">
        <v>15194</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148</v>
      </c>
      <c r="B86" s="69" t="s">
        <v>132</v>
      </c>
      <c r="C86" s="150">
        <v>4710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114</v>
      </c>
      <c r="B87" s="69" t="s">
        <v>87</v>
      </c>
      <c r="C87" s="150">
        <f>AVERAGE(C85:C86)</f>
        <v>9952</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143</v>
      </c>
      <c r="B89" s="69" t="s">
        <v>87</v>
      </c>
      <c r="C89" s="150">
        <f>C82/$C$87</f>
        <v>161751.84985071333</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143</v>
      </c>
      <c r="B90" s="69" t="s">
        <v>87</v>
      </c>
      <c r="C90" s="150">
        <f>C83/$C$87</f>
        <v>187011.27330098423</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144</v>
      </c>
      <c r="B92" s="69" t="s">
        <v>151</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145</v>
      </c>
      <c r="B94" s="69" t="s">
        <v>87</v>
      </c>
      <c r="C94" s="87">
        <f>IF(C89&lt;$C$92,C89*$C$87,$C$92*$C$87)</f>
        <v>696640000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146</v>
      </c>
      <c r="B95" s="69" t="s">
        <v>87</v>
      </c>
      <c r="C95" s="87">
        <f>IF(C90&lt;$C$92,C90*$C$87,$C$92*$C$87)</f>
        <v>696640000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150</v>
      </c>
      <c r="B96" s="69" t="s">
        <v>87</v>
      </c>
      <c r="C96" s="87">
        <f>AVERAGE(C94:C95)</f>
        <v>696640000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99</v>
      </c>
      <c r="B98" s="69"/>
      <c r="C98" s="71">
        <v>696640000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49</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50</v>
      </c>
      <c r="B102" s="69" t="s">
        <v>87</v>
      </c>
      <c r="C102" s="71">
        <f>C96/C100</f>
        <v>23221333.333333332</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41</v>
      </c>
      <c r="B104" s="70" t="s">
        <v>203</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42</v>
      </c>
      <c r="B105" s="70" t="s">
        <v>204</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43</v>
      </c>
      <c r="B106" s="69" t="s">
        <v>166</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44</v>
      </c>
      <c r="B107" s="69" t="s">
        <v>166</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113</v>
      </c>
      <c r="B109" s="69" t="s">
        <v>126</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68</v>
      </c>
      <c r="B111" s="69" t="s">
        <v>128</v>
      </c>
      <c r="C111" s="71"/>
      <c r="D111" s="149">
        <f t="shared" ref="D111:AG111" si="9">$C$75</f>
        <v>1994566.4271218912</v>
      </c>
      <c r="E111" s="149">
        <f t="shared" si="9"/>
        <v>1994566.4271218912</v>
      </c>
      <c r="F111" s="149">
        <f t="shared" si="9"/>
        <v>1994566.4271218912</v>
      </c>
      <c r="G111" s="149">
        <f t="shared" si="9"/>
        <v>1994566.4271218912</v>
      </c>
      <c r="H111" s="149">
        <f t="shared" si="9"/>
        <v>1994566.4271218912</v>
      </c>
      <c r="I111" s="149">
        <f t="shared" si="9"/>
        <v>1994566.4271218912</v>
      </c>
      <c r="J111" s="149">
        <f t="shared" si="9"/>
        <v>1994566.4271218912</v>
      </c>
      <c r="K111" s="149">
        <f t="shared" si="9"/>
        <v>1994566.4271218912</v>
      </c>
      <c r="L111" s="149">
        <f t="shared" si="9"/>
        <v>1994566.4271218912</v>
      </c>
      <c r="M111" s="149">
        <f t="shared" si="9"/>
        <v>1994566.4271218912</v>
      </c>
      <c r="N111" s="149">
        <f t="shared" si="9"/>
        <v>1994566.4271218912</v>
      </c>
      <c r="O111" s="149">
        <f t="shared" si="9"/>
        <v>1994566.4271218912</v>
      </c>
      <c r="P111" s="149">
        <f t="shared" si="9"/>
        <v>1994566.4271218912</v>
      </c>
      <c r="Q111" s="149">
        <f t="shared" si="9"/>
        <v>1994566.4271218912</v>
      </c>
      <c r="R111" s="149">
        <f t="shared" si="9"/>
        <v>1994566.4271218912</v>
      </c>
      <c r="S111" s="149">
        <f t="shared" si="9"/>
        <v>1994566.4271218912</v>
      </c>
      <c r="T111" s="149">
        <f t="shared" si="9"/>
        <v>1994566.4271218912</v>
      </c>
      <c r="U111" s="149">
        <f t="shared" si="9"/>
        <v>1994566.4271218912</v>
      </c>
      <c r="V111" s="149">
        <f t="shared" si="9"/>
        <v>1994566.4271218912</v>
      </c>
      <c r="W111" s="149">
        <f t="shared" si="9"/>
        <v>1994566.4271218912</v>
      </c>
      <c r="X111" s="149">
        <f t="shared" si="9"/>
        <v>1994566.4271218912</v>
      </c>
      <c r="Y111" s="149">
        <f t="shared" si="9"/>
        <v>1994566.4271218912</v>
      </c>
      <c r="Z111" s="149">
        <f t="shared" si="9"/>
        <v>1994566.4271218912</v>
      </c>
      <c r="AA111" s="149">
        <f t="shared" si="9"/>
        <v>1994566.4271218912</v>
      </c>
      <c r="AB111" s="149">
        <f t="shared" si="9"/>
        <v>1994566.4271218912</v>
      </c>
      <c r="AC111" s="149">
        <f t="shared" si="9"/>
        <v>1994566.4271218912</v>
      </c>
      <c r="AD111" s="149">
        <f t="shared" si="9"/>
        <v>1994566.4271218912</v>
      </c>
      <c r="AE111" s="149">
        <f t="shared" si="9"/>
        <v>1994566.4271218912</v>
      </c>
      <c r="AF111" s="149">
        <f t="shared" si="9"/>
        <v>1994566.4271218912</v>
      </c>
      <c r="AG111" s="149">
        <f t="shared" si="9"/>
        <v>1994566.4271218912</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69</v>
      </c>
      <c r="B113" s="69" t="s">
        <v>87</v>
      </c>
      <c r="C113" s="71">
        <f>SUM(D113:AG113)</f>
        <v>696640000.00000012</v>
      </c>
      <c r="D113" s="149">
        <f t="shared" ref="D113:AG113" si="10">$C$102</f>
        <v>23221333.333333332</v>
      </c>
      <c r="E113" s="149">
        <f t="shared" si="10"/>
        <v>23221333.333333332</v>
      </c>
      <c r="F113" s="149">
        <f t="shared" si="10"/>
        <v>23221333.333333332</v>
      </c>
      <c r="G113" s="149">
        <f t="shared" si="10"/>
        <v>23221333.333333332</v>
      </c>
      <c r="H113" s="149">
        <f t="shared" si="10"/>
        <v>23221333.333333332</v>
      </c>
      <c r="I113" s="149">
        <f t="shared" si="10"/>
        <v>23221333.333333332</v>
      </c>
      <c r="J113" s="149">
        <f t="shared" si="10"/>
        <v>23221333.333333332</v>
      </c>
      <c r="K113" s="149">
        <f t="shared" si="10"/>
        <v>23221333.333333332</v>
      </c>
      <c r="L113" s="149">
        <f t="shared" si="10"/>
        <v>23221333.333333332</v>
      </c>
      <c r="M113" s="149">
        <f t="shared" si="10"/>
        <v>23221333.333333332</v>
      </c>
      <c r="N113" s="149">
        <f t="shared" si="10"/>
        <v>23221333.333333332</v>
      </c>
      <c r="O113" s="149">
        <f t="shared" si="10"/>
        <v>23221333.333333332</v>
      </c>
      <c r="P113" s="149">
        <f t="shared" si="10"/>
        <v>23221333.333333332</v>
      </c>
      <c r="Q113" s="149">
        <f t="shared" si="10"/>
        <v>23221333.333333332</v>
      </c>
      <c r="R113" s="149">
        <f t="shared" si="10"/>
        <v>23221333.333333332</v>
      </c>
      <c r="S113" s="149">
        <f t="shared" si="10"/>
        <v>23221333.333333332</v>
      </c>
      <c r="T113" s="149">
        <f t="shared" si="10"/>
        <v>23221333.333333332</v>
      </c>
      <c r="U113" s="149">
        <f t="shared" si="10"/>
        <v>23221333.333333332</v>
      </c>
      <c r="V113" s="149">
        <f t="shared" si="10"/>
        <v>23221333.333333332</v>
      </c>
      <c r="W113" s="149">
        <f t="shared" si="10"/>
        <v>23221333.333333332</v>
      </c>
      <c r="X113" s="149">
        <f t="shared" si="10"/>
        <v>23221333.333333332</v>
      </c>
      <c r="Y113" s="149">
        <f t="shared" si="10"/>
        <v>23221333.333333332</v>
      </c>
      <c r="Z113" s="149">
        <f t="shared" si="10"/>
        <v>23221333.333333332</v>
      </c>
      <c r="AA113" s="149">
        <f t="shared" si="10"/>
        <v>23221333.333333332</v>
      </c>
      <c r="AB113" s="149">
        <f t="shared" si="10"/>
        <v>23221333.333333332</v>
      </c>
      <c r="AC113" s="149">
        <f t="shared" si="10"/>
        <v>23221333.333333332</v>
      </c>
      <c r="AD113" s="149">
        <f t="shared" si="10"/>
        <v>23221333.333333332</v>
      </c>
      <c r="AE113" s="149">
        <f t="shared" si="10"/>
        <v>23221333.333333332</v>
      </c>
      <c r="AF113" s="149">
        <f t="shared" si="10"/>
        <v>23221333.333333332</v>
      </c>
      <c r="AG113" s="149">
        <f t="shared" si="10"/>
        <v>23221333.333333332</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89</v>
      </c>
      <c r="B115" s="69" t="s">
        <v>87</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90</v>
      </c>
      <c r="B116" s="69" t="s">
        <v>87</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91</v>
      </c>
      <c r="B118" s="69" t="s">
        <v>87</v>
      </c>
      <c r="C118" s="126"/>
      <c r="D118" s="149">
        <f>D113+D115+D116</f>
        <v>23221333.333333332</v>
      </c>
      <c r="E118" s="149">
        <f t="shared" ref="E118:AG118" si="13">E113+E115+E116</f>
        <v>23221333.333333332</v>
      </c>
      <c r="F118" s="149">
        <f>F113+F115+F116</f>
        <v>23221333.333333332</v>
      </c>
      <c r="G118" s="149">
        <f t="shared" si="13"/>
        <v>23221333.333333332</v>
      </c>
      <c r="H118" s="149">
        <f t="shared" si="13"/>
        <v>23221333.333333332</v>
      </c>
      <c r="I118" s="149">
        <f t="shared" si="13"/>
        <v>23221333.333333332</v>
      </c>
      <c r="J118" s="149">
        <f t="shared" si="13"/>
        <v>23221333.333333332</v>
      </c>
      <c r="K118" s="149">
        <f t="shared" si="13"/>
        <v>23221333.333333332</v>
      </c>
      <c r="L118" s="149">
        <f t="shared" si="13"/>
        <v>23221333.333333332</v>
      </c>
      <c r="M118" s="149">
        <f t="shared" si="13"/>
        <v>23221333.333333332</v>
      </c>
      <c r="N118" s="149">
        <f t="shared" si="13"/>
        <v>23221333.333333332</v>
      </c>
      <c r="O118" s="149">
        <f t="shared" si="13"/>
        <v>23221333.333333332</v>
      </c>
      <c r="P118" s="149">
        <f t="shared" si="13"/>
        <v>23221333.333333332</v>
      </c>
      <c r="Q118" s="149">
        <f t="shared" si="13"/>
        <v>23221333.333333332</v>
      </c>
      <c r="R118" s="149">
        <f t="shared" si="13"/>
        <v>23221333.333333332</v>
      </c>
      <c r="S118" s="149">
        <f t="shared" si="13"/>
        <v>23221333.333333332</v>
      </c>
      <c r="T118" s="149">
        <f t="shared" si="13"/>
        <v>23221333.333333332</v>
      </c>
      <c r="U118" s="149">
        <f t="shared" si="13"/>
        <v>23221333.333333332</v>
      </c>
      <c r="V118" s="149">
        <f t="shared" si="13"/>
        <v>23221333.333333332</v>
      </c>
      <c r="W118" s="149">
        <f t="shared" si="13"/>
        <v>23221333.333333332</v>
      </c>
      <c r="X118" s="149">
        <f t="shared" si="13"/>
        <v>23221333.333333332</v>
      </c>
      <c r="Y118" s="149">
        <f t="shared" si="13"/>
        <v>23221333.333333332</v>
      </c>
      <c r="Z118" s="149">
        <f t="shared" si="13"/>
        <v>23221333.333333332</v>
      </c>
      <c r="AA118" s="149">
        <f t="shared" si="13"/>
        <v>23221333.333333332</v>
      </c>
      <c r="AB118" s="149">
        <f t="shared" si="13"/>
        <v>23221333.333333332</v>
      </c>
      <c r="AC118" s="149">
        <f t="shared" si="13"/>
        <v>23221333.333333332</v>
      </c>
      <c r="AD118" s="149">
        <f t="shared" si="13"/>
        <v>23221333.333333332</v>
      </c>
      <c r="AE118" s="149">
        <f t="shared" si="13"/>
        <v>23221333.333333332</v>
      </c>
      <c r="AF118" s="149">
        <f t="shared" si="13"/>
        <v>23221333.333333332</v>
      </c>
      <c r="AG118" s="149">
        <f t="shared" si="13"/>
        <v>23221333.333333332</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70</v>
      </c>
      <c r="B120" s="69" t="s">
        <v>87</v>
      </c>
      <c r="C120" s="126"/>
      <c r="D120" s="149">
        <f>(SUM($D$118:D118)*$C$104/$C$106)+(SUM($D$118:D118)*$C$105/$C$107)</f>
        <v>557312</v>
      </c>
      <c r="E120" s="149">
        <f>(SUM($D$118:E118)*$C$104/$C$106)+(SUM($D$118:E118)*$C$105/$C$107)</f>
        <v>1114624</v>
      </c>
      <c r="F120" s="149">
        <f>(SUM($D$118:F118)*$C$104/$C$106)+(SUM($D$118:F118)*$C$105/$C$107)</f>
        <v>1671936</v>
      </c>
      <c r="G120" s="149">
        <f>(SUM($D$118:G118)*$C$104/$C$106)+(SUM($D$118:G118)*$C$105/$C$107)</f>
        <v>2229248</v>
      </c>
      <c r="H120" s="149">
        <f>(SUM($D$118:H118)*$C$104/$C$106)+(SUM($D$118:H118)*$C$105/$C$107)</f>
        <v>2786559.9999999995</v>
      </c>
      <c r="I120" s="149">
        <f>(SUM($D$118:I118)*$C$104/$C$106)+(SUM($D$118:I118)*$C$105/$C$107)</f>
        <v>3343872</v>
      </c>
      <c r="J120" s="149">
        <f>(SUM($D$118:J118)*$C$104/$C$106)+(SUM($D$118:J118)*$C$105/$C$107)</f>
        <v>3901184</v>
      </c>
      <c r="K120" s="149">
        <f>(SUM($D$118:K118)*$C$104/$C$106)+(SUM($D$118:K118)*$C$105/$C$107)</f>
        <v>4458496.0000000009</v>
      </c>
      <c r="L120" s="149">
        <f>(SUM($D$118:L118)*$C$104/$C$106)+(SUM($D$118:L118)*$C$105/$C$107)</f>
        <v>5015808.0000000009</v>
      </c>
      <c r="M120" s="149">
        <f>(SUM($D$118:M118)*$C$104/$C$106)+(SUM($D$118:M118)*$C$105/$C$107)</f>
        <v>5573120.0000000019</v>
      </c>
      <c r="N120" s="149">
        <f>(SUM($D$118:N118)*$C$104/$C$106)+(SUM($D$118:N118)*$C$105/$C$107)</f>
        <v>6130432.0000000009</v>
      </c>
      <c r="O120" s="149">
        <f>(SUM($D$118:O118)*$C$104/$C$106)+(SUM($D$118:O118)*$C$105/$C$107)</f>
        <v>6687744.0000000009</v>
      </c>
      <c r="P120" s="149">
        <f>(SUM($D$118:P118)*$C$104/$C$106)+(SUM($D$118:P118)*$C$105/$C$107)</f>
        <v>7245056.0000000019</v>
      </c>
      <c r="Q120" s="149">
        <f>(SUM($D$118:Q118)*$C$104/$C$106)+(SUM($D$118:Q118)*$C$105/$C$107)</f>
        <v>7802368</v>
      </c>
      <c r="R120" s="149">
        <f>(SUM($D$118:R118)*$C$104/$C$106)+(SUM($D$118:R118)*$C$105/$C$107)</f>
        <v>8359680</v>
      </c>
      <c r="S120" s="149">
        <f>(SUM($D$118:S118)*$C$104/$C$106)+(SUM($D$118:S118)*$C$105/$C$107)</f>
        <v>8916992</v>
      </c>
      <c r="T120" s="149">
        <f>(SUM($D$118:T118)*$C$104/$C$106)+(SUM($D$118:T118)*$C$105/$C$107)</f>
        <v>9474303.9999999981</v>
      </c>
      <c r="U120" s="149">
        <f>(SUM($D$118:U118)*$C$104/$C$106)+(SUM($D$118:U118)*$C$105/$C$107)</f>
        <v>10031615.999999998</v>
      </c>
      <c r="V120" s="149">
        <f>(SUM($D$118:V118)*$C$104/$C$106)+(SUM($D$118:V118)*$C$105/$C$107)</f>
        <v>10588927.999999996</v>
      </c>
      <c r="W120" s="149">
        <f>(SUM($D$118:W118)*$C$104/$C$106)+(SUM($D$118:W118)*$C$105/$C$107)</f>
        <v>11146239.999999998</v>
      </c>
      <c r="X120" s="149">
        <f>(SUM($D$118:X118)*$C$104/$C$106)+(SUM($D$118:X118)*$C$105/$C$107)</f>
        <v>11703551.999999998</v>
      </c>
      <c r="Y120" s="149">
        <f>(SUM($D$118:Y118)*$C$104/$C$106)+(SUM($D$118:Y118)*$C$105/$C$107)</f>
        <v>12260863.999999994</v>
      </c>
      <c r="Z120" s="149">
        <f>(SUM($D$118:Z118)*$C$104/$C$106)+(SUM($D$118:Z118)*$C$105/$C$107)</f>
        <v>12818175.999999996</v>
      </c>
      <c r="AA120" s="149">
        <f>(SUM($D$118:AA118)*$C$104/$C$106)+(SUM($D$118:AA118)*$C$105/$C$107)</f>
        <v>13375487.999999998</v>
      </c>
      <c r="AB120" s="149">
        <f>(SUM($D$118:AB118)*$C$104/$C$106)+(SUM($D$118:AB118)*$C$105/$C$107)</f>
        <v>13932799.999999996</v>
      </c>
      <c r="AC120" s="149">
        <f>(SUM($D$118:AC118)*$C$104/$C$106)+(SUM($D$118:AC118)*$C$105/$C$107)</f>
        <v>14490111.999999998</v>
      </c>
      <c r="AD120" s="149">
        <f>(SUM($D$118:AD118)*$C$104/$C$106)+(SUM($D$118:AD118)*$C$105/$C$107)</f>
        <v>15047424</v>
      </c>
      <c r="AE120" s="149">
        <f>(SUM($D$118:AE118)*$C$104/$C$106)+(SUM($D$118:AE118)*$C$105/$C$107)</f>
        <v>15604736</v>
      </c>
      <c r="AF120" s="149">
        <f>(SUM($D$118:AF118)*$C$104/$C$106)+(SUM($D$118:AF118)*$C$105/$C$107)</f>
        <v>16162048.000000004</v>
      </c>
      <c r="AG120" s="149">
        <f>(SUM($D$118:AG118)*$C$104/$C$106)+(SUM($D$118:AG118)*$C$105/$C$107)</f>
        <v>16719360.000000002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92</v>
      </c>
      <c r="B122" s="69" t="s">
        <v>87</v>
      </c>
      <c r="C122" s="126"/>
      <c r="D122" s="72">
        <f>(SUM($D$118:D118)*$C$109)</f>
        <v>696639.99999999988</v>
      </c>
      <c r="E122" s="72">
        <f>(SUM($D$118:E118)*$C$109)</f>
        <v>1393279.9999999998</v>
      </c>
      <c r="F122" s="72">
        <f>(SUM($D$118:F118)*$C$109)</f>
        <v>2089920</v>
      </c>
      <c r="G122" s="72">
        <f>(SUM($D$118:G118)*$C$109)</f>
        <v>2786559.9999999995</v>
      </c>
      <c r="H122" s="72">
        <f>(SUM($D$118:H118)*$C$109)</f>
        <v>3483199.9999999995</v>
      </c>
      <c r="I122" s="72">
        <f>(SUM($D$118:I118)*$C$109)</f>
        <v>4179840</v>
      </c>
      <c r="J122" s="72">
        <f>(SUM($D$118:J118)*$C$109)</f>
        <v>4876480</v>
      </c>
      <c r="K122" s="72">
        <f>(SUM($D$118:K118)*$C$109)</f>
        <v>5573120</v>
      </c>
      <c r="L122" s="72">
        <f>(SUM($D$118:L118)*$C$109)</f>
        <v>6269760.0000000009</v>
      </c>
      <c r="M122" s="72">
        <f>(SUM($D$118:M118)*$C$109)</f>
        <v>6966400.0000000009</v>
      </c>
      <c r="N122" s="72">
        <f>(SUM($D$118:N118)*$C$109)</f>
        <v>7663040.0000000009</v>
      </c>
      <c r="O122" s="72">
        <f>(SUM($D$118:O118)*$C$109)</f>
        <v>8359680.0000000019</v>
      </c>
      <c r="P122" s="72">
        <f>(SUM($D$118:P118)*$C$109)</f>
        <v>9056320</v>
      </c>
      <c r="Q122" s="72">
        <f>(SUM($D$118:Q118)*$C$109)</f>
        <v>9752960</v>
      </c>
      <c r="R122" s="72">
        <f>(SUM($D$118:R118)*$C$109)</f>
        <v>10449600</v>
      </c>
      <c r="S122" s="72">
        <f>(SUM($D$118:S118)*$C$109)</f>
        <v>11146239.999999998</v>
      </c>
      <c r="T122" s="72">
        <f>(SUM($D$118:T118)*$C$109)</f>
        <v>11842879.999999998</v>
      </c>
      <c r="U122" s="72">
        <f>(SUM($D$118:U118)*$C$109)</f>
        <v>12539519.999999998</v>
      </c>
      <c r="V122" s="72">
        <f>(SUM($D$118:V118)*$C$109)</f>
        <v>13236159.999999996</v>
      </c>
      <c r="W122" s="72">
        <f>(SUM($D$118:W118)*$C$109)</f>
        <v>13932799.999999996</v>
      </c>
      <c r="X122" s="72">
        <f>(SUM($D$118:X118)*$C$109)</f>
        <v>14629439.999999996</v>
      </c>
      <c r="Y122" s="72">
        <f>(SUM($D$118:Y118)*$C$109)</f>
        <v>15326079.999999994</v>
      </c>
      <c r="Z122" s="72">
        <f>(SUM($D$118:Z118)*$C$109)</f>
        <v>16022719.999999994</v>
      </c>
      <c r="AA122" s="72">
        <f>(SUM($D$118:AA118)*$C$109)</f>
        <v>16719359.999999996</v>
      </c>
      <c r="AB122" s="72">
        <f>(SUM($D$118:AB118)*$C$109)</f>
        <v>17415999.999999996</v>
      </c>
      <c r="AC122" s="72">
        <f>(SUM($D$118:AC118)*$C$109)</f>
        <v>18112640</v>
      </c>
      <c r="AD122" s="72">
        <f>(SUM($D$118:AD118)*$C$109)</f>
        <v>18809280</v>
      </c>
      <c r="AE122" s="72">
        <f>(SUM($D$118:AE118)*$C$109)</f>
        <v>19505920</v>
      </c>
      <c r="AF122" s="72">
        <f>(SUM($D$118:AF118)*$C$109)</f>
        <v>20202560</v>
      </c>
      <c r="AG122" s="72">
        <f>(SUM($D$118:AG118)*$C$109)</f>
        <v>20899200.000000004</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48</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149</v>
      </c>
      <c r="B126" s="77" t="s">
        <v>194</v>
      </c>
      <c r="C126" s="126">
        <v>15194</v>
      </c>
      <c r="D126" s="140"/>
    </row>
    <row r="127" spans="1:33" x14ac:dyDescent="0.35">
      <c r="A127" s="77" t="s">
        <v>148</v>
      </c>
      <c r="B127" s="77" t="s">
        <v>132</v>
      </c>
      <c r="C127" s="126">
        <v>4710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114</v>
      </c>
      <c r="B129" s="77" t="s">
        <v>87</v>
      </c>
      <c r="C129" s="126">
        <f>AVERAGE(C126:C127)</f>
        <v>9952</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124</v>
      </c>
      <c r="B131" s="77" t="s">
        <v>123</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153</v>
      </c>
      <c r="B133" s="77" t="s">
        <v>154</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100</v>
      </c>
      <c r="B135" s="79" t="s">
        <v>87</v>
      </c>
      <c r="C135" s="156">
        <f>C129/C131</f>
        <v>3685.9259259259256</v>
      </c>
      <c r="D135" s="157">
        <f t="shared" ref="D135:AG135" si="14">$C$135*D13</f>
        <v>3700.6696296296295</v>
      </c>
      <c r="E135" s="157">
        <f t="shared" si="14"/>
        <v>3715.4723081481479</v>
      </c>
      <c r="F135" s="157">
        <f t="shared" si="14"/>
        <v>3730.3341973807405</v>
      </c>
      <c r="G135" s="157">
        <f t="shared" si="14"/>
        <v>3745.2555341702637</v>
      </c>
      <c r="H135" s="157">
        <f t="shared" si="14"/>
        <v>3760.2365563069447</v>
      </c>
      <c r="I135" s="157">
        <f t="shared" si="14"/>
        <v>3775.2775025321721</v>
      </c>
      <c r="J135" s="157">
        <f t="shared" si="14"/>
        <v>3790.3786125423012</v>
      </c>
      <c r="K135" s="157">
        <f t="shared" si="14"/>
        <v>3805.540126992471</v>
      </c>
      <c r="L135" s="157">
        <f t="shared" si="14"/>
        <v>3820.7622875004408</v>
      </c>
      <c r="M135" s="157">
        <f t="shared" si="14"/>
        <v>3836.0453366504426</v>
      </c>
      <c r="N135" s="157">
        <f t="shared" si="14"/>
        <v>3851.3895179970441</v>
      </c>
      <c r="O135" s="157">
        <f t="shared" si="14"/>
        <v>3866.7950760690328</v>
      </c>
      <c r="P135" s="157">
        <f t="shared" si="14"/>
        <v>3882.2622563733089</v>
      </c>
      <c r="Q135" s="157">
        <f t="shared" si="14"/>
        <v>3897.7913053988023</v>
      </c>
      <c r="R135" s="157">
        <f t="shared" si="14"/>
        <v>3913.3824706203973</v>
      </c>
      <c r="S135" s="157">
        <f t="shared" si="14"/>
        <v>3929.0360005028792</v>
      </c>
      <c r="T135" s="157">
        <f t="shared" si="14"/>
        <v>3944.752144504891</v>
      </c>
      <c r="U135" s="157">
        <f t="shared" si="14"/>
        <v>3960.5311530829108</v>
      </c>
      <c r="V135" s="157">
        <f t="shared" si="14"/>
        <v>3976.3732776952415</v>
      </c>
      <c r="W135" s="157">
        <f t="shared" si="14"/>
        <v>3992.2787708060232</v>
      </c>
      <c r="X135" s="157">
        <f t="shared" si="14"/>
        <v>4008.2478858892468</v>
      </c>
      <c r="Y135" s="157">
        <f t="shared" si="14"/>
        <v>4024.2808774328041</v>
      </c>
      <c r="Z135" s="157">
        <f t="shared" si="14"/>
        <v>4040.378000942535</v>
      </c>
      <c r="AA135" s="157">
        <f t="shared" si="14"/>
        <v>4056.5395129463059</v>
      </c>
      <c r="AB135" s="157">
        <f t="shared" si="14"/>
        <v>4072.7656709980911</v>
      </c>
      <c r="AC135" s="157">
        <f t="shared" si="14"/>
        <v>4089.0567336820836</v>
      </c>
      <c r="AD135" s="157">
        <f t="shared" si="14"/>
        <v>4105.4129606168117</v>
      </c>
      <c r="AE135" s="157">
        <f t="shared" si="14"/>
        <v>4121.8346124592799</v>
      </c>
      <c r="AF135" s="157">
        <f t="shared" si="14"/>
        <v>4138.3219509091168</v>
      </c>
      <c r="AG135" s="157">
        <f t="shared" si="14"/>
        <v>4154.8752387127533</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1:4" x14ac:dyDescent="0.35">
      <c r="A195" s="76" t="s">
        <v>25</v>
      </c>
      <c r="D195" s="158">
        <v>0.1</v>
      </c>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80" zoomScaleNormal="8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31</v>
      </c>
    </row>
    <row r="2" spans="1:35" ht="16" thickBot="1" x14ac:dyDescent="0.4"/>
    <row r="3" spans="1:35" s="15" customFormat="1" ht="21.5" thickBot="1" x14ac:dyDescent="0.55000000000000004">
      <c r="A3" s="49" t="s">
        <v>26</v>
      </c>
      <c r="B3" s="50" t="s">
        <v>35</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106</v>
      </c>
      <c r="B4" s="35"/>
      <c r="C4" s="34"/>
      <c r="D4" s="53"/>
      <c r="E4" s="65">
        <v>0.4</v>
      </c>
      <c r="F4" s="65">
        <v>0.4</v>
      </c>
      <c r="G4" s="65">
        <v>0.35</v>
      </c>
      <c r="H4" s="65">
        <v>0.35</v>
      </c>
      <c r="I4" s="65">
        <v>0.1</v>
      </c>
      <c r="J4" s="65">
        <v>0.1</v>
      </c>
      <c r="K4" s="65">
        <v>0.1</v>
      </c>
      <c r="L4" s="65">
        <v>0.06</v>
      </c>
      <c r="M4" s="65">
        <v>0.06</v>
      </c>
      <c r="N4" s="65">
        <v>0.06</v>
      </c>
      <c r="O4" s="65">
        <v>0.06</v>
      </c>
      <c r="P4" s="65">
        <v>0.06</v>
      </c>
      <c r="Q4" s="65">
        <v>0.06</v>
      </c>
      <c r="R4" s="65">
        <v>0.06</v>
      </c>
      <c r="S4" s="65">
        <v>0.05</v>
      </c>
      <c r="T4" s="65">
        <v>0.05</v>
      </c>
      <c r="U4" s="65">
        <v>0.05</v>
      </c>
      <c r="V4" s="65">
        <v>0.05</v>
      </c>
      <c r="W4" s="65">
        <v>0.05</v>
      </c>
      <c r="X4" s="65">
        <v>0.05</v>
      </c>
      <c r="Y4" s="65">
        <v>0.05</v>
      </c>
      <c r="Z4" s="65">
        <v>0.05</v>
      </c>
      <c r="AA4" s="65">
        <v>0.05</v>
      </c>
      <c r="AB4" s="65">
        <v>0.05</v>
      </c>
      <c r="AC4" s="65">
        <v>0.05</v>
      </c>
      <c r="AD4" s="65">
        <v>0.05</v>
      </c>
      <c r="AE4" s="65">
        <v>0.03</v>
      </c>
      <c r="AF4" s="65">
        <v>0.03</v>
      </c>
      <c r="AG4" s="65">
        <v>0.03</v>
      </c>
      <c r="AH4" s="65">
        <v>0.03</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40</v>
      </c>
      <c r="B6" s="68">
        <f ca="1">MAX(E6:AH6)</f>
        <v>2.5168780241003463</v>
      </c>
      <c r="C6" s="25"/>
      <c r="D6" s="25"/>
      <c r="E6" s="27">
        <f>'Debt worksheet'!C5/'Profit and Loss'!C5</f>
        <v>1.5786596763630409</v>
      </c>
      <c r="F6" s="28">
        <f ca="1">'Debt worksheet'!D5/'Profit and Loss'!D5</f>
        <v>2.328676676521078</v>
      </c>
      <c r="G6" s="28">
        <f ca="1">'Debt worksheet'!E5/'Profit and Loss'!E5</f>
        <v>2.5168780241003463</v>
      </c>
      <c r="H6" s="28">
        <f ca="1">'Debt worksheet'!F5/'Profit and Loss'!F5</f>
        <v>2.342391949897245</v>
      </c>
      <c r="I6" s="28">
        <f ca="1">'Debt worksheet'!G5/'Profit and Loss'!G5</f>
        <v>2.4014798656880707</v>
      </c>
      <c r="J6" s="28">
        <f ca="1">'Debt worksheet'!H5/'Profit and Loss'!H5</f>
        <v>2.4160511653401797</v>
      </c>
      <c r="K6" s="28">
        <f ca="1">'Debt worksheet'!I5/'Profit and Loss'!I5</f>
        <v>2.3889635703425194</v>
      </c>
      <c r="L6" s="28">
        <f ca="1">'Debt worksheet'!J5/'Profit and Loss'!J5</f>
        <v>2.4107501541934631</v>
      </c>
      <c r="M6" s="28">
        <f ca="1">'Debt worksheet'!K5/'Profit and Loss'!K5</f>
        <v>2.428823553374142</v>
      </c>
      <c r="N6" s="28">
        <f ca="1">'Debt worksheet'!L5/'Profit and Loss'!L5</f>
        <v>2.4422041035250142</v>
      </c>
      <c r="O6" s="28">
        <f ca="1">'Debt worksheet'!M5/'Profit and Loss'!M5</f>
        <v>2.4500192852335165</v>
      </c>
      <c r="P6" s="28">
        <f ca="1">'Debt worksheet'!N5/'Profit and Loss'!N5</f>
        <v>2.4514963803271388</v>
      </c>
      <c r="Q6" s="28">
        <f ca="1">'Debt worksheet'!O5/'Profit and Loss'!O5</f>
        <v>2.4459555463380096</v>
      </c>
      <c r="R6" s="28">
        <f ca="1">'Debt worksheet'!P5/'Profit and Loss'!P5</f>
        <v>2.4328032875553807</v>
      </c>
      <c r="S6" s="28">
        <f ca="1">'Debt worksheet'!Q5/'Profit and Loss'!Q5</f>
        <v>2.434493219295538</v>
      </c>
      <c r="T6" s="28">
        <f ca="1">'Debt worksheet'!R5/'Profit and Loss'!R5</f>
        <v>2.4366289751785892</v>
      </c>
      <c r="U6" s="28">
        <f ca="1">'Debt worksheet'!S5/'Profit and Loss'!S5</f>
        <v>2.4385067451960238</v>
      </c>
      <c r="V6" s="28">
        <f ca="1">'Debt worksheet'!T5/'Profit and Loss'!T5</f>
        <v>2.4394717223570823</v>
      </c>
      <c r="W6" s="28">
        <f ca="1">'Debt worksheet'!U5/'Profit and Loss'!U5</f>
        <v>2.4389157409327695</v>
      </c>
      <c r="X6" s="28">
        <f ca="1">'Debt worksheet'!V5/'Profit and Loss'!V5</f>
        <v>2.4362750123669343</v>
      </c>
      <c r="Y6" s="28">
        <f ca="1">'Debt worksheet'!W5/'Profit and Loss'!W5</f>
        <v>2.4310279551246206</v>
      </c>
      <c r="Z6" s="28">
        <f ca="1">'Debt worksheet'!X5/'Profit and Loss'!X5</f>
        <v>2.4226931148838826</v>
      </c>
      <c r="AA6" s="28">
        <f ca="1">'Debt worksheet'!Y5/'Profit and Loss'!Y5</f>
        <v>2.4108271716084255</v>
      </c>
      <c r="AB6" s="28">
        <f ca="1">'Debt worksheet'!Z5/'Profit and Loss'!Z5</f>
        <v>2.3950230301649729</v>
      </c>
      <c r="AC6" s="28">
        <f ca="1">'Debt worksheet'!AA5/'Profit and Loss'!AA5</f>
        <v>2.3749079912712832</v>
      </c>
      <c r="AD6" s="28">
        <f ca="1">'Debt worksheet'!AB5/'Profit and Loss'!AB5</f>
        <v>2.3501419996784687</v>
      </c>
      <c r="AE6" s="28">
        <f ca="1">'Debt worksheet'!AC5/'Profit and Loss'!AC5</f>
        <v>2.3654725873155433</v>
      </c>
      <c r="AF6" s="28">
        <f ca="1">'Debt worksheet'!AD5/'Profit and Loss'!AD5</f>
        <v>2.3945250472643895</v>
      </c>
      <c r="AG6" s="28">
        <f ca="1">'Debt worksheet'!AE5/'Profit and Loss'!AE5</f>
        <v>2.4371165094770006</v>
      </c>
      <c r="AH6" s="28">
        <f ca="1">'Debt worksheet'!AF5/'Profit and Loss'!AF5</f>
        <v>2.4930671685620047</v>
      </c>
      <c r="AI6" s="31"/>
    </row>
    <row r="7" spans="1:35" ht="21" x14ac:dyDescent="0.5">
      <c r="A7" s="19" t="s">
        <v>39</v>
      </c>
      <c r="B7" s="26">
        <f ca="1">MIN('Price and Financial ratios'!E7:AH7)</f>
        <v>0.18736691441561698</v>
      </c>
      <c r="C7" s="26"/>
      <c r="D7" s="26"/>
      <c r="E7" s="56">
        <f ca="1">'Cash Flow'!C7/'Debt worksheet'!C5</f>
        <v>0.20942148573329569</v>
      </c>
      <c r="F7" s="32">
        <f ca="1">'Cash Flow'!D7/'Debt worksheet'!D5</f>
        <v>0.18736691441561698</v>
      </c>
      <c r="G7" s="32">
        <f ca="1">'Cash Flow'!E7/'Debt worksheet'!E5</f>
        <v>0.20782004979498156</v>
      </c>
      <c r="H7" s="32">
        <f ca="1">'Cash Flow'!F7/'Debt worksheet'!F5</f>
        <v>0.25960332215222071</v>
      </c>
      <c r="I7" s="32">
        <f ca="1">'Cash Flow'!G7/'Debt worksheet'!G5</f>
        <v>0.25331540430065019</v>
      </c>
      <c r="J7" s="32">
        <f ca="1">'Cash Flow'!H7/'Debt worksheet'!H5</f>
        <v>0.25319146974147833</v>
      </c>
      <c r="K7" s="32">
        <f ca="1">'Cash Flow'!I7/'Debt worksheet'!I5</f>
        <v>0.25865715311409293</v>
      </c>
      <c r="L7" s="32">
        <f ca="1">'Cash Flow'!J7/'Debt worksheet'!J5</f>
        <v>0.25351096961543118</v>
      </c>
      <c r="M7" s="17">
        <f ca="1">'Cash Flow'!K7/'Debt worksheet'!K5</f>
        <v>0.24929661891142543</v>
      </c>
      <c r="N7" s="17">
        <f ca="1">'Cash Flow'!L7/'Debt worksheet'!L5</f>
        <v>0.24605953516356852</v>
      </c>
      <c r="O7" s="17">
        <f ca="1">'Cash Flow'!M7/'Debt worksheet'!M5</f>
        <v>0.24383861499720413</v>
      </c>
      <c r="P7" s="17">
        <f ca="1">'Cash Flow'!N7/'Debt worksheet'!N5</f>
        <v>0.24267219932407696</v>
      </c>
      <c r="Q7" s="17">
        <f ca="1">'Cash Flow'!O7/'Debt worksheet'!O5</f>
        <v>0.24260344301888354</v>
      </c>
      <c r="R7" s="17">
        <f ca="1">'Cash Flow'!P7/'Debt worksheet'!P5</f>
        <v>0.24368539085992122</v>
      </c>
      <c r="S7" s="17">
        <f ca="1">'Cash Flow'!Q7/'Debt worksheet'!Q5</f>
        <v>0.24193221466529602</v>
      </c>
      <c r="T7" s="17">
        <f ca="1">'Cash Flow'!R7/'Debt worksheet'!R5</f>
        <v>0.24035684004034069</v>
      </c>
      <c r="U7" s="17">
        <f ca="1">'Cash Flow'!S7/'Debt worksheet'!S5</f>
        <v>0.23902685868333212</v>
      </c>
      <c r="V7" s="17">
        <f ca="1">'Cash Flow'!T7/'Debt worksheet'!T5</f>
        <v>0.23800318373707982</v>
      </c>
      <c r="W7" s="17">
        <f ca="1">'Cash Flow'!U7/'Debt worksheet'!U5</f>
        <v>0.23734132454507006</v>
      </c>
      <c r="X7" s="17">
        <f ca="1">'Cash Flow'!V7/'Debt worksheet'!V5</f>
        <v>0.23709282802760548</v>
      </c>
      <c r="Y7" s="17">
        <f ca="1">'Cash Flow'!W7/'Debt worksheet'!W5</f>
        <v>0.23730683087911841</v>
      </c>
      <c r="Z7" s="17">
        <f ca="1">'Cash Flow'!X7/'Debt worksheet'!X5</f>
        <v>0.23803169615610964</v>
      </c>
      <c r="AA7" s="17">
        <f ca="1">'Cash Flow'!Y7/'Debt worksheet'!Y5</f>
        <v>0.23931673469554912</v>
      </c>
      <c r="AB7" s="17">
        <f ca="1">'Cash Flow'!Z7/'Debt worksheet'!Z5</f>
        <v>0.24121403683282083</v>
      </c>
      <c r="AC7" s="17">
        <f ca="1">'Cash Flow'!AA7/'Debt worksheet'!AA5</f>
        <v>0.24378046460793551</v>
      </c>
      <c r="AD7" s="17">
        <f ca="1">'Cash Flow'!AB7/'Debt worksheet'!AB5</f>
        <v>0.24707988134356745</v>
      </c>
      <c r="AE7" s="17">
        <f ca="1">'Cash Flow'!AC7/'Debt worksheet'!AC5</f>
        <v>0.24267929324352344</v>
      </c>
      <c r="AF7" s="17">
        <f ca="1">'Cash Flow'!AD7/'Debt worksheet'!AD5</f>
        <v>0.2368380003508799</v>
      </c>
      <c r="AG7" s="17">
        <f ca="1">'Cash Flow'!AE7/'Debt worksheet'!AE5</f>
        <v>0.22972472311034753</v>
      </c>
      <c r="AH7" s="17">
        <f ca="1">'Cash Flow'!AF7/'Debt worksheet'!AF5</f>
        <v>0.22153776089927671</v>
      </c>
      <c r="AI7" s="29"/>
    </row>
    <row r="8" spans="1:35" ht="21" x14ac:dyDescent="0.5">
      <c r="A8" s="19" t="s">
        <v>34</v>
      </c>
      <c r="B8" s="26">
        <f ca="1">MAX('Price and Financial ratios'!E8:AH8)</f>
        <v>0.666048420123316</v>
      </c>
      <c r="C8" s="26"/>
      <c r="D8" s="176"/>
      <c r="E8" s="17">
        <f>'Balance Sheet'!B11/'Balance Sheet'!B8</f>
        <v>0.29828584325979818</v>
      </c>
      <c r="F8" s="17">
        <f ca="1">'Balance Sheet'!C11/'Balance Sheet'!C8</f>
        <v>0.60942761408567769</v>
      </c>
      <c r="G8" s="17">
        <f ca="1">'Balance Sheet'!D11/'Balance Sheet'!D8</f>
        <v>0.666048420123316</v>
      </c>
      <c r="H8" s="17">
        <f ca="1">'Balance Sheet'!E11/'Balance Sheet'!E8</f>
        <v>0.66581488336358541</v>
      </c>
      <c r="I8" s="17">
        <f ca="1">'Balance Sheet'!F11/'Balance Sheet'!F8</f>
        <v>0.62098352159405734</v>
      </c>
      <c r="J8" s="17">
        <f ca="1">'Balance Sheet'!G11/'Balance Sheet'!G8</f>
        <v>0.58384696898525712</v>
      </c>
      <c r="K8" s="17">
        <f ca="1">'Balance Sheet'!H11/'Balance Sheet'!H8</f>
        <v>0.5502893894950196</v>
      </c>
      <c r="L8" s="17">
        <f ca="1">'Balance Sheet'!I11/'Balance Sheet'!I8</f>
        <v>0.51787443829518964</v>
      </c>
      <c r="M8" s="17">
        <f ca="1">'Balance Sheet'!J11/'Balance Sheet'!J8</f>
        <v>0.4924565466150026</v>
      </c>
      <c r="N8" s="17">
        <f ca="1">'Balance Sheet'!K11/'Balance Sheet'!K8</f>
        <v>0.47192573087094697</v>
      </c>
      <c r="O8" s="17">
        <f ca="1">'Balance Sheet'!L11/'Balance Sheet'!L8</f>
        <v>0.45484974494626107</v>
      </c>
      <c r="P8" s="17">
        <f ca="1">'Balance Sheet'!M11/'Balance Sheet'!M8</f>
        <v>0.4402151270370655</v>
      </c>
      <c r="Q8" s="17">
        <f ca="1">'Balance Sheet'!N11/'Balance Sheet'!N8</f>
        <v>0.42727818426693892</v>
      </c>
      <c r="R8" s="17">
        <f ca="1">'Balance Sheet'!O11/'Balance Sheet'!O8</f>
        <v>0.41547504671047575</v>
      </c>
      <c r="S8" s="17">
        <f ca="1">'Balance Sheet'!P11/'Balance Sheet'!P8</f>
        <v>0.4043651534397989</v>
      </c>
      <c r="T8" s="17">
        <f ca="1">'Balance Sheet'!Q11/'Balance Sheet'!Q8</f>
        <v>0.3951125771763313</v>
      </c>
      <c r="U8" s="17">
        <f ca="1">'Balance Sheet'!R11/'Balance Sheet'!R8</f>
        <v>0.38732089564548944</v>
      </c>
      <c r="V8" s="17">
        <f ca="1">'Balance Sheet'!S11/'Balance Sheet'!S8</f>
        <v>0.38066963648904117</v>
      </c>
      <c r="W8" s="17">
        <f ca="1">'Balance Sheet'!T11/'Balance Sheet'!T8</f>
        <v>0.37489514543134089</v>
      </c>
      <c r="X8" s="17">
        <f ca="1">'Balance Sheet'!U11/'Balance Sheet'!U8</f>
        <v>0.36977688080752602</v>
      </c>
      <c r="Y8" s="17">
        <f ca="1">'Balance Sheet'!V11/'Balance Sheet'!V8</f>
        <v>0.3651274178095843</v>
      </c>
      <c r="Z8" s="17">
        <f ca="1">'Balance Sheet'!W11/'Balance Sheet'!W8</f>
        <v>0.36078503956998093</v>
      </c>
      <c r="AA8" s="17">
        <f ca="1">'Balance Sheet'!X11/'Balance Sheet'!X8</f>
        <v>0.35660816449368871</v>
      </c>
      <c r="AB8" s="17">
        <f ca="1">'Balance Sheet'!Y11/'Balance Sheet'!Y8</f>
        <v>0.35247109820283784</v>
      </c>
      <c r="AC8" s="17">
        <f ca="1">'Balance Sheet'!Z11/'Balance Sheet'!Z8</f>
        <v>0.34826075510467136</v>
      </c>
      <c r="AD8" s="17">
        <f ca="1">'Balance Sheet'!AA11/'Balance Sheet'!AA8</f>
        <v>0.34387409927232654</v>
      </c>
      <c r="AE8" s="17">
        <f ca="1">'Balance Sheet'!AB11/'Balance Sheet'!AB8</f>
        <v>0.33921612551401181</v>
      </c>
      <c r="AF8" s="17">
        <f ca="1">'Balance Sheet'!AC11/'Balance Sheet'!AC8</f>
        <v>0.3369361835202821</v>
      </c>
      <c r="AG8" s="17">
        <f ca="1">'Balance Sheet'!AD11/'Balance Sheet'!AD8</f>
        <v>0.33686334143500685</v>
      </c>
      <c r="AH8" s="17">
        <f ca="1">'Balance Sheet'!AE11/'Balance Sheet'!AE8</f>
        <v>0.33884943593425704</v>
      </c>
      <c r="AI8" s="29"/>
    </row>
    <row r="9" spans="1:35" ht="21.5" thickBot="1" x14ac:dyDescent="0.55000000000000004">
      <c r="A9" s="20" t="s">
        <v>33</v>
      </c>
      <c r="B9" s="21">
        <f ca="1">MIN('Price and Financial ratios'!E9:AH9)</f>
        <v>3.885830147446713</v>
      </c>
      <c r="C9" s="21"/>
      <c r="D9" s="177"/>
      <c r="E9" s="21">
        <f ca="1">('Cash Flow'!C7+'Profit and Loss'!C8)/('Profit and Loss'!C8)</f>
        <v>3.885830147446713</v>
      </c>
      <c r="F9" s="21">
        <f ca="1">('Cash Flow'!D7+'Profit and Loss'!D8)/('Profit and Loss'!D8)</f>
        <v>4.654301732486422</v>
      </c>
      <c r="G9" s="21">
        <f ca="1">('Cash Flow'!E7+'Profit and Loss'!E8)/('Profit and Loss'!E8)</f>
        <v>5.7071118795002036</v>
      </c>
      <c r="H9" s="21">
        <f ca="1">('Cash Flow'!F7+'Profit and Loss'!F8)/('Profit and Loss'!F8)</f>
        <v>7.5508313773960278</v>
      </c>
      <c r="I9" s="21">
        <f ca="1">('Cash Flow'!G7+'Profit and Loss'!G8)/('Profit and Loss'!G8)</f>
        <v>7.5138834047991825</v>
      </c>
      <c r="J9" s="21">
        <f ca="1">('Cash Flow'!H7+'Profit and Loss'!H8)/('Profit and Loss'!H8)</f>
        <v>7.6244713706379796</v>
      </c>
      <c r="K9" s="21">
        <f ca="1">('Cash Flow'!I7+'Profit and Loss'!I8)/('Profit and Loss'!I8)</f>
        <v>7.881358671019103</v>
      </c>
      <c r="L9" s="21">
        <f ca="1">('Cash Flow'!J7+'Profit and Loss'!J8)/('Profit and Loss'!J8)</f>
        <v>7.7553113661077946</v>
      </c>
      <c r="M9" s="21">
        <f ca="1">('Cash Flow'!K7+'Profit and Loss'!K8)/('Profit and Loss'!K8)</f>
        <v>7.6561450141316172</v>
      </c>
      <c r="N9" s="21">
        <f ca="1">('Cash Flow'!L7+'Profit and Loss'!L8)/('Profit and Loss'!L8)</f>
        <v>7.584837023643705</v>
      </c>
      <c r="O9" s="21">
        <f ca="1">('Cash Flow'!M7+'Profit and Loss'!M8)/('Profit and Loss'!M8)</f>
        <v>7.5423399505983255</v>
      </c>
      <c r="P9" s="21">
        <f ca="1">('Cash Flow'!N7+'Profit and Loss'!N8)/('Profit and Loss'!N8)</f>
        <v>7.529728142353588</v>
      </c>
      <c r="Q9" s="21">
        <f ca="1">('Cash Flow'!O7+'Profit and Loss'!O8)/('Profit and Loss'!O8)</f>
        <v>7.5483352172711218</v>
      </c>
      <c r="R9" s="21">
        <f ca="1">('Cash Flow'!P7+'Profit and Loss'!P8)/('Profit and Loss'!P8)</f>
        <v>7.5998925065971754</v>
      </c>
      <c r="S9" s="21">
        <f ca="1">('Cash Flow'!Q7+'Profit and Loss'!Q8)/('Profit and Loss'!Q8)</f>
        <v>7.5512143550001731</v>
      </c>
      <c r="T9" s="21">
        <f ca="1">('Cash Flow'!R7+'Profit and Loss'!R8)/('Profit and Loss'!R8)</f>
        <v>7.5092488132592541</v>
      </c>
      <c r="U9" s="21">
        <f ca="1">('Cash Flow'!S7+'Profit and Loss'!S8)/('Profit and Loss'!S8)</f>
        <v>7.4756567549188997</v>
      </c>
      <c r="V9" s="21">
        <f ca="1">('Cash Flow'!T7+'Profit and Loss'!T8)/('Profit and Loss'!T8)</f>
        <v>7.4519456743663657</v>
      </c>
      <c r="W9" s="21">
        <f ca="1">('Cash Flow'!U7+'Profit and Loss'!U8)/('Profit and Loss'!U8)</f>
        <v>7.4395095450990389</v>
      </c>
      <c r="X9" s="21">
        <f ca="1">('Cash Flow'!V7+'Profit and Loss'!V8)/('Profit and Loss'!V8)</f>
        <v>7.4396715727488347</v>
      </c>
      <c r="Y9" s="21">
        <f ca="1">('Cash Flow'!W7+'Profit and Loss'!W8)/('Profit and Loss'!W8)</f>
        <v>7.4537290939789935</v>
      </c>
      <c r="Z9" s="21">
        <f ca="1">('Cash Flow'!X7+'Profit and Loss'!X8)/('Profit and Loss'!X8)</f>
        <v>7.4830006110429403</v>
      </c>
      <c r="AA9" s="21">
        <f ca="1">('Cash Flow'!Y7+'Profit and Loss'!Y8)/('Profit and Loss'!Y8)</f>
        <v>7.5288756354781272</v>
      </c>
      <c r="AB9" s="21">
        <f ca="1">('Cash Flow'!Z7+'Profit and Loss'!Z8)/('Profit and Loss'!Z8)</f>
        <v>7.592868684950508</v>
      </c>
      <c r="AC9" s="21">
        <f ca="1">('Cash Flow'!AA7+'Profit and Loss'!AA8)/('Profit and Loss'!AA8)</f>
        <v>7.6766794967642475</v>
      </c>
      <c r="AD9" s="21">
        <f ca="1">('Cash Flow'!AB7+'Profit and Loss'!AB8)/('Profit and Loss'!AB8)</f>
        <v>7.7822623744056765</v>
      </c>
      <c r="AE9" s="21">
        <f ca="1">('Cash Flow'!AC7+'Profit and Loss'!AC8)/('Profit and Loss'!AC8)</f>
        <v>7.6235722034085152</v>
      </c>
      <c r="AF9" s="21">
        <f ca="1">('Cash Flow'!AD7+'Profit and Loss'!AD8)/('Profit and Loss'!AD8)</f>
        <v>7.4291786865121452</v>
      </c>
      <c r="AG9" s="21">
        <f ca="1">('Cash Flow'!AE7+'Profit and Loss'!AE8)/('Profit and Loss'!AE8)</f>
        <v>7.2045611200094974</v>
      </c>
      <c r="AH9" s="21">
        <f ca="1">('Cash Flow'!AF7+'Profit and Loss'!AF8)/('Profit and Loss'!AF8)</f>
        <v>6.955657204871768</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80" zoomScaleNormal="80" workbookViewId="0">
      <selection sqref="A1:XFD1048576"/>
    </sheetView>
  </sheetViews>
  <sheetFormatPr defaultRowHeight="15.5" x14ac:dyDescent="0.35"/>
  <cols>
    <col min="1" max="16384" width="8.6640625" style="174"/>
  </cols>
  <sheetData>
    <row r="1" spans="1:1" x14ac:dyDescent="0.35">
      <c r="A1" s="175"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80" zoomScaleNormal="8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159</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73</v>
      </c>
      <c r="C5" s="1">
        <f>Assumptions!D111</f>
        <v>1994566.4271218912</v>
      </c>
      <c r="D5" s="1">
        <f>Assumptions!E111</f>
        <v>1994566.4271218912</v>
      </c>
      <c r="E5" s="1">
        <f>Assumptions!F111</f>
        <v>1994566.4271218912</v>
      </c>
      <c r="F5" s="1">
        <f>Assumptions!G111</f>
        <v>1994566.4271218912</v>
      </c>
      <c r="G5" s="1">
        <f>Assumptions!H111</f>
        <v>1994566.4271218912</v>
      </c>
      <c r="H5" s="1">
        <f>Assumptions!I111</f>
        <v>1994566.4271218912</v>
      </c>
      <c r="I5" s="1">
        <f>Assumptions!J111</f>
        <v>1994566.4271218912</v>
      </c>
      <c r="J5" s="1">
        <f>Assumptions!K111</f>
        <v>1994566.4271218912</v>
      </c>
      <c r="K5" s="1">
        <f>Assumptions!L111</f>
        <v>1994566.4271218912</v>
      </c>
      <c r="L5" s="1">
        <f>Assumptions!M111</f>
        <v>1994566.4271218912</v>
      </c>
      <c r="M5" s="1">
        <f>Assumptions!N111</f>
        <v>1994566.4271218912</v>
      </c>
      <c r="N5" s="1">
        <f>Assumptions!O111</f>
        <v>1994566.4271218912</v>
      </c>
      <c r="O5" s="1">
        <f>Assumptions!P111</f>
        <v>1994566.4271218912</v>
      </c>
      <c r="P5" s="1">
        <f>Assumptions!Q111</f>
        <v>1994566.4271218912</v>
      </c>
      <c r="Q5" s="1">
        <f>Assumptions!R111</f>
        <v>1994566.4271218912</v>
      </c>
      <c r="R5" s="1">
        <f>Assumptions!S111</f>
        <v>1994566.4271218912</v>
      </c>
      <c r="S5" s="1">
        <f>Assumptions!T111</f>
        <v>1994566.4271218912</v>
      </c>
      <c r="T5" s="1">
        <f>Assumptions!U111</f>
        <v>1994566.4271218912</v>
      </c>
      <c r="U5" s="1">
        <f>Assumptions!V111</f>
        <v>1994566.4271218912</v>
      </c>
      <c r="V5" s="1">
        <f>Assumptions!W111</f>
        <v>1994566.4271218912</v>
      </c>
      <c r="W5" s="1">
        <f>Assumptions!X111</f>
        <v>1994566.4271218912</v>
      </c>
      <c r="X5" s="1">
        <f>Assumptions!Y111</f>
        <v>1994566.4271218912</v>
      </c>
      <c r="Y5" s="1">
        <f>Assumptions!Z111</f>
        <v>1994566.4271218912</v>
      </c>
      <c r="Z5" s="1">
        <f>Assumptions!AA111</f>
        <v>1994566.4271218912</v>
      </c>
      <c r="AA5" s="1">
        <f>Assumptions!AB111</f>
        <v>1994566.4271218912</v>
      </c>
      <c r="AB5" s="1">
        <f>Assumptions!AC111</f>
        <v>1994566.4271218912</v>
      </c>
      <c r="AC5" s="1">
        <f>Assumptions!AD111</f>
        <v>1994566.4271218912</v>
      </c>
      <c r="AD5" s="1">
        <f>Assumptions!AE111</f>
        <v>1994566.4271218912</v>
      </c>
      <c r="AE5" s="1">
        <f>Assumptions!AF111</f>
        <v>1994566.4271218912</v>
      </c>
      <c r="AF5" s="1">
        <f>Assumptions!AG111</f>
        <v>1994566.4271218912</v>
      </c>
    </row>
    <row r="6" spans="1:32" x14ac:dyDescent="0.35">
      <c r="A6" t="s">
        <v>69</v>
      </c>
      <c r="C6" s="1">
        <f>Assumptions!D113</f>
        <v>23221333.333333332</v>
      </c>
      <c r="D6" s="1">
        <f>Assumptions!E113</f>
        <v>23221333.333333332</v>
      </c>
      <c r="E6" s="1">
        <f>Assumptions!F113</f>
        <v>23221333.333333332</v>
      </c>
      <c r="F6" s="1">
        <f>Assumptions!G113</f>
        <v>23221333.333333332</v>
      </c>
      <c r="G6" s="1">
        <f>Assumptions!H113</f>
        <v>23221333.333333332</v>
      </c>
      <c r="H6" s="1">
        <f>Assumptions!I113</f>
        <v>23221333.333333332</v>
      </c>
      <c r="I6" s="1">
        <f>Assumptions!J113</f>
        <v>23221333.333333332</v>
      </c>
      <c r="J6" s="1">
        <f>Assumptions!K113</f>
        <v>23221333.333333332</v>
      </c>
      <c r="K6" s="1">
        <f>Assumptions!L113</f>
        <v>23221333.333333332</v>
      </c>
      <c r="L6" s="1">
        <f>Assumptions!M113</f>
        <v>23221333.333333332</v>
      </c>
      <c r="M6" s="1">
        <f>Assumptions!N113</f>
        <v>23221333.333333332</v>
      </c>
      <c r="N6" s="1">
        <f>Assumptions!O113</f>
        <v>23221333.333333332</v>
      </c>
      <c r="O6" s="1">
        <f>Assumptions!P113</f>
        <v>23221333.333333332</v>
      </c>
      <c r="P6" s="1">
        <f>Assumptions!Q113</f>
        <v>23221333.333333332</v>
      </c>
      <c r="Q6" s="1">
        <f>Assumptions!R113</f>
        <v>23221333.333333332</v>
      </c>
      <c r="R6" s="1">
        <f>Assumptions!S113</f>
        <v>23221333.333333332</v>
      </c>
      <c r="S6" s="1">
        <f>Assumptions!T113</f>
        <v>23221333.333333332</v>
      </c>
      <c r="T6" s="1">
        <f>Assumptions!U113</f>
        <v>23221333.333333332</v>
      </c>
      <c r="U6" s="1">
        <f>Assumptions!V113</f>
        <v>23221333.333333332</v>
      </c>
      <c r="V6" s="1">
        <f>Assumptions!W113</f>
        <v>23221333.333333332</v>
      </c>
      <c r="W6" s="1">
        <f>Assumptions!X113</f>
        <v>23221333.333333332</v>
      </c>
      <c r="X6" s="1">
        <f>Assumptions!Y113</f>
        <v>23221333.333333332</v>
      </c>
      <c r="Y6" s="1">
        <f>Assumptions!Z113</f>
        <v>23221333.333333332</v>
      </c>
      <c r="Z6" s="1">
        <f>Assumptions!AA113</f>
        <v>23221333.333333332</v>
      </c>
      <c r="AA6" s="1">
        <f>Assumptions!AB113</f>
        <v>23221333.333333332</v>
      </c>
      <c r="AB6" s="1">
        <f>Assumptions!AC113</f>
        <v>23221333.333333332</v>
      </c>
      <c r="AC6" s="1">
        <f>Assumptions!AD113</f>
        <v>23221333.333333332</v>
      </c>
      <c r="AD6" s="1">
        <f>Assumptions!AE113</f>
        <v>23221333.333333332</v>
      </c>
      <c r="AE6" s="1">
        <f>Assumptions!AF113</f>
        <v>23221333.333333332</v>
      </c>
      <c r="AF6" s="1">
        <f>Assumptions!AG113</f>
        <v>23221333.333333332</v>
      </c>
    </row>
    <row r="7" spans="1:32" x14ac:dyDescent="0.35">
      <c r="A7" t="s">
        <v>74</v>
      </c>
      <c r="C7" s="1">
        <f>Assumptions!D120</f>
        <v>557312</v>
      </c>
      <c r="D7" s="1">
        <f>Assumptions!E120</f>
        <v>1114624</v>
      </c>
      <c r="E7" s="1">
        <f>Assumptions!F120</f>
        <v>1671936</v>
      </c>
      <c r="F7" s="1">
        <f>Assumptions!G120</f>
        <v>2229248</v>
      </c>
      <c r="G7" s="1">
        <f>Assumptions!H120</f>
        <v>2786559.9999999995</v>
      </c>
      <c r="H7" s="1">
        <f>Assumptions!I120</f>
        <v>3343872</v>
      </c>
      <c r="I7" s="1">
        <f>Assumptions!J120</f>
        <v>3901184</v>
      </c>
      <c r="J7" s="1">
        <f>Assumptions!K120</f>
        <v>4458496.0000000009</v>
      </c>
      <c r="K7" s="1">
        <f>Assumptions!L120</f>
        <v>5015808.0000000009</v>
      </c>
      <c r="L7" s="1">
        <f>Assumptions!M120</f>
        <v>5573120.0000000019</v>
      </c>
      <c r="M7" s="1">
        <f>Assumptions!N120</f>
        <v>6130432.0000000009</v>
      </c>
      <c r="N7" s="1">
        <f>Assumptions!O120</f>
        <v>6687744.0000000009</v>
      </c>
      <c r="O7" s="1">
        <f>Assumptions!P120</f>
        <v>7245056.0000000019</v>
      </c>
      <c r="P7" s="1">
        <f>Assumptions!Q120</f>
        <v>7802368</v>
      </c>
      <c r="Q7" s="1">
        <f>Assumptions!R120</f>
        <v>8359680</v>
      </c>
      <c r="R7" s="1">
        <f>Assumptions!S120</f>
        <v>8916992</v>
      </c>
      <c r="S7" s="1">
        <f>Assumptions!T120</f>
        <v>9474303.9999999981</v>
      </c>
      <c r="T7" s="1">
        <f>Assumptions!U120</f>
        <v>10031615.999999998</v>
      </c>
      <c r="U7" s="1">
        <f>Assumptions!V120</f>
        <v>10588927.999999996</v>
      </c>
      <c r="V7" s="1">
        <f>Assumptions!W120</f>
        <v>11146239.999999998</v>
      </c>
      <c r="W7" s="1">
        <f>Assumptions!X120</f>
        <v>11703551.999999998</v>
      </c>
      <c r="X7" s="1">
        <f>Assumptions!Y120</f>
        <v>12260863.999999994</v>
      </c>
      <c r="Y7" s="1">
        <f>Assumptions!Z120</f>
        <v>12818175.999999996</v>
      </c>
      <c r="Z7" s="1">
        <f>Assumptions!AA120</f>
        <v>13375487.999999998</v>
      </c>
      <c r="AA7" s="1">
        <f>Assumptions!AB120</f>
        <v>13932799.999999996</v>
      </c>
      <c r="AB7" s="1">
        <f>Assumptions!AC120</f>
        <v>14490111.999999998</v>
      </c>
      <c r="AC7" s="1">
        <f>Assumptions!AD120</f>
        <v>15047424</v>
      </c>
      <c r="AD7" s="1">
        <f>Assumptions!AE120</f>
        <v>15604736</v>
      </c>
      <c r="AE7" s="1">
        <f>Assumptions!AF120</f>
        <v>16162048.000000004</v>
      </c>
      <c r="AF7" s="1">
        <f>Assumptions!AG120</f>
        <v>16719360.000000002</v>
      </c>
    </row>
    <row r="9" spans="1:32" x14ac:dyDescent="0.35">
      <c r="A9" t="s">
        <v>93</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71</v>
      </c>
      <c r="C11" s="1">
        <f>C5*C$9</f>
        <v>2058392.5527897917</v>
      </c>
      <c r="D11" s="1">
        <f>D5*D$9</f>
        <v>2124261.1144790649</v>
      </c>
      <c r="E11" s="1">
        <f t="shared" ref="D11:AF13" si="1">E5*E$9</f>
        <v>2192237.4701423948</v>
      </c>
      <c r="F11" s="1">
        <f t="shared" si="1"/>
        <v>2262389.0691869515</v>
      </c>
      <c r="G11" s="1">
        <f t="shared" si="1"/>
        <v>2334785.5194009342</v>
      </c>
      <c r="H11" s="1">
        <f t="shared" si="1"/>
        <v>2409498.656021764</v>
      </c>
      <c r="I11" s="1">
        <f t="shared" si="1"/>
        <v>2486602.6130144601</v>
      </c>
      <c r="J11" s="1">
        <f t="shared" si="1"/>
        <v>2566173.8966309233</v>
      </c>
      <c r="K11" s="1">
        <f t="shared" si="1"/>
        <v>2648291.4613231127</v>
      </c>
      <c r="L11" s="1">
        <f t="shared" si="1"/>
        <v>2733036.7880854523</v>
      </c>
      <c r="M11" s="1">
        <f t="shared" si="1"/>
        <v>2820493.9653041866</v>
      </c>
      <c r="N11" s="1">
        <f t="shared" si="1"/>
        <v>2910749.7721939208</v>
      </c>
      <c r="O11" s="1">
        <f t="shared" si="1"/>
        <v>3003893.7649041265</v>
      </c>
      <c r="P11" s="1">
        <f t="shared" si="1"/>
        <v>3100018.3653810578</v>
      </c>
      <c r="Q11" s="1">
        <f t="shared" si="1"/>
        <v>3199218.9530732511</v>
      </c>
      <c r="R11" s="1">
        <f t="shared" si="1"/>
        <v>3301593.9595715958</v>
      </c>
      <c r="S11" s="1">
        <f t="shared" si="1"/>
        <v>3407244.9662778871</v>
      </c>
      <c r="T11" s="1">
        <f t="shared" si="1"/>
        <v>3516276.8051987793</v>
      </c>
      <c r="U11" s="1">
        <f t="shared" si="1"/>
        <v>3628797.6629651398</v>
      </c>
      <c r="V11" s="1">
        <f t="shared" si="1"/>
        <v>3744919.1881800247</v>
      </c>
      <c r="W11" s="1">
        <f t="shared" si="1"/>
        <v>3864756.6022017859</v>
      </c>
      <c r="X11" s="1">
        <f t="shared" si="1"/>
        <v>3988428.8134722426</v>
      </c>
      <c r="Y11" s="1">
        <f t="shared" si="1"/>
        <v>4116058.5355033535</v>
      </c>
      <c r="Z11" s="1">
        <f t="shared" si="1"/>
        <v>4247772.4086394608</v>
      </c>
      <c r="AA11" s="1">
        <f t="shared" si="1"/>
        <v>4383701.1257159254</v>
      </c>
      <c r="AB11" s="1">
        <f t="shared" si="1"/>
        <v>4523979.5617388338</v>
      </c>
      <c r="AC11" s="1">
        <f t="shared" si="1"/>
        <v>4668746.9077144759</v>
      </c>
      <c r="AD11" s="1">
        <f t="shared" si="1"/>
        <v>4818146.8087613396</v>
      </c>
      <c r="AE11" s="1">
        <f t="shared" si="1"/>
        <v>4972327.5066417027</v>
      </c>
      <c r="AF11" s="1">
        <f t="shared" si="1"/>
        <v>5131441.9868542366</v>
      </c>
    </row>
    <row r="12" spans="1:32" x14ac:dyDescent="0.35">
      <c r="A12" t="s">
        <v>72</v>
      </c>
      <c r="C12" s="1">
        <f t="shared" ref="C12:R12" si="2">C6*C$9</f>
        <v>23964416</v>
      </c>
      <c r="D12" s="1">
        <f t="shared" si="2"/>
        <v>24731277.311999999</v>
      </c>
      <c r="E12" s="1">
        <f t="shared" si="2"/>
        <v>25522678.185983997</v>
      </c>
      <c r="F12" s="1">
        <f t="shared" si="2"/>
        <v>26339403.887935486</v>
      </c>
      <c r="G12" s="1">
        <f t="shared" si="2"/>
        <v>27182264.812349424</v>
      </c>
      <c r="H12" s="1">
        <f t="shared" si="2"/>
        <v>28052097.286344599</v>
      </c>
      <c r="I12" s="1">
        <f t="shared" si="2"/>
        <v>28949764.399507623</v>
      </c>
      <c r="J12" s="1">
        <f t="shared" si="2"/>
        <v>29876156.860291872</v>
      </c>
      <c r="K12" s="1">
        <f t="shared" si="2"/>
        <v>30832193.879821215</v>
      </c>
      <c r="L12" s="1">
        <f t="shared" si="2"/>
        <v>31818824.08397549</v>
      </c>
      <c r="M12" s="1">
        <f t="shared" si="2"/>
        <v>32837026.454662703</v>
      </c>
      <c r="N12" s="1">
        <f t="shared" si="2"/>
        <v>33887811.301211916</v>
      </c>
      <c r="O12" s="1">
        <f t="shared" si="2"/>
        <v>34972221.262850694</v>
      </c>
      <c r="P12" s="1">
        <f t="shared" si="2"/>
        <v>36091332.343261912</v>
      </c>
      <c r="Q12" s="1">
        <f t="shared" si="2"/>
        <v>37246254.978246287</v>
      </c>
      <c r="R12" s="1">
        <f t="shared" si="2"/>
        <v>38438135.137550175</v>
      </c>
      <c r="S12" s="1">
        <f t="shared" si="1"/>
        <v>39668155.461951785</v>
      </c>
      <c r="T12" s="1">
        <f t="shared" si="1"/>
        <v>40937536.436734237</v>
      </c>
      <c r="U12" s="1">
        <f t="shared" si="1"/>
        <v>42247537.602709733</v>
      </c>
      <c r="V12" s="1">
        <f t="shared" si="1"/>
        <v>43599458.805996448</v>
      </c>
      <c r="W12" s="1">
        <f t="shared" si="1"/>
        <v>44994641.487788342</v>
      </c>
      <c r="X12" s="1">
        <f t="shared" si="1"/>
        <v>46434470.015397556</v>
      </c>
      <c r="Y12" s="1">
        <f t="shared" si="1"/>
        <v>47920373.05589027</v>
      </c>
      <c r="Z12" s="1">
        <f t="shared" si="1"/>
        <v>49453824.993678764</v>
      </c>
      <c r="AA12" s="1">
        <f t="shared" si="1"/>
        <v>51036347.393476501</v>
      </c>
      <c r="AB12" s="1">
        <f t="shared" si="1"/>
        <v>52669510.510067739</v>
      </c>
      <c r="AC12" s="1">
        <f t="shared" si="1"/>
        <v>54354934.846389897</v>
      </c>
      <c r="AD12" s="1">
        <f t="shared" si="1"/>
        <v>56094292.761474386</v>
      </c>
      <c r="AE12" s="1">
        <f t="shared" si="1"/>
        <v>57889310.129841566</v>
      </c>
      <c r="AF12" s="1">
        <f t="shared" si="1"/>
        <v>59741768.053996481</v>
      </c>
    </row>
    <row r="13" spans="1:32" x14ac:dyDescent="0.35">
      <c r="A13" t="s">
        <v>75</v>
      </c>
      <c r="C13" s="1">
        <f>C7*C$9</f>
        <v>575145.98400000005</v>
      </c>
      <c r="D13" s="1">
        <f t="shared" si="1"/>
        <v>1187101.310976</v>
      </c>
      <c r="E13" s="1">
        <f t="shared" si="1"/>
        <v>1837632.8293908478</v>
      </c>
      <c r="F13" s="1">
        <f t="shared" si="1"/>
        <v>2528582.7732418068</v>
      </c>
      <c r="G13" s="1">
        <f t="shared" si="1"/>
        <v>3261871.7774819303</v>
      </c>
      <c r="H13" s="1">
        <f t="shared" si="1"/>
        <v>4039502.0092336228</v>
      </c>
      <c r="I13" s="1">
        <f t="shared" si="1"/>
        <v>4863560.4191172812</v>
      </c>
      <c r="J13" s="1">
        <f t="shared" si="1"/>
        <v>5736222.117176041</v>
      </c>
      <c r="K13" s="1">
        <f t="shared" si="1"/>
        <v>6659753.8780413838</v>
      </c>
      <c r="L13" s="1">
        <f t="shared" si="1"/>
        <v>7636517.7801541202</v>
      </c>
      <c r="M13" s="1">
        <f t="shared" si="1"/>
        <v>8668974.9840309564</v>
      </c>
      <c r="N13" s="1">
        <f t="shared" si="1"/>
        <v>9759689.6547490321</v>
      </c>
      <c r="O13" s="1">
        <f t="shared" si="1"/>
        <v>10911333.034009421</v>
      </c>
      <c r="P13" s="1">
        <f t="shared" si="1"/>
        <v>12126687.667336004</v>
      </c>
      <c r="Q13" s="1">
        <f t="shared" si="1"/>
        <v>13408651.792168664</v>
      </c>
      <c r="R13" s="1">
        <f t="shared" si="1"/>
        <v>14760243.892819269</v>
      </c>
      <c r="S13" s="1">
        <f t="shared" si="1"/>
        <v>16184607.428476326</v>
      </c>
      <c r="T13" s="1">
        <f t="shared" si="1"/>
        <v>17685015.740669187</v>
      </c>
      <c r="U13" s="1">
        <f t="shared" si="1"/>
        <v>19264877.146835633</v>
      </c>
      <c r="V13" s="1">
        <f t="shared" si="1"/>
        <v>20927740.226878293</v>
      </c>
      <c r="W13" s="1">
        <f t="shared" si="1"/>
        <v>22677299.309845321</v>
      </c>
      <c r="X13" s="1">
        <f t="shared" si="1"/>
        <v>24517400.168129902</v>
      </c>
      <c r="Y13" s="1">
        <f t="shared" si="1"/>
        <v>26452045.926851425</v>
      </c>
      <c r="Z13" s="1">
        <f t="shared" si="1"/>
        <v>28485403.196358968</v>
      </c>
      <c r="AA13" s="1">
        <f t="shared" si="1"/>
        <v>30621808.436085891</v>
      </c>
      <c r="AB13" s="1">
        <f t="shared" si="1"/>
        <v>32865774.558282264</v>
      </c>
      <c r="AC13" s="1">
        <f t="shared" si="1"/>
        <v>35221997.780460656</v>
      </c>
      <c r="AD13" s="1">
        <f t="shared" si="1"/>
        <v>37695364.735710785</v>
      </c>
      <c r="AE13" s="1">
        <f t="shared" si="1"/>
        <v>40290959.850369737</v>
      </c>
      <c r="AF13" s="1">
        <f t="shared" si="1"/>
        <v>43014072.998877473</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82</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62</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79</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76</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77</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78</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98</v>
      </c>
      <c r="C25" s="40">
        <f>SUM(C11:C13,C18:C23)</f>
        <v>26597954.536789794</v>
      </c>
      <c r="D25" s="40">
        <f>SUM(D11:D13,D18:D23)</f>
        <v>28042639.737455063</v>
      </c>
      <c r="E25" s="40">
        <f t="shared" ref="E25:AF25" si="7">SUM(E11:E13,E18:E23)</f>
        <v>29552548.485517237</v>
      </c>
      <c r="F25" s="40">
        <f t="shared" si="7"/>
        <v>31130375.730364244</v>
      </c>
      <c r="G25" s="40">
        <f t="shared" si="7"/>
        <v>32778922.109232292</v>
      </c>
      <c r="H25" s="40">
        <f t="shared" si="7"/>
        <v>34501097.951599985</v>
      </c>
      <c r="I25" s="40">
        <f t="shared" si="7"/>
        <v>36299927.431639366</v>
      </c>
      <c r="J25" s="40">
        <f t="shared" si="7"/>
        <v>38178552.874098837</v>
      </c>
      <c r="K25" s="40">
        <f t="shared" si="7"/>
        <v>40140239.21918571</v>
      </c>
      <c r="L25" s="40">
        <f t="shared" si="7"/>
        <v>42188378.652215064</v>
      </c>
      <c r="M25" s="40">
        <f t="shared" si="7"/>
        <v>44326495.403997846</v>
      </c>
      <c r="N25" s="40">
        <f t="shared" si="7"/>
        <v>46558250.728154868</v>
      </c>
      <c r="O25" s="40">
        <f t="shared" si="7"/>
        <v>48887448.06176424</v>
      </c>
      <c r="P25" s="40">
        <f t="shared" si="7"/>
        <v>51318038.375978969</v>
      </c>
      <c r="Q25" s="40">
        <f t="shared" si="7"/>
        <v>53854125.723488197</v>
      </c>
      <c r="R25" s="40">
        <f t="shared" si="7"/>
        <v>56499972.989941038</v>
      </c>
      <c r="S25" s="40">
        <f t="shared" si="7"/>
        <v>59260007.856706001</v>
      </c>
      <c r="T25" s="40">
        <f t="shared" si="7"/>
        <v>62138828.982602209</v>
      </c>
      <c r="U25" s="40">
        <f t="shared" si="7"/>
        <v>65141212.412510507</v>
      </c>
      <c r="V25" s="40">
        <f t="shared" si="7"/>
        <v>68272118.221054763</v>
      </c>
      <c r="W25" s="40">
        <f t="shared" si="7"/>
        <v>71536697.399835438</v>
      </c>
      <c r="X25" s="40">
        <f t="shared" si="7"/>
        <v>74940298.996999696</v>
      </c>
      <c r="Y25" s="40">
        <f t="shared" si="7"/>
        <v>78488477.518245041</v>
      </c>
      <c r="Z25" s="40">
        <f t="shared" si="7"/>
        <v>82187000.598677188</v>
      </c>
      <c r="AA25" s="40">
        <f t="shared" si="7"/>
        <v>86041856.955278322</v>
      </c>
      <c r="AB25" s="40">
        <f t="shared" si="7"/>
        <v>90059264.630088836</v>
      </c>
      <c r="AC25" s="40">
        <f t="shared" si="7"/>
        <v>94245679.534565032</v>
      </c>
      <c r="AD25" s="40">
        <f t="shared" si="7"/>
        <v>98607804.305946514</v>
      </c>
      <c r="AE25" s="40">
        <f t="shared" si="7"/>
        <v>103152597.486853</v>
      </c>
      <c r="AF25" s="40">
        <f t="shared" si="7"/>
        <v>107887283.03972819</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80" zoomScaleNormal="8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160</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13133926.4</v>
      </c>
      <c r="D5" s="59">
        <f>C5*('Price and Financial ratios'!F4+1)*(1+Assumptions!$C$13)</f>
        <v>18461046.947840001</v>
      </c>
      <c r="E5" s="59">
        <f>D5*('Price and Financial ratios'!G4+1)*(1+Assumptions!$C$13)</f>
        <v>25022103.033102341</v>
      </c>
      <c r="F5" s="59">
        <f>E5*('Price and Financial ratios'!H4+1)*(1+Assumptions!$C$13)</f>
        <v>33914958.451066919</v>
      </c>
      <c r="G5" s="59">
        <f>F5*('Price and Financial ratios'!I4+1)*(1+Assumptions!$C$13)</f>
        <v>37455680.113358311</v>
      </c>
      <c r="H5" s="59">
        <f>G5*('Price and Financial ratios'!J4+1)*(1+Assumptions!$C$13)</f>
        <v>41366053.117192924</v>
      </c>
      <c r="I5" s="59">
        <f>H5*('Price and Financial ratios'!K4+1)*(1+Assumptions!$C$13)</f>
        <v>45684669.062627874</v>
      </c>
      <c r="J5" s="59">
        <f>I5*('Price and Financial ratios'!L4+1)*(1+Assumptions!$C$13)</f>
        <v>48619452.203211099</v>
      </c>
      <c r="K5" s="59">
        <f>J5*('Price and Financial ratios'!M4+1)*(1+Assumptions!$C$13)</f>
        <v>51742765.812745385</v>
      </c>
      <c r="L5" s="59">
        <f>K5*('Price and Financial ratios'!N4+1)*(1+Assumptions!$C$13)</f>
        <v>55066721.088556156</v>
      </c>
      <c r="M5" s="59">
        <f>L5*('Price and Financial ratios'!O4+1)*(1+Assumptions!$C$13)</f>
        <v>58604207.251285009</v>
      </c>
      <c r="N5" s="59">
        <f>M5*('Price and Financial ratios'!P4+1)*(1+Assumptions!$C$13)</f>
        <v>62368941.525107555</v>
      </c>
      <c r="O5" s="59">
        <f>N5*('Price and Financial ratios'!Q4+1)*(1+Assumptions!$C$13)</f>
        <v>66375522.328680471</v>
      </c>
      <c r="P5" s="59">
        <f>O5*('Price and Financial ratios'!R4+1)*(1+Assumptions!$C$13)</f>
        <v>70639485.883074909</v>
      </c>
      <c r="Q5" s="59">
        <f>P5*('Price and Financial ratios'!S4+1)*(1+Assumptions!$C$13)</f>
        <v>74468146.017937571</v>
      </c>
      <c r="R5" s="59">
        <f>Q5*('Price and Financial ratios'!T4+1)*(1+Assumptions!$C$13)</f>
        <v>78504319.532109797</v>
      </c>
      <c r="S5" s="59">
        <f>R5*('Price and Financial ratios'!U4+1)*(1+Assumptions!$C$13)</f>
        <v>82759253.650750145</v>
      </c>
      <c r="T5" s="59">
        <f>S5*('Price and Financial ratios'!V4+1)*(1+Assumptions!$C$13)</f>
        <v>87244805.198620811</v>
      </c>
      <c r="U5" s="59">
        <f>T5*('Price and Financial ratios'!W4+1)*(1+Assumptions!$C$13)</f>
        <v>91973473.64038606</v>
      </c>
      <c r="V5" s="59">
        <f>U5*('Price and Financial ratios'!X4+1)*(1+Assumptions!$C$13)</f>
        <v>96958435.911694989</v>
      </c>
      <c r="W5" s="59">
        <f>V5*('Price and Financial ratios'!Y4+1)*(1+Assumptions!$C$13)</f>
        <v>102213583.13810886</v>
      </c>
      <c r="X5" s="59">
        <f>W5*('Price and Financial ratios'!Z4+1)*(1+Assumptions!$C$13)</f>
        <v>107753559.34419437</v>
      </c>
      <c r="Y5" s="59">
        <f>X5*('Price and Financial ratios'!AA4+1)*(1+Assumptions!$C$13)</f>
        <v>113593802.26064971</v>
      </c>
      <c r="Z5" s="59">
        <f>Y5*('Price and Financial ratios'!AB4+1)*(1+Assumptions!$C$13)</f>
        <v>119750586.34317693</v>
      </c>
      <c r="AA5" s="59">
        <f>Z5*('Price and Financial ratios'!AC4+1)*(1+Assumptions!$C$13)</f>
        <v>126241068.12297712</v>
      </c>
      <c r="AB5" s="59">
        <f>AA5*('Price and Financial ratios'!AD4+1)*(1+Assumptions!$C$13)</f>
        <v>133083334.01524249</v>
      </c>
      <c r="AC5" s="59">
        <f>AB5*('Price and Financial ratios'!AE4+1)*(1+Assumptions!$C$13)</f>
        <v>137624137.37184256</v>
      </c>
      <c r="AD5" s="59">
        <f>AC5*('Price and Financial ratios'!AF4+1)*(1+Assumptions!$C$13)</f>
        <v>142319872.93896985</v>
      </c>
      <c r="AE5" s="59">
        <f>AD5*('Price and Financial ratios'!AG4+1)*(1+Assumptions!$C$13)</f>
        <v>147175827.00364751</v>
      </c>
      <c r="AF5" s="59">
        <f>AE5*('Price and Financial ratios'!AH4+1)*(1+Assumptions!$C$13)</f>
        <v>152197466.22101197</v>
      </c>
    </row>
    <row r="6" spans="1:32" s="11" customFormat="1" x14ac:dyDescent="0.35">
      <c r="A6" s="11" t="s">
        <v>20</v>
      </c>
      <c r="C6" s="59">
        <f>C27</f>
        <v>7287137.9840000002</v>
      </c>
      <c r="D6" s="59">
        <f t="shared" ref="D6:AF6" si="1">D27</f>
        <v>8201963.6561515518</v>
      </c>
      <c r="E6" s="59">
        <f>E27</f>
        <v>9153624.565683132</v>
      </c>
      <c r="F6" s="59">
        <f t="shared" si="1"/>
        <v>10143301.554031137</v>
      </c>
      <c r="G6" s="59">
        <f t="shared" si="1"/>
        <v>11172209.66618458</v>
      </c>
      <c r="H6" s="59">
        <f t="shared" si="1"/>
        <v>12241599.086065117</v>
      </c>
      <c r="I6" s="59">
        <f t="shared" si="1"/>
        <v>13352756.09656019</v>
      </c>
      <c r="J6" s="59">
        <f t="shared" si="1"/>
        <v>14507004.064842578</v>
      </c>
      <c r="K6" s="59">
        <f t="shared" si="1"/>
        <v>15705704.453625739</v>
      </c>
      <c r="L6" s="59">
        <f t="shared" si="1"/>
        <v>16950257.859020535</v>
      </c>
      <c r="M6" s="59">
        <f t="shared" si="1"/>
        <v>18242105.075675875</v>
      </c>
      <c r="N6" s="59">
        <f t="shared" si="1"/>
        <v>19582728.189902827</v>
      </c>
      <c r="O6" s="59">
        <f t="shared" si="1"/>
        <v>20973651.701499522</v>
      </c>
      <c r="P6" s="59">
        <f t="shared" si="1"/>
        <v>22416443.675012171</v>
      </c>
      <c r="Q6" s="59">
        <f t="shared" si="1"/>
        <v>23912716.921185933</v>
      </c>
      <c r="R6" s="59">
        <f t="shared" si="1"/>
        <v>25464130.209378451</v>
      </c>
      <c r="S6" s="59">
        <f t="shared" si="1"/>
        <v>27072389.511728331</v>
      </c>
      <c r="T6" s="59">
        <f t="shared" si="1"/>
        <v>28739249.279890589</v>
      </c>
      <c r="U6" s="59">
        <f t="shared" si="1"/>
        <v>30466513.755171619</v>
      </c>
      <c r="V6" s="59">
        <f t="shared" si="1"/>
        <v>32256038.312917218</v>
      </c>
      <c r="W6" s="59">
        <f t="shared" si="1"/>
        <v>34109730.842028379</v>
      </c>
      <c r="X6" s="59">
        <f t="shared" si="1"/>
        <v>36029553.160501927</v>
      </c>
      <c r="Y6" s="59">
        <f t="shared" si="1"/>
        <v>38017522.467915148</v>
      </c>
      <c r="Z6" s="59">
        <f t="shared" si="1"/>
        <v>40075712.83579693</v>
      </c>
      <c r="AA6" s="59">
        <f t="shared" si="1"/>
        <v>42206256.736851454</v>
      </c>
      <c r="AB6" s="59">
        <f t="shared" si="1"/>
        <v>44411346.614024788</v>
      </c>
      <c r="AC6" s="59">
        <f t="shared" si="1"/>
        <v>46693236.490429297</v>
      </c>
      <c r="AD6" s="59">
        <f t="shared" si="1"/>
        <v>49054243.621166751</v>
      </c>
      <c r="AE6" s="59">
        <f t="shared" si="1"/>
        <v>51496750.188116297</v>
      </c>
      <c r="AF6" s="59">
        <f t="shared" si="1"/>
        <v>54023205.038781047</v>
      </c>
    </row>
    <row r="7" spans="1:32" x14ac:dyDescent="0.35">
      <c r="A7" t="s">
        <v>21</v>
      </c>
      <c r="C7" s="4">
        <f>Depreciation!C8+Depreciation!C9</f>
        <v>2633538.5367897917</v>
      </c>
      <c r="D7" s="4">
        <f>Depreciation!D8+Depreciation!D9</f>
        <v>3311362.425455065</v>
      </c>
      <c r="E7" s="4">
        <f>Depreciation!E8+Depreciation!E9</f>
        <v>4029870.2995332424</v>
      </c>
      <c r="F7" s="4">
        <f>Depreciation!F8+Depreciation!F9</f>
        <v>4790971.8424287587</v>
      </c>
      <c r="G7" s="4">
        <f>Depreciation!G8+Depreciation!G9</f>
        <v>5596657.2968828641</v>
      </c>
      <c r="H7" s="4">
        <f>Depreciation!H8+Depreciation!H9</f>
        <v>6449000.6652553864</v>
      </c>
      <c r="I7" s="4">
        <f>Depreciation!I8+Depreciation!I9</f>
        <v>7350163.0321317408</v>
      </c>
      <c r="J7" s="4">
        <f>Depreciation!J8+Depreciation!J9</f>
        <v>8302396.0138069643</v>
      </c>
      <c r="K7" s="4">
        <f>Depreciation!K8+Depreciation!K9</f>
        <v>9308045.339364497</v>
      </c>
      <c r="L7" s="4">
        <f>Depreciation!L8+Depreciation!L9</f>
        <v>10369554.568239573</v>
      </c>
      <c r="M7" s="4">
        <f>Depreciation!M8+Depreciation!M9</f>
        <v>11489468.949335143</v>
      </c>
      <c r="N7" s="4">
        <f>Depreciation!N8+Depreciation!N9</f>
        <v>12670439.426942952</v>
      </c>
      <c r="O7" s="4">
        <f>Depreciation!O8+Depreciation!O9</f>
        <v>13915226.798913548</v>
      </c>
      <c r="P7" s="4">
        <f>Depreciation!P8+Depreciation!P9</f>
        <v>15226706.032717062</v>
      </c>
      <c r="Q7" s="4">
        <f>Depreciation!Q8+Depreciation!Q9</f>
        <v>16607870.745241914</v>
      </c>
      <c r="R7" s="4">
        <f>Depreciation!R8+Depreciation!R9</f>
        <v>18061837.852390863</v>
      </c>
      <c r="S7" s="4">
        <f>Depreciation!S8+Depreciation!S9</f>
        <v>19591852.394754212</v>
      </c>
      <c r="T7" s="4">
        <f>Depreciation!T8+Depreciation!T9</f>
        <v>21201292.545867965</v>
      </c>
      <c r="U7" s="4">
        <f>Depreciation!U8+Depreciation!U9</f>
        <v>22893674.809800774</v>
      </c>
      <c r="V7" s="4">
        <f>Depreciation!V8+Depreciation!V9</f>
        <v>24672659.415058319</v>
      </c>
      <c r="W7" s="4">
        <f>Depreciation!W8+Depreciation!W9</f>
        <v>26542055.912047107</v>
      </c>
      <c r="X7" s="4">
        <f>Depreciation!X8+Depreciation!X9</f>
        <v>28505828.981602143</v>
      </c>
      <c r="Y7" s="4">
        <f>Depreciation!Y8+Depreciation!Y9</f>
        <v>30568104.462354779</v>
      </c>
      <c r="Z7" s="4">
        <f>Depreciation!Z8+Depreciation!Z9</f>
        <v>32733175.604998428</v>
      </c>
      <c r="AA7" s="4">
        <f>Depreciation!AA8+Depreciation!AA9</f>
        <v>35005509.561801814</v>
      </c>
      <c r="AB7" s="4">
        <f>Depreciation!AB8+Depreciation!AB9</f>
        <v>37389754.120021097</v>
      </c>
      <c r="AC7" s="4">
        <f>Depreciation!AC8+Depreciation!AC9</f>
        <v>39890744.688175134</v>
      </c>
      <c r="AD7" s="4">
        <f>Depreciation!AD8+Depreciation!AD9</f>
        <v>42513511.544472128</v>
      </c>
      <c r="AE7" s="4">
        <f>Depreciation!AE8+Depreciation!AE9</f>
        <v>45263287.357011437</v>
      </c>
      <c r="AF7" s="4">
        <f>Depreciation!AF8+Depreciation!AF9</f>
        <v>48145514.985731706</v>
      </c>
    </row>
    <row r="8" spans="1:32" x14ac:dyDescent="0.35">
      <c r="A8" t="s">
        <v>6</v>
      </c>
      <c r="C8" s="4">
        <f ca="1">'Debt worksheet'!C8</f>
        <v>1504643.3308058477</v>
      </c>
      <c r="D8" s="4">
        <f ca="1">'Debt worksheet'!D8</f>
        <v>2204215.3434276469</v>
      </c>
      <c r="E8" s="4">
        <f ca="1">'Debt worksheet'!E8</f>
        <v>2780474.3979907539</v>
      </c>
      <c r="F8" s="4">
        <f ca="1">'Debt worksheet'!F8</f>
        <v>3148217.1576759075</v>
      </c>
      <c r="G8" s="4">
        <f ca="1">'Debt worksheet'!G8</f>
        <v>3497987.5293761212</v>
      </c>
      <c r="H8" s="4">
        <f ca="1">'Debt worksheet'!H8</f>
        <v>3819865.3539820178</v>
      </c>
      <c r="I8" s="4">
        <f ca="1">'Debt worksheet'!I8</f>
        <v>4102327.3163492503</v>
      </c>
      <c r="J8" s="4">
        <f ca="1">'Debt worksheet'!J8</f>
        <v>4398591.6912951414</v>
      </c>
      <c r="K8" s="4">
        <f ca="1">'Debt worksheet'!K8</f>
        <v>4706946.0273548746</v>
      </c>
      <c r="L8" s="4">
        <f ca="1">'Debt worksheet'!L8</f>
        <v>5025350.3286514562</v>
      </c>
      <c r="M8" s="4">
        <f ca="1">'Debt worksheet'!M8</f>
        <v>5351403.2037772657</v>
      </c>
      <c r="N8" s="4">
        <f ca="1">'Debt worksheet'!N8</f>
        <v>5682305.1943321452</v>
      </c>
      <c r="O8" s="4">
        <f ca="1">'Debt worksheet'!O8</f>
        <v>6014819.0720648291</v>
      </c>
      <c r="P8" s="4">
        <f ca="1">'Debt worksheet'!P8</f>
        <v>6345226.8786962666</v>
      </c>
      <c r="Q8" s="4">
        <f ca="1">'Debt worksheet'!Q8</f>
        <v>6695006.4877016032</v>
      </c>
      <c r="R8" s="4">
        <f ca="1">'Debt worksheet'!R8</f>
        <v>7063314.9389160015</v>
      </c>
      <c r="S8" s="4">
        <f ca="1">'Debt worksheet'!S8</f>
        <v>7449093.2321605682</v>
      </c>
      <c r="T8" s="4">
        <f ca="1">'Debt worksheet'!T8</f>
        <v>7851044.3413430965</v>
      </c>
      <c r="U8" s="4">
        <f ca="1">'Debt worksheet'!U8</f>
        <v>8267609.5127445161</v>
      </c>
      <c r="V8" s="4">
        <f ca="1">'Debt worksheet'!V8</f>
        <v>8696942.7300769035</v>
      </c>
      <c r="W8" s="4">
        <f ca="1">'Debt worksheet'!W8</f>
        <v>9136883.2214594055</v>
      </c>
      <c r="X8" s="4">
        <f ca="1">'Debt worksheet'!X8</f>
        <v>9584925.8755701128</v>
      </c>
      <c r="Y8" s="4">
        <f ca="1">'Debt worksheet'!Y8</f>
        <v>10038189.425868373</v>
      </c>
      <c r="Z8" s="4">
        <f ca="1">'Debt worksheet'!Z8</f>
        <v>10493382.252915829</v>
      </c>
      <c r="AA8" s="4">
        <f ca="1">'Debt worksheet'!AA8</f>
        <v>10946765.645426085</v>
      </c>
      <c r="AB8" s="4">
        <f ca="1">'Debt worksheet'!AB8</f>
        <v>11394114.350711478</v>
      </c>
      <c r="AC8" s="4">
        <f ca="1">'Debt worksheet'!AC8</f>
        <v>11927597.516654706</v>
      </c>
      <c r="AD8" s="4">
        <f ca="1">'Debt worksheet'!AD8</f>
        <v>12553962.322528211</v>
      </c>
      <c r="AE8" s="4">
        <f ca="1">'Debt worksheet'!AE8</f>
        <v>13280347.716087539</v>
      </c>
      <c r="AF8" s="4">
        <f ca="1">'Debt worksheet'!AF8</f>
        <v>14114304.125492169</v>
      </c>
    </row>
    <row r="9" spans="1:32" x14ac:dyDescent="0.35">
      <c r="A9" t="s">
        <v>22</v>
      </c>
      <c r="C9" s="4">
        <f ca="1">C5-C6-C7-C8</f>
        <v>1708606.5484043609</v>
      </c>
      <c r="D9" s="4">
        <f t="shared" ref="D9:AF9" ca="1" si="2">D5-D6-D7-D8</f>
        <v>4743505.5228057373</v>
      </c>
      <c r="E9" s="4">
        <f t="shared" ca="1" si="2"/>
        <v>9058133.7698952127</v>
      </c>
      <c r="F9" s="4">
        <f t="shared" ca="1" si="2"/>
        <v>15832467.896931116</v>
      </c>
      <c r="G9" s="4">
        <f t="shared" ca="1" si="2"/>
        <v>17188825.620914742</v>
      </c>
      <c r="H9" s="4">
        <f t="shared" ca="1" si="2"/>
        <v>18855588.011890404</v>
      </c>
      <c r="I9" s="4">
        <f t="shared" ca="1" si="2"/>
        <v>20879422.617586698</v>
      </c>
      <c r="J9" s="4">
        <f t="shared" ca="1" si="2"/>
        <v>21411460.433266409</v>
      </c>
      <c r="K9" s="4">
        <f t="shared" ca="1" si="2"/>
        <v>22022069.992400274</v>
      </c>
      <c r="L9" s="4">
        <f t="shared" ca="1" si="2"/>
        <v>22721558.332644597</v>
      </c>
      <c r="M9" s="4">
        <f t="shared" ca="1" si="2"/>
        <v>23521230.022496726</v>
      </c>
      <c r="N9" s="4">
        <f t="shared" ca="1" si="2"/>
        <v>24433468.713929631</v>
      </c>
      <c r="O9" s="4">
        <f t="shared" ca="1" si="2"/>
        <v>25471824.756202575</v>
      </c>
      <c r="P9" s="4">
        <f t="shared" ca="1" si="2"/>
        <v>26651109.296649408</v>
      </c>
      <c r="Q9" s="4">
        <f t="shared" ca="1" si="2"/>
        <v>27252551.863808118</v>
      </c>
      <c r="R9" s="4">
        <f t="shared" ca="1" si="2"/>
        <v>27915036.531424481</v>
      </c>
      <c r="S9" s="4">
        <f t="shared" ca="1" si="2"/>
        <v>28645918.51210703</v>
      </c>
      <c r="T9" s="4">
        <f t="shared" ca="1" si="2"/>
        <v>29453219.03151916</v>
      </c>
      <c r="U9" s="4">
        <f t="shared" ca="1" si="2"/>
        <v>30345675.562669151</v>
      </c>
      <c r="V9" s="4">
        <f t="shared" ca="1" si="2"/>
        <v>31332795.453642555</v>
      </c>
      <c r="W9" s="4">
        <f t="shared" ca="1" si="2"/>
        <v>32424913.162573978</v>
      </c>
      <c r="X9" s="4">
        <f t="shared" ca="1" si="2"/>
        <v>33633251.326520182</v>
      </c>
      <c r="Y9" s="4">
        <f t="shared" ca="1" si="2"/>
        <v>34969985.904511407</v>
      </c>
      <c r="Z9" s="4">
        <f t="shared" ca="1" si="2"/>
        <v>36448315.649465755</v>
      </c>
      <c r="AA9" s="4">
        <f t="shared" ca="1" si="2"/>
        <v>38082536.178897768</v>
      </c>
      <c r="AB9" s="4">
        <f t="shared" ca="1" si="2"/>
        <v>39888118.930485122</v>
      </c>
      <c r="AC9" s="4">
        <f t="shared" ca="1" si="2"/>
        <v>39112558.676583424</v>
      </c>
      <c r="AD9" s="4">
        <f t="shared" ca="1" si="2"/>
        <v>38198155.450802758</v>
      </c>
      <c r="AE9" s="4">
        <f t="shared" ca="1" si="2"/>
        <v>37135441.742432237</v>
      </c>
      <c r="AF9" s="4">
        <f t="shared" ca="1" si="2"/>
        <v>35914442.071007043</v>
      </c>
    </row>
    <row r="12" spans="1:32" x14ac:dyDescent="0.35">
      <c r="A12" t="s">
        <v>80</v>
      </c>
      <c r="C12" s="2">
        <f>Assumptions!$C$25*Assumptions!D9*Assumptions!D13</f>
        <v>6575171.9040000001</v>
      </c>
      <c r="D12" s="2">
        <f>Assumptions!$C$25*Assumptions!E9*Assumptions!E13</f>
        <v>6746704.9886315521</v>
      </c>
      <c r="E12" s="2">
        <f>Assumptions!$C$25*Assumptions!F9*Assumptions!F13</f>
        <v>6922713.0283749718</v>
      </c>
      <c r="F12" s="2">
        <f>Assumptions!$C$25*Assumptions!G9*Assumptions!G13</f>
        <v>7103312.7658592192</v>
      </c>
      <c r="G12" s="2">
        <f>Assumptions!$C$25*Assumptions!H9*Assumptions!H13</f>
        <v>7288623.9892949536</v>
      </c>
      <c r="H12" s="2">
        <f>Assumptions!$C$25*Assumptions!I9*Assumptions!I13</f>
        <v>7478769.6119276797</v>
      </c>
      <c r="I12" s="2">
        <f>Assumptions!$C$25*Assumptions!J9*Assumptions!J13</f>
        <v>7673875.75356365</v>
      </c>
      <c r="J12" s="2">
        <f>Assumptions!$C$25*Assumptions!K9*Assumptions!K13</f>
        <v>7874071.8242226196</v>
      </c>
      <c r="K12" s="2">
        <f>Assumptions!$C$25*Assumptions!L9*Assumptions!L13</f>
        <v>8079490.6099729398</v>
      </c>
      <c r="L12" s="2">
        <f>Assumptions!$C$25*Assumptions!M9*Assumptions!M13</f>
        <v>8290268.3610059135</v>
      </c>
      <c r="M12" s="2">
        <f>Assumptions!$C$25*Assumptions!N9*Assumptions!N13</f>
        <v>8506544.8820078373</v>
      </c>
      <c r="N12" s="2">
        <f>Assumptions!$C$25*Assumptions!O9*Assumptions!O13</f>
        <v>8728463.6248896588</v>
      </c>
      <c r="O12" s="2">
        <f>Assumptions!$C$25*Assumptions!P9*Assumptions!P13</f>
        <v>8956171.7839357778</v>
      </c>
      <c r="P12" s="2">
        <f>Assumptions!$C$25*Assumptions!Q9*Assumptions!Q13</f>
        <v>9189820.3934350945</v>
      </c>
      <c r="Q12" s="2">
        <f>Assumptions!$C$25*Assumptions!R9*Assumptions!R13</f>
        <v>9429564.4278590307</v>
      </c>
      <c r="R12" s="2">
        <f>Assumptions!$C$25*Assumptions!S9*Assumptions!S13</f>
        <v>9675562.9046530183</v>
      </c>
      <c r="S12" s="2">
        <f>Assumptions!$C$25*Assumptions!T9*Assumptions!T13</f>
        <v>9927978.9897096064</v>
      </c>
      <c r="T12" s="2">
        <f>Assumptions!$C$25*Assumptions!U9*Assumptions!U13</f>
        <v>10186980.10559315</v>
      </c>
      <c r="U12" s="2">
        <f>Assumptions!$C$25*Assumptions!V9*Assumptions!V13</f>
        <v>10452738.042587863</v>
      </c>
      <c r="V12" s="2">
        <f>Assumptions!$C$25*Assumptions!W9*Assumptions!W13</f>
        <v>10725429.072642898</v>
      </c>
      <c r="W12" s="2">
        <f>Assumptions!$C$25*Assumptions!X9*Assumptions!X13</f>
        <v>11005234.066290004</v>
      </c>
      <c r="X12" s="2">
        <f>Assumptions!$C$25*Assumptions!Y9*Assumptions!Y13</f>
        <v>11292338.612611379</v>
      </c>
      <c r="Y12" s="2">
        <f>Assumptions!$C$25*Assumptions!Z9*Assumptions!Z13</f>
        <v>11586933.142337181</v>
      </c>
      <c r="Z12" s="2">
        <f>Assumptions!$C$25*Assumptions!AA9*Assumptions!AA13</f>
        <v>11889213.054154478</v>
      </c>
      <c r="AA12" s="2">
        <f>Assumptions!$C$25*Assumptions!AB9*Assumptions!AB13</f>
        <v>12199378.844311262</v>
      </c>
      <c r="AB12" s="2">
        <f>Assumptions!$C$25*Assumptions!AC9*Assumptions!AC13</f>
        <v>12517636.239601653</v>
      </c>
      <c r="AC12" s="2">
        <f>Assumptions!$C$25*Assumptions!AD9*Assumptions!AD13</f>
        <v>12844196.33382038</v>
      </c>
      <c r="AD12" s="2">
        <f>Assumptions!$C$25*Assumptions!AE9*Assumptions!AE13</f>
        <v>13179275.72777709</v>
      </c>
      <c r="AE12" s="2">
        <f>Assumptions!$C$25*Assumptions!AF9*Assumptions!AF13</f>
        <v>13523096.67296334</v>
      </c>
      <c r="AF12" s="2">
        <f>Assumptions!$C$25*Assumptions!AG9*Assumptions!AG13</f>
        <v>13875887.218967605</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81</v>
      </c>
      <c r="C14" s="5">
        <f>Assumptions!D122*Assumptions!D9</f>
        <v>711966.07999999984</v>
      </c>
      <c r="D14" s="5">
        <f>Assumptions!E122*Assumptions!E9</f>
        <v>1455258.6675199997</v>
      </c>
      <c r="E14" s="5">
        <f>Assumptions!F122*Assumptions!F9</f>
        <v>2230911.5373081602</v>
      </c>
      <c r="F14" s="5">
        <f>Assumptions!G122*Assumptions!G9</f>
        <v>3039988.7881719191</v>
      </c>
      <c r="G14" s="5">
        <f>Assumptions!H122*Assumptions!H9</f>
        <v>3883585.6768896268</v>
      </c>
      <c r="H14" s="5">
        <f>Assumptions!I122*Assumptions!I9</f>
        <v>4762829.4741374385</v>
      </c>
      <c r="I14" s="5">
        <f>Assumptions!J122*Assumptions!J9</f>
        <v>5678880.3429965395</v>
      </c>
      <c r="J14" s="5">
        <f>Assumptions!K122*Assumptions!K9</f>
        <v>6632932.2406199584</v>
      </c>
      <c r="K14" s="5">
        <f>Assumptions!L122*Assumptions!L9</f>
        <v>7626213.8436527979</v>
      </c>
      <c r="L14" s="5">
        <f>Assumptions!M122*Assumptions!M9</f>
        <v>8659989.4980146214</v>
      </c>
      <c r="M14" s="5">
        <f>Assumptions!N122*Assumptions!N9</f>
        <v>9735560.1936680377</v>
      </c>
      <c r="N14" s="5">
        <f>Assumptions!O122*Assumptions!O9</f>
        <v>10854264.565013167</v>
      </c>
      <c r="O14" s="5">
        <f>Assumptions!P122*Assumptions!P9</f>
        <v>12017479.917563742</v>
      </c>
      <c r="P14" s="5">
        <f>Assumptions!Q122*Assumptions!Q9</f>
        <v>13226623.281577077</v>
      </c>
      <c r="Q14" s="5">
        <f>Assumptions!R122*Assumptions!R9</f>
        <v>14483152.493326901</v>
      </c>
      <c r="R14" s="5">
        <f>Assumptions!S122*Assumptions!S9</f>
        <v>15788567.304725431</v>
      </c>
      <c r="S14" s="5">
        <f>Assumptions!T122*Assumptions!T9</f>
        <v>17144410.522018727</v>
      </c>
      <c r="T14" s="5">
        <f>Assumptions!U122*Assumptions!U9</f>
        <v>18552269.174297441</v>
      </c>
      <c r="U14" s="5">
        <f>Assumptions!V122*Assumptions!V9</f>
        <v>20013775.712583758</v>
      </c>
      <c r="V14" s="5">
        <f>Assumptions!W122*Assumptions!W9</f>
        <v>21530609.240274318</v>
      </c>
      <c r="W14" s="5">
        <f>Assumptions!X122*Assumptions!X9</f>
        <v>23104496.775738373</v>
      </c>
      <c r="X14" s="5">
        <f>Assumptions!Y122*Assumptions!Y9</f>
        <v>24737214.547890544</v>
      </c>
      <c r="Y14" s="5">
        <f>Assumptions!Z122*Assumptions!Z9</f>
        <v>26430589.325577963</v>
      </c>
      <c r="Z14" s="5">
        <f>Assumptions!AA122*Assumptions!AA9</f>
        <v>28186499.781642452</v>
      </c>
      <c r="AA14" s="5">
        <f>Assumptions!AB122*Assumptions!AB9</f>
        <v>30006877.892540194</v>
      </c>
      <c r="AB14" s="5">
        <f>Assumptions!AC122*Assumptions!AC9</f>
        <v>31893710.374423131</v>
      </c>
      <c r="AC14" s="5">
        <f>Assumptions!AD122*Assumptions!AD9</f>
        <v>33849040.156608917</v>
      </c>
      <c r="AD14" s="5">
        <f>Assumptions!AE122*Assumptions!AE9</f>
        <v>35874967.893389657</v>
      </c>
      <c r="AE14" s="5">
        <f>Assumptions!AF122*Assumptions!AF9</f>
        <v>37973653.515152954</v>
      </c>
      <c r="AF14" s="5">
        <f>Assumptions!AG122*Assumptions!AG9</f>
        <v>40147317.819813438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191</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62</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83</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84</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94</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85</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86</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46</v>
      </c>
      <c r="C27" s="2">
        <f>C12+C13+C14+C19+C20+C22+C24+C25</f>
        <v>7287137.9840000002</v>
      </c>
      <c r="D27" s="2">
        <f t="shared" ref="D27:AF27" si="8">D12+D13+D14+D19+D20+D22+D24+D25</f>
        <v>8201963.6561515518</v>
      </c>
      <c r="E27" s="2">
        <f t="shared" si="8"/>
        <v>9153624.565683132</v>
      </c>
      <c r="F27" s="2">
        <f t="shared" si="8"/>
        <v>10143301.554031137</v>
      </c>
      <c r="G27" s="2">
        <f t="shared" si="8"/>
        <v>11172209.66618458</v>
      </c>
      <c r="H27" s="2">
        <f t="shared" si="8"/>
        <v>12241599.086065117</v>
      </c>
      <c r="I27" s="2">
        <f t="shared" si="8"/>
        <v>13352756.09656019</v>
      </c>
      <c r="J27" s="2">
        <f t="shared" si="8"/>
        <v>14507004.064842578</v>
      </c>
      <c r="K27" s="2">
        <f t="shared" si="8"/>
        <v>15705704.453625739</v>
      </c>
      <c r="L27" s="2">
        <f t="shared" si="8"/>
        <v>16950257.859020535</v>
      </c>
      <c r="M27" s="2">
        <f t="shared" si="8"/>
        <v>18242105.075675875</v>
      </c>
      <c r="N27" s="2">
        <f t="shared" si="8"/>
        <v>19582728.189902827</v>
      </c>
      <c r="O27" s="2">
        <f t="shared" si="8"/>
        <v>20973651.701499522</v>
      </c>
      <c r="P27" s="2">
        <f t="shared" si="8"/>
        <v>22416443.675012171</v>
      </c>
      <c r="Q27" s="2">
        <f t="shared" si="8"/>
        <v>23912716.921185933</v>
      </c>
      <c r="R27" s="2">
        <f t="shared" si="8"/>
        <v>25464130.209378451</v>
      </c>
      <c r="S27" s="2">
        <f t="shared" si="8"/>
        <v>27072389.511728331</v>
      </c>
      <c r="T27" s="2">
        <f t="shared" si="8"/>
        <v>28739249.279890589</v>
      </c>
      <c r="U27" s="2">
        <f t="shared" si="8"/>
        <v>30466513.755171619</v>
      </c>
      <c r="V27" s="2">
        <f t="shared" si="8"/>
        <v>32256038.312917218</v>
      </c>
      <c r="W27" s="2">
        <f t="shared" si="8"/>
        <v>34109730.842028379</v>
      </c>
      <c r="X27" s="2">
        <f t="shared" si="8"/>
        <v>36029553.160501927</v>
      </c>
      <c r="Y27" s="2">
        <f t="shared" si="8"/>
        <v>38017522.467915148</v>
      </c>
      <c r="Z27" s="2">
        <f t="shared" si="8"/>
        <v>40075712.83579693</v>
      </c>
      <c r="AA27" s="2">
        <f t="shared" si="8"/>
        <v>42206256.736851454</v>
      </c>
      <c r="AB27" s="2">
        <f t="shared" si="8"/>
        <v>44411346.614024788</v>
      </c>
      <c r="AC27" s="2">
        <f t="shared" si="8"/>
        <v>46693236.490429297</v>
      </c>
      <c r="AD27" s="2">
        <f t="shared" si="8"/>
        <v>49054243.621166751</v>
      </c>
      <c r="AE27" s="2">
        <f t="shared" si="8"/>
        <v>51496750.188116297</v>
      </c>
      <c r="AF27" s="2">
        <f t="shared" si="8"/>
        <v>54023205.038781047</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3W2DU3RAJ5R2-1900874439-790</_dlc_DocId>
    <_dlc_DocIdUrl xmlns="f54e2983-00ce-40fc-8108-18f351fc47bf">
      <Url>https://dia.cohesion.net.nz/Sites/LGV/TWRP/CAE/_layouts/15/DocIdRedir.aspx?ID=3W2DU3RAJ5R2-1900874439-790</Url>
      <Description>3W2DU3RAJ5R2-1900874439-790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schemas.microsoft.com/office/2006/documentManagement/types"/>
    <ds:schemaRef ds:uri="http://schemas.microsoft.com/office/infopath/2007/PartnerControls"/>
    <ds:schemaRef ds:uri="65b6d800-2dda-48d6-88d8-9e2b35e6f7ea"/>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08a23fc5-e034-477c-ac83-93bc1440f322"/>
    <ds:schemaRef ds:uri="http://www.w3.org/XML/1998/namespace"/>
    <ds:schemaRef ds:uri="http://purl.org/dc/dcmityp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78EB96DB-1E06-4B35-A0BE-90537CAC211F}"/>
</file>

<file path=customXml/itemProps4.xml><?xml version="1.0" encoding="utf-8"?>
<ds:datastoreItem xmlns:ds="http://schemas.openxmlformats.org/officeDocument/2006/customXml" ds:itemID="{2C4C1FC4-3E72-492D-97D3-1BEB70612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2021-06-28T21:57:57Z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98d95706-f59d-46bf-9c47-cbdfe84696e6</vt:lpwstr>
  </property>
</Properties>
</file>