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0.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codeName="ThisWorkbook" defaultThemeVersion="166925"/>
  <xr:revisionPtr revIDLastSave="102" documentId="8_{650472AA-354E-48E6-B755-12141FDCB8C1}" xr6:coauthVersionLast="47" xr6:coauthVersionMax="47" xr10:uidLastSave="{CBF7ABD9-9424-4520-962E-AC735A03663B}"/>
  <bookViews>
    <workbookView xWindow="-110" yWindow="-110" windowWidth="38620" windowHeight="21220" tabRatio="721" xr2:uid="{F81EE535-A8E0-6F47-8BBD-3284EB91CB61}"/>
  </bookViews>
  <sheets>
    <sheet name="Model overview and manual" sheetId="19" r:id="rId1"/>
    <sheet name="Model output==&gt;" sheetId="22" r:id="rId2"/>
    <sheet name="Average cost per household" sheetId="21" r:id="rId3"/>
    <sheet name="Input sheets ===&gt;" sheetId="24" r:id="rId4"/>
    <sheet name="Assumptions" sheetId="2" r:id="rId5"/>
    <sheet name="Price and Financial ratios" sheetId="7" r:id="rId6"/>
    <sheet name="Processing sheets ===&gt;" sheetId="23" r:id="rId7"/>
    <sheet name="Investment" sheetId="9" r:id="rId8"/>
    <sheet name="Profit and Loss" sheetId="8" r:id="rId9"/>
    <sheet name="Balance Sheet" sheetId="5" r:id="rId10"/>
    <sheet name="Cash Flow" sheetId="4" r:id="rId11"/>
    <sheet name="Depreciation" sheetId="6" r:id="rId12"/>
    <sheet name="Debt worksheet"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Dist_Values" hidden="1">#REF!</definedName>
    <definedName name="_Fill" hidden="1">#REF!</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0</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FALSE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4" hidden="1">Assumptions!#REF!</definedName>
    <definedName name="solver_adj" localSheetId="5" hidden="1">'Price and Financial ratios'!$F$4</definedName>
    <definedName name="solver_cvg" localSheetId="4" hidden="1">0.0001</definedName>
    <definedName name="solver_cvg" localSheetId="5" hidden="1">0.0001</definedName>
    <definedName name="solver_drv" localSheetId="4" hidden="1">1</definedName>
    <definedName name="solver_drv" localSheetId="5" hidden="1">1</definedName>
    <definedName name="solver_eng" localSheetId="4" hidden="1">1</definedName>
    <definedName name="solver_eng" localSheetId="5" hidden="1">1</definedName>
    <definedName name="solver_est" localSheetId="4" hidden="1">1</definedName>
    <definedName name="solver_est" localSheetId="5" hidden="1">1</definedName>
    <definedName name="solver_itr" localSheetId="4" hidden="1">2147483647</definedName>
    <definedName name="solver_itr" localSheetId="5" hidden="1">2147483647</definedName>
    <definedName name="solver_mip" localSheetId="4" hidden="1">2147483647</definedName>
    <definedName name="solver_mip" localSheetId="5" hidden="1">2147483647</definedName>
    <definedName name="solver_mni" localSheetId="4" hidden="1">30</definedName>
    <definedName name="solver_mni" localSheetId="5" hidden="1">30</definedName>
    <definedName name="solver_mrt" localSheetId="4" hidden="1">0.075</definedName>
    <definedName name="solver_mrt" localSheetId="5" hidden="1">0.075</definedName>
    <definedName name="solver_msl" localSheetId="4" hidden="1">2</definedName>
    <definedName name="solver_msl" localSheetId="5" hidden="1">2</definedName>
    <definedName name="solver_neg" localSheetId="4" hidden="1">1</definedName>
    <definedName name="solver_neg" localSheetId="5" hidden="1">1</definedName>
    <definedName name="solver_nod" localSheetId="4" hidden="1">2147483647</definedName>
    <definedName name="solver_nod" localSheetId="5" hidden="1">2147483647</definedName>
    <definedName name="solver_num" localSheetId="4" hidden="1">0</definedName>
    <definedName name="solver_num" localSheetId="5" hidden="1">0</definedName>
    <definedName name="solver_nwt" localSheetId="4" hidden="1">1</definedName>
    <definedName name="solver_nwt" localSheetId="5" hidden="1">1</definedName>
    <definedName name="solver_opt" localSheetId="4" hidden="1">Assumptions!$C$113</definedName>
    <definedName name="solver_opt" localSheetId="5" hidden="1">'Price and Financial ratios'!$F$6</definedName>
    <definedName name="solver_pre" localSheetId="4" hidden="1">0.000001</definedName>
    <definedName name="solver_pre" localSheetId="5" hidden="1">0.000001</definedName>
    <definedName name="solver_rbv" localSheetId="4" hidden="1">1</definedName>
    <definedName name="solver_rbv" localSheetId="5" hidden="1">1</definedName>
    <definedName name="solver_rlx" localSheetId="4" hidden="1">2</definedName>
    <definedName name="solver_rlx" localSheetId="5" hidden="1">2</definedName>
    <definedName name="solver_rsd" localSheetId="4" hidden="1">0</definedName>
    <definedName name="solver_rsd" localSheetId="5" hidden="1">0</definedName>
    <definedName name="solver_scl" localSheetId="4" hidden="1">1</definedName>
    <definedName name="solver_scl" localSheetId="5" hidden="1">1</definedName>
    <definedName name="solver_sho" localSheetId="4" hidden="1">2</definedName>
    <definedName name="solver_sho" localSheetId="5" hidden="1">2</definedName>
    <definedName name="solver_ssz" localSheetId="4" hidden="1">100</definedName>
    <definedName name="solver_ssz" localSheetId="5" hidden="1">100</definedName>
    <definedName name="solver_tim" localSheetId="4" hidden="1">2147483647</definedName>
    <definedName name="solver_tim" localSheetId="5" hidden="1">2147483647</definedName>
    <definedName name="solver_tol" localSheetId="4" hidden="1">0.01</definedName>
    <definedName name="solver_tol" localSheetId="5" hidden="1">0.01</definedName>
    <definedName name="solver_typ" localSheetId="4" hidden="1">3</definedName>
    <definedName name="solver_typ" localSheetId="5" hidden="1">3</definedName>
    <definedName name="solver_val" localSheetId="4" hidden="1">563251470</definedName>
    <definedName name="solver_val" localSheetId="5" hidden="1">2.5</definedName>
    <definedName name="solver_ver" localSheetId="4" hidden="1">3</definedName>
    <definedName name="solver_ver" localSheetId="5"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21" l="1"/>
  <c r="A11" i="19"/>
  <c r="A9" i="19"/>
  <c r="B40" i="21"/>
  <c r="B27" i="21"/>
  <c r="A21" i="21"/>
  <c r="A34" i="21"/>
  <c r="B8" i="21"/>
  <c r="B21" i="21"/>
  <c r="B34" i="21"/>
  <c r="C83" i="2"/>
  <c r="C87" i="2"/>
  <c r="C82" i="2"/>
  <c r="C89" i="2"/>
  <c r="C94" i="2"/>
  <c r="C90" i="2"/>
  <c r="C95" i="2"/>
  <c r="C96" i="2"/>
  <c r="C102" i="2"/>
  <c r="D113" i="2"/>
  <c r="C58" i="2"/>
  <c r="C106" i="2"/>
  <c r="C63" i="2"/>
  <c r="C107" i="2"/>
  <c r="D11" i="2"/>
  <c r="C40" i="2"/>
  <c r="C41" i="2"/>
  <c r="C39" i="2"/>
  <c r="C36" i="2"/>
  <c r="C37" i="2"/>
  <c r="C35" i="2"/>
  <c r="F9" i="2"/>
  <c r="E9" i="2"/>
  <c r="D9" i="2"/>
  <c r="G11" i="2"/>
  <c r="V9" i="2"/>
  <c r="E11" i="2"/>
  <c r="F11" i="2"/>
  <c r="H11" i="2"/>
  <c r="I11" i="2"/>
  <c r="C67" i="2"/>
  <c r="C72" i="2"/>
  <c r="C5" i="3"/>
  <c r="B7" i="21"/>
  <c r="D3" i="3"/>
  <c r="E3" i="3"/>
  <c r="F3" i="3"/>
  <c r="G3" i="3"/>
  <c r="H3" i="3"/>
  <c r="I3" i="3"/>
  <c r="J3" i="3"/>
  <c r="K3" i="3"/>
  <c r="L3" i="3"/>
  <c r="M3" i="3"/>
  <c r="N3" i="3"/>
  <c r="O3" i="3"/>
  <c r="P3" i="3"/>
  <c r="Q3" i="3"/>
  <c r="R3" i="3"/>
  <c r="S3" i="3"/>
  <c r="T3" i="3"/>
  <c r="U3" i="3"/>
  <c r="V3" i="3"/>
  <c r="W3" i="3"/>
  <c r="X3" i="3"/>
  <c r="Y3" i="3"/>
  <c r="Z3" i="3"/>
  <c r="AA3" i="3"/>
  <c r="AB3" i="3"/>
  <c r="AC3" i="3"/>
  <c r="AD3" i="3"/>
  <c r="AE3" i="3"/>
  <c r="AF3" i="3"/>
  <c r="D3" i="6"/>
  <c r="E3" i="6"/>
  <c r="F3" i="6"/>
  <c r="G3" i="6"/>
  <c r="H3" i="6"/>
  <c r="I3" i="6"/>
  <c r="J3" i="6"/>
  <c r="K3" i="6"/>
  <c r="L3" i="6"/>
  <c r="M3" i="6"/>
  <c r="N3" i="6"/>
  <c r="O3" i="6"/>
  <c r="P3" i="6"/>
  <c r="Q3" i="6"/>
  <c r="R3" i="6"/>
  <c r="S3" i="6"/>
  <c r="T3" i="6"/>
  <c r="U3" i="6"/>
  <c r="V3" i="6"/>
  <c r="W3" i="6"/>
  <c r="X3" i="6"/>
  <c r="Y3" i="6"/>
  <c r="Z3" i="6"/>
  <c r="AA3" i="6"/>
  <c r="AB3" i="6"/>
  <c r="AC3" i="6"/>
  <c r="AD3" i="6"/>
  <c r="AE3" i="6"/>
  <c r="AF3" i="6"/>
  <c r="D3" i="4"/>
  <c r="E3" i="4"/>
  <c r="F3" i="4"/>
  <c r="G3" i="4"/>
  <c r="H3" i="4"/>
  <c r="I3" i="4"/>
  <c r="J3" i="4"/>
  <c r="K3" i="4"/>
  <c r="L3" i="4"/>
  <c r="M3" i="4"/>
  <c r="N3" i="4"/>
  <c r="O3" i="4"/>
  <c r="P3" i="4"/>
  <c r="Q3" i="4"/>
  <c r="R3" i="4"/>
  <c r="S3" i="4"/>
  <c r="T3" i="4"/>
  <c r="U3" i="4"/>
  <c r="V3" i="4"/>
  <c r="W3" i="4"/>
  <c r="X3" i="4"/>
  <c r="Y3" i="4"/>
  <c r="Z3" i="4"/>
  <c r="AA3" i="4"/>
  <c r="AB3" i="4"/>
  <c r="AC3" i="4"/>
  <c r="AD3" i="4"/>
  <c r="AE3" i="4"/>
  <c r="AF3" i="4"/>
  <c r="C3" i="5"/>
  <c r="D3" i="5"/>
  <c r="E3" i="5"/>
  <c r="F3" i="5"/>
  <c r="G3" i="5"/>
  <c r="H3" i="5"/>
  <c r="I3" i="5"/>
  <c r="J3" i="5"/>
  <c r="K3" i="5"/>
  <c r="L3" i="5"/>
  <c r="M3" i="5"/>
  <c r="N3" i="5"/>
  <c r="O3" i="5"/>
  <c r="P3" i="5"/>
  <c r="Q3" i="5"/>
  <c r="R3" i="5"/>
  <c r="S3" i="5"/>
  <c r="T3" i="5"/>
  <c r="U3" i="5"/>
  <c r="V3" i="5"/>
  <c r="W3" i="5"/>
  <c r="X3" i="5"/>
  <c r="Y3" i="5"/>
  <c r="Z3" i="5"/>
  <c r="AA3" i="5"/>
  <c r="AB3" i="5"/>
  <c r="AC3" i="5"/>
  <c r="AD3" i="5"/>
  <c r="AE3" i="5"/>
  <c r="D15" i="9"/>
  <c r="E15" i="9"/>
  <c r="F15" i="9"/>
  <c r="C15" i="9"/>
  <c r="D3" i="8"/>
  <c r="E3" i="8"/>
  <c r="F3" i="8"/>
  <c r="G3" i="8"/>
  <c r="H3" i="8"/>
  <c r="I3" i="8"/>
  <c r="J3" i="8"/>
  <c r="K3" i="8"/>
  <c r="L3" i="8"/>
  <c r="M3" i="8"/>
  <c r="N3" i="8"/>
  <c r="O3" i="8"/>
  <c r="P3" i="8"/>
  <c r="Q3" i="8"/>
  <c r="R3" i="8"/>
  <c r="S3" i="8"/>
  <c r="T3" i="8"/>
  <c r="U3" i="8"/>
  <c r="V3" i="8"/>
  <c r="W3" i="8"/>
  <c r="X3" i="8"/>
  <c r="Y3" i="8"/>
  <c r="Z3" i="8"/>
  <c r="AA3" i="8"/>
  <c r="AB3" i="8"/>
  <c r="AC3" i="8"/>
  <c r="AD3" i="8"/>
  <c r="AE3" i="8"/>
  <c r="AF3" i="8"/>
  <c r="F3" i="7"/>
  <c r="G3" i="7"/>
  <c r="H3" i="7"/>
  <c r="I3" i="7"/>
  <c r="J3" i="7"/>
  <c r="K3" i="7"/>
  <c r="L3" i="7"/>
  <c r="M3" i="7"/>
  <c r="N3" i="7"/>
  <c r="O3" i="7"/>
  <c r="P3" i="7"/>
  <c r="Q3" i="7"/>
  <c r="R3" i="7"/>
  <c r="S3" i="7"/>
  <c r="T3" i="7"/>
  <c r="U3" i="7"/>
  <c r="V3" i="7"/>
  <c r="W3" i="7"/>
  <c r="X3" i="7"/>
  <c r="Y3" i="7"/>
  <c r="Z3" i="7"/>
  <c r="AA3" i="7"/>
  <c r="AB3" i="7"/>
  <c r="AC3" i="7"/>
  <c r="AD3" i="7"/>
  <c r="AE3" i="7"/>
  <c r="AF3" i="7"/>
  <c r="AG3" i="7"/>
  <c r="AH3" i="7"/>
  <c r="D16" i="8"/>
  <c r="E16" i="8"/>
  <c r="F16" i="8"/>
  <c r="C16" i="8"/>
  <c r="D3" i="9"/>
  <c r="E3" i="9"/>
  <c r="F3" i="9"/>
  <c r="G3" i="9"/>
  <c r="H3" i="9"/>
  <c r="I3" i="9"/>
  <c r="J3" i="9"/>
  <c r="K3" i="9"/>
  <c r="L3" i="9"/>
  <c r="M3" i="9"/>
  <c r="N3" i="9"/>
  <c r="O3" i="9"/>
  <c r="P3" i="9"/>
  <c r="Q3" i="9"/>
  <c r="R3" i="9"/>
  <c r="S3" i="9"/>
  <c r="T3" i="9"/>
  <c r="U3" i="9"/>
  <c r="V3" i="9"/>
  <c r="W3" i="9"/>
  <c r="X3" i="9"/>
  <c r="Y3" i="9"/>
  <c r="Z3" i="9"/>
  <c r="AA3" i="9"/>
  <c r="AB3" i="9"/>
  <c r="AC3" i="9"/>
  <c r="AD3" i="9"/>
  <c r="AE3" i="9"/>
  <c r="AF3" i="9"/>
  <c r="D45" i="2"/>
  <c r="C16" i="9"/>
  <c r="L11" i="2"/>
  <c r="K9" i="9"/>
  <c r="M11" i="2"/>
  <c r="L9" i="9"/>
  <c r="N11" i="2"/>
  <c r="M9" i="9"/>
  <c r="O11" i="2"/>
  <c r="N9" i="9"/>
  <c r="P11" i="2"/>
  <c r="O9" i="9"/>
  <c r="Q11" i="2"/>
  <c r="P9" i="9"/>
  <c r="R11" i="2"/>
  <c r="Q9" i="9"/>
  <c r="S11" i="2"/>
  <c r="R9" i="9"/>
  <c r="T11" i="2"/>
  <c r="S9" i="9"/>
  <c r="U11" i="2"/>
  <c r="T9" i="9"/>
  <c r="V11" i="2"/>
  <c r="U9" i="9"/>
  <c r="W11" i="2"/>
  <c r="V9" i="9"/>
  <c r="X11" i="2"/>
  <c r="W9" i="9"/>
  <c r="Y11" i="2"/>
  <c r="X9" i="9"/>
  <c r="Z11" i="2"/>
  <c r="Y9" i="9"/>
  <c r="AA11" i="2"/>
  <c r="Z9" i="9"/>
  <c r="AB11" i="2"/>
  <c r="AA9" i="9"/>
  <c r="AC11" i="2"/>
  <c r="AB9" i="9"/>
  <c r="AD11" i="2"/>
  <c r="AC9" i="9"/>
  <c r="AE11" i="2"/>
  <c r="AD9" i="9"/>
  <c r="AF11" i="2"/>
  <c r="AE9" i="9"/>
  <c r="AG11" i="2"/>
  <c r="AF9" i="9"/>
  <c r="D9" i="9"/>
  <c r="E9" i="9"/>
  <c r="F9" i="9"/>
  <c r="G9" i="9"/>
  <c r="H9" i="9"/>
  <c r="J11" i="2"/>
  <c r="I9" i="9"/>
  <c r="K11" i="2"/>
  <c r="J9" i="9"/>
  <c r="C9" i="9"/>
  <c r="E4" i="2"/>
  <c r="F4" i="2"/>
  <c r="G4" i="2"/>
  <c r="H4" i="2"/>
  <c r="I4" i="2"/>
  <c r="J4" i="2"/>
  <c r="K4" i="2"/>
  <c r="L4" i="2"/>
  <c r="M4" i="2"/>
  <c r="N4" i="2"/>
  <c r="O4" i="2"/>
  <c r="P4" i="2"/>
  <c r="Q4" i="2"/>
  <c r="R4" i="2"/>
  <c r="S4" i="2"/>
  <c r="T4" i="2"/>
  <c r="U4" i="2"/>
  <c r="V4" i="2"/>
  <c r="W4" i="2"/>
  <c r="X4" i="2"/>
  <c r="Y4" i="2"/>
  <c r="Z4" i="2"/>
  <c r="AA4" i="2"/>
  <c r="AB4" i="2"/>
  <c r="AC4" i="2"/>
  <c r="AD4" i="2"/>
  <c r="AE4" i="2"/>
  <c r="AF4" i="2"/>
  <c r="AG4" i="2"/>
  <c r="E45" i="2"/>
  <c r="C17" i="8"/>
  <c r="F45" i="2"/>
  <c r="D17" i="8"/>
  <c r="D16" i="9"/>
  <c r="G45" i="2"/>
  <c r="E17" i="8"/>
  <c r="E16" i="9"/>
  <c r="H45" i="2"/>
  <c r="F17" i="8"/>
  <c r="F16" i="9"/>
  <c r="I45" i="2"/>
  <c r="G17" i="8"/>
  <c r="G16" i="9"/>
  <c r="J45" i="2"/>
  <c r="H17" i="8"/>
  <c r="H16" i="9"/>
  <c r="K45" i="2"/>
  <c r="I17" i="8"/>
  <c r="I16" i="9"/>
  <c r="L45" i="2"/>
  <c r="J17" i="8"/>
  <c r="J16" i="9"/>
  <c r="M45" i="2"/>
  <c r="K17" i="8"/>
  <c r="K16" i="9"/>
  <c r="N45" i="2"/>
  <c r="L17" i="8"/>
  <c r="L16" i="9"/>
  <c r="O45" i="2"/>
  <c r="M17" i="8"/>
  <c r="M16" i="9"/>
  <c r="P45" i="2"/>
  <c r="N17" i="8"/>
  <c r="N16" i="9"/>
  <c r="Q45" i="2"/>
  <c r="O17" i="8"/>
  <c r="O16" i="9"/>
  <c r="R45" i="2"/>
  <c r="P17" i="8"/>
  <c r="P16" i="9"/>
  <c r="S45" i="2"/>
  <c r="Q17" i="8"/>
  <c r="Q16" i="9"/>
  <c r="T45" i="2"/>
  <c r="R17" i="8"/>
  <c r="R16" i="9"/>
  <c r="U45" i="2"/>
  <c r="S17" i="8"/>
  <c r="S16" i="9"/>
  <c r="V45" i="2"/>
  <c r="T17" i="8"/>
  <c r="T16" i="9"/>
  <c r="W45" i="2"/>
  <c r="U17" i="8"/>
  <c r="U16" i="9"/>
  <c r="X45" i="2"/>
  <c r="V17" i="8"/>
  <c r="V16" i="9"/>
  <c r="Y45" i="2"/>
  <c r="W17" i="8"/>
  <c r="W16" i="9"/>
  <c r="Z45" i="2"/>
  <c r="X17" i="8"/>
  <c r="X16" i="9"/>
  <c r="AA45" i="2"/>
  <c r="Y17" i="8"/>
  <c r="Y16" i="9"/>
  <c r="AB45" i="2"/>
  <c r="Z17" i="8"/>
  <c r="Z16" i="9"/>
  <c r="AC45" i="2"/>
  <c r="AA17" i="8"/>
  <c r="AA16" i="9"/>
  <c r="AD45" i="2"/>
  <c r="AB17" i="8"/>
  <c r="AB16" i="9"/>
  <c r="AE45" i="2"/>
  <c r="AC17" i="8"/>
  <c r="AC16" i="9"/>
  <c r="AF45" i="2"/>
  <c r="AD17" i="8"/>
  <c r="AD16" i="9"/>
  <c r="AG45" i="2"/>
  <c r="AE17" i="8"/>
  <c r="AE16" i="9"/>
  <c r="AF17" i="8"/>
  <c r="AF16" i="9"/>
  <c r="AG9" i="2"/>
  <c r="AF22" i="8"/>
  <c r="AF9" i="2"/>
  <c r="AE9" i="2"/>
  <c r="AD9" i="2"/>
  <c r="AC9" i="2"/>
  <c r="AB9" i="2"/>
  <c r="AA9" i="2"/>
  <c r="Z9" i="2"/>
  <c r="Y9" i="2"/>
  <c r="X9" i="2"/>
  <c r="W9" i="2"/>
  <c r="U9" i="2"/>
  <c r="T9" i="2"/>
  <c r="S9" i="2"/>
  <c r="R9" i="2"/>
  <c r="Q9" i="2"/>
  <c r="P9" i="2"/>
  <c r="O9" i="2"/>
  <c r="N9" i="2"/>
  <c r="M9" i="2"/>
  <c r="L22" i="8"/>
  <c r="L9" i="2"/>
  <c r="K9" i="2"/>
  <c r="J9" i="2"/>
  <c r="I9" i="2"/>
  <c r="H9" i="2"/>
  <c r="G9" i="2"/>
  <c r="AA22" i="8"/>
  <c r="AB22" i="8"/>
  <c r="M22" i="8"/>
  <c r="AC22" i="8"/>
  <c r="N22" i="8"/>
  <c r="V22" i="8"/>
  <c r="AD22" i="8"/>
  <c r="R22" i="8"/>
  <c r="K22" i="8"/>
  <c r="T22" i="8"/>
  <c r="O22" i="8"/>
  <c r="W22" i="8"/>
  <c r="AE22" i="8"/>
  <c r="Z22" i="8"/>
  <c r="J22" i="8"/>
  <c r="S22" i="8"/>
  <c r="U22" i="8"/>
  <c r="H22" i="8"/>
  <c r="P22" i="8"/>
  <c r="X22" i="8"/>
  <c r="I22" i="8"/>
  <c r="Q22" i="8"/>
  <c r="Y22" i="8"/>
  <c r="B11" i="5"/>
  <c r="C22" i="6"/>
  <c r="E113" i="2"/>
  <c r="M113" i="2"/>
  <c r="U113" i="2"/>
  <c r="AC113" i="2"/>
  <c r="Y113" i="2"/>
  <c r="T113" i="2"/>
  <c r="F113" i="2"/>
  <c r="N113" i="2"/>
  <c r="V113" i="2"/>
  <c r="AD113" i="2"/>
  <c r="Q113" i="2"/>
  <c r="AB113" i="2"/>
  <c r="G113" i="2"/>
  <c r="O113" i="2"/>
  <c r="W113" i="2"/>
  <c r="AE113" i="2"/>
  <c r="H113" i="2"/>
  <c r="P113" i="2"/>
  <c r="X113" i="2"/>
  <c r="AF113" i="2"/>
  <c r="I113" i="2"/>
  <c r="AG113" i="2"/>
  <c r="J113" i="2"/>
  <c r="R113" i="2"/>
  <c r="Z113" i="2"/>
  <c r="K113" i="2"/>
  <c r="S113" i="2"/>
  <c r="AA113" i="2"/>
  <c r="L113" i="2"/>
  <c r="V6" i="9"/>
  <c r="V12" i="9"/>
  <c r="V21" i="9"/>
  <c r="H116" i="2"/>
  <c r="G6" i="9"/>
  <c r="G12" i="9"/>
  <c r="G21" i="9"/>
  <c r="W116" i="2"/>
  <c r="J116" i="2"/>
  <c r="O116" i="2"/>
  <c r="P116" i="2"/>
  <c r="V116" i="2"/>
  <c r="AB6" i="9"/>
  <c r="AB12" i="9"/>
  <c r="AB21" i="9"/>
  <c r="F6" i="9"/>
  <c r="F12" i="9"/>
  <c r="AE6" i="9"/>
  <c r="AE12" i="9"/>
  <c r="AE21" i="9"/>
  <c r="H6" i="9"/>
  <c r="H12" i="9"/>
  <c r="H21" i="9"/>
  <c r="L116" i="2"/>
  <c r="T6" i="9"/>
  <c r="T12" i="9"/>
  <c r="T21" i="9"/>
  <c r="Q6" i="9"/>
  <c r="Q12" i="9"/>
  <c r="Q21" i="9"/>
  <c r="S116" i="2"/>
  <c r="E116" i="2"/>
  <c r="AA6" i="9"/>
  <c r="AA12" i="9"/>
  <c r="AA21" i="9"/>
  <c r="F115" i="2"/>
  <c r="W6" i="9"/>
  <c r="W12" i="9"/>
  <c r="W21" i="9"/>
  <c r="Z6" i="9"/>
  <c r="Z12" i="9"/>
  <c r="Z21" i="9"/>
  <c r="Q116" i="2"/>
  <c r="M116" i="2"/>
  <c r="S6" i="9"/>
  <c r="S12" i="9"/>
  <c r="S21" i="9"/>
  <c r="AC6" i="9"/>
  <c r="AC12" i="9"/>
  <c r="AC21" i="9"/>
  <c r="K116" i="2"/>
  <c r="C6" i="9"/>
  <c r="C12" i="9"/>
  <c r="C21" i="9"/>
  <c r="D116" i="2"/>
  <c r="D115" i="2"/>
  <c r="X6" i="9"/>
  <c r="X12" i="9"/>
  <c r="X21" i="9"/>
  <c r="Y116" i="2"/>
  <c r="AF6" i="9"/>
  <c r="AF12" i="9"/>
  <c r="AF21" i="9"/>
  <c r="AG116" i="2"/>
  <c r="N6" i="9"/>
  <c r="N12" i="9"/>
  <c r="N21" i="9"/>
  <c r="AD6" i="9"/>
  <c r="AD12" i="9"/>
  <c r="AD21" i="9"/>
  <c r="AE116" i="2"/>
  <c r="Y6" i="9"/>
  <c r="Y12" i="9"/>
  <c r="Y21" i="9"/>
  <c r="Z116" i="2"/>
  <c r="O6" i="9"/>
  <c r="O12" i="9"/>
  <c r="O21" i="9"/>
  <c r="M6" i="9"/>
  <c r="M12" i="9"/>
  <c r="M21" i="9"/>
  <c r="N116" i="2"/>
  <c r="D118" i="2"/>
  <c r="D120" i="2"/>
  <c r="C9" i="6"/>
  <c r="I6" i="9"/>
  <c r="I12" i="9"/>
  <c r="I21" i="9"/>
  <c r="R6" i="9"/>
  <c r="R12" i="9"/>
  <c r="R21" i="9"/>
  <c r="K6" i="9"/>
  <c r="K12" i="9"/>
  <c r="K21" i="9"/>
  <c r="E115" i="2"/>
  <c r="E118" i="2"/>
  <c r="I116" i="2"/>
  <c r="U116" i="2"/>
  <c r="F20" i="9"/>
  <c r="F21" i="9"/>
  <c r="J6" i="9"/>
  <c r="J12" i="9"/>
  <c r="J21" i="9"/>
  <c r="G116" i="2"/>
  <c r="AA116" i="2"/>
  <c r="X116" i="2"/>
  <c r="AD116" i="2"/>
  <c r="T116" i="2"/>
  <c r="U6" i="9"/>
  <c r="U12" i="9"/>
  <c r="U21" i="9"/>
  <c r="G115" i="2"/>
  <c r="AB116" i="2"/>
  <c r="AC116" i="2"/>
  <c r="R116" i="2"/>
  <c r="P6" i="9"/>
  <c r="P12" i="9"/>
  <c r="P21" i="9"/>
  <c r="AF116" i="2"/>
  <c r="L6" i="9"/>
  <c r="L12" i="9"/>
  <c r="L21" i="9"/>
  <c r="E6" i="9"/>
  <c r="E12" i="9"/>
  <c r="F116" i="2"/>
  <c r="F118" i="2"/>
  <c r="C113" i="2"/>
  <c r="C114" i="2"/>
  <c r="D6" i="9"/>
  <c r="D12" i="9"/>
  <c r="C20" i="9"/>
  <c r="G118" i="2"/>
  <c r="G120" i="2"/>
  <c r="F9" i="6"/>
  <c r="D20" i="9"/>
  <c r="D21" i="9"/>
  <c r="E20" i="9"/>
  <c r="E21" i="9"/>
  <c r="E120" i="2"/>
  <c r="D9" i="6"/>
  <c r="F120" i="2"/>
  <c r="E9" i="6"/>
  <c r="D122" i="2"/>
  <c r="C7" i="9"/>
  <c r="C13" i="9"/>
  <c r="C23" i="9"/>
  <c r="F7" i="9"/>
  <c r="F13" i="9"/>
  <c r="F23" i="9"/>
  <c r="E7" i="9"/>
  <c r="E13" i="9"/>
  <c r="E23" i="9"/>
  <c r="D7" i="9"/>
  <c r="D13" i="9"/>
  <c r="D23" i="9"/>
  <c r="C129" i="2"/>
  <c r="C135" i="2"/>
  <c r="B10" i="21"/>
  <c r="B12" i="21"/>
  <c r="B16" i="21"/>
  <c r="G22" i="8"/>
  <c r="F22" i="8"/>
  <c r="C22" i="8"/>
  <c r="E22" i="8"/>
  <c r="D22" i="8"/>
  <c r="C14" i="8"/>
  <c r="E122" i="2"/>
  <c r="D14" i="8"/>
  <c r="G122" i="2"/>
  <c r="F14" i="8"/>
  <c r="F122" i="2"/>
  <c r="E14" i="8"/>
  <c r="H44" i="2"/>
  <c r="C24" i="8"/>
  <c r="C25" i="8"/>
  <c r="D24" i="8"/>
  <c r="D25" i="8"/>
  <c r="E24" i="8"/>
  <c r="E25" i="8"/>
  <c r="F24" i="8"/>
  <c r="F25" i="8"/>
  <c r="H43" i="2"/>
  <c r="H115" i="2"/>
  <c r="H118" i="2"/>
  <c r="I44" i="2"/>
  <c r="J44" i="2"/>
  <c r="G15" i="9"/>
  <c r="G20" i="9"/>
  <c r="I43" i="2"/>
  <c r="G16" i="8"/>
  <c r="D13" i="2"/>
  <c r="D135" i="2"/>
  <c r="E13" i="2"/>
  <c r="F13" i="2"/>
  <c r="C5" i="8"/>
  <c r="G13" i="2"/>
  <c r="I115" i="2"/>
  <c r="I118" i="2"/>
  <c r="I122" i="2"/>
  <c r="H14" i="8"/>
  <c r="H25" i="8"/>
  <c r="H120" i="2"/>
  <c r="H122" i="2"/>
  <c r="G14" i="8"/>
  <c r="G24" i="8"/>
  <c r="H15" i="9"/>
  <c r="H20" i="9"/>
  <c r="AF13" i="2"/>
  <c r="J43" i="2"/>
  <c r="H16" i="8"/>
  <c r="I15" i="9"/>
  <c r="I20" i="9"/>
  <c r="K44" i="2"/>
  <c r="J115" i="2"/>
  <c r="J118" i="2"/>
  <c r="G7" i="9"/>
  <c r="G13" i="9"/>
  <c r="G23" i="9"/>
  <c r="G9" i="6"/>
  <c r="I120" i="2"/>
  <c r="G25" i="8"/>
  <c r="H24" i="8"/>
  <c r="AE13" i="2"/>
  <c r="AD12" i="8"/>
  <c r="V13" i="2"/>
  <c r="U12" i="8"/>
  <c r="U13" i="2"/>
  <c r="U135" i="2"/>
  <c r="J13" i="2"/>
  <c r="J135" i="2"/>
  <c r="E135" i="2"/>
  <c r="C12" i="8"/>
  <c r="C20" i="8"/>
  <c r="O13" i="2"/>
  <c r="N12" i="8"/>
  <c r="AB13" i="2"/>
  <c r="AA12" i="8"/>
  <c r="S13" i="2"/>
  <c r="R12" i="8"/>
  <c r="Z13" i="2"/>
  <c r="Z135" i="2"/>
  <c r="AG13" i="2"/>
  <c r="AF12" i="8"/>
  <c r="AC13" i="2"/>
  <c r="AB12" i="8"/>
  <c r="AA13" i="2"/>
  <c r="AA135" i="2"/>
  <c r="Q13" i="2"/>
  <c r="P12" i="8"/>
  <c r="P13" i="2"/>
  <c r="O12" i="8"/>
  <c r="G135" i="2"/>
  <c r="E12" i="8"/>
  <c r="W13" i="2"/>
  <c r="V12" i="8"/>
  <c r="T13" i="2"/>
  <c r="T135" i="2"/>
  <c r="Y13" i="2"/>
  <c r="X12" i="8"/>
  <c r="N13" i="2"/>
  <c r="M12" i="8"/>
  <c r="L13" i="2"/>
  <c r="K12" i="8"/>
  <c r="R13" i="2"/>
  <c r="R135" i="2"/>
  <c r="I13" i="2"/>
  <c r="H12" i="8"/>
  <c r="X13" i="2"/>
  <c r="X135" i="2"/>
  <c r="AD13" i="2"/>
  <c r="AC12" i="8"/>
  <c r="K13" i="2"/>
  <c r="K135" i="2"/>
  <c r="M13" i="2"/>
  <c r="L12" i="8"/>
  <c r="H13" i="2"/>
  <c r="G12" i="8"/>
  <c r="J120" i="2"/>
  <c r="I9" i="6"/>
  <c r="J122" i="2"/>
  <c r="I14" i="8"/>
  <c r="J15" i="9"/>
  <c r="J20" i="9"/>
  <c r="L44" i="2"/>
  <c r="K115" i="2"/>
  <c r="K118" i="2"/>
  <c r="K122" i="2"/>
  <c r="J14" i="8"/>
  <c r="K43" i="2"/>
  <c r="I16" i="8"/>
  <c r="AF135" i="2"/>
  <c r="AE12" i="8"/>
  <c r="H7" i="9"/>
  <c r="H13" i="9"/>
  <c r="H23" i="9"/>
  <c r="H9" i="6"/>
  <c r="S12" i="8"/>
  <c r="S20" i="8"/>
  <c r="Y135" i="2"/>
  <c r="AB135" i="2"/>
  <c r="I135" i="2"/>
  <c r="O135" i="2"/>
  <c r="Q135" i="2"/>
  <c r="AE135" i="2"/>
  <c r="N135" i="2"/>
  <c r="C19" i="8"/>
  <c r="P135" i="2"/>
  <c r="V135" i="2"/>
  <c r="W12" i="8"/>
  <c r="W20" i="8"/>
  <c r="Z12" i="8"/>
  <c r="Z20" i="8"/>
  <c r="E6" i="7"/>
  <c r="D5" i="8"/>
  <c r="E5" i="8"/>
  <c r="F5" i="8"/>
  <c r="G5" i="8"/>
  <c r="H5" i="8"/>
  <c r="I5" i="8"/>
  <c r="J5" i="8"/>
  <c r="K5" i="8"/>
  <c r="L5" i="8"/>
  <c r="B20" i="21"/>
  <c r="I12" i="8"/>
  <c r="I20" i="8"/>
  <c r="S135" i="2"/>
  <c r="D12" i="8"/>
  <c r="D19" i="8"/>
  <c r="L135" i="2"/>
  <c r="Y12" i="8"/>
  <c r="Y20" i="8"/>
  <c r="Q12" i="8"/>
  <c r="Q20" i="8"/>
  <c r="H135" i="2"/>
  <c r="AG135" i="2"/>
  <c r="B36" i="21"/>
  <c r="J12" i="8"/>
  <c r="J20" i="8"/>
  <c r="AD135" i="2"/>
  <c r="F12" i="8"/>
  <c r="F20" i="8"/>
  <c r="AC135" i="2"/>
  <c r="M135" i="2"/>
  <c r="B23" i="21"/>
  <c r="W135" i="2"/>
  <c r="T12" i="8"/>
  <c r="T20" i="8"/>
  <c r="F135" i="2"/>
  <c r="J25" i="8"/>
  <c r="L43" i="2"/>
  <c r="J16" i="8"/>
  <c r="J24" i="8"/>
  <c r="K120" i="2"/>
  <c r="J9" i="6"/>
  <c r="I25" i="8"/>
  <c r="I24" i="8"/>
  <c r="K15" i="9"/>
  <c r="K20" i="9"/>
  <c r="M44" i="2"/>
  <c r="L115" i="2"/>
  <c r="L118" i="2"/>
  <c r="L120" i="2"/>
  <c r="K9" i="6"/>
  <c r="I7" i="9"/>
  <c r="I13" i="9"/>
  <c r="I23" i="9"/>
  <c r="P20" i="8"/>
  <c r="U20" i="8"/>
  <c r="AA20" i="8"/>
  <c r="AB20" i="8"/>
  <c r="G20" i="8"/>
  <c r="G19" i="8"/>
  <c r="AD20" i="8"/>
  <c r="L20" i="8"/>
  <c r="V20" i="8"/>
  <c r="AF20" i="8"/>
  <c r="K20" i="8"/>
  <c r="E19" i="8"/>
  <c r="E20" i="8"/>
  <c r="R20" i="8"/>
  <c r="O20" i="8"/>
  <c r="N20" i="8"/>
  <c r="M20" i="8"/>
  <c r="AE20" i="8"/>
  <c r="AC20" i="8"/>
  <c r="X20" i="8"/>
  <c r="H19" i="8"/>
  <c r="H20" i="8"/>
  <c r="C17" i="2"/>
  <c r="B25" i="21"/>
  <c r="B29" i="21"/>
  <c r="C66" i="2"/>
  <c r="C68" i="2"/>
  <c r="C71" i="2"/>
  <c r="C73" i="2"/>
  <c r="C75" i="2"/>
  <c r="C27" i="8"/>
  <c r="C6" i="8"/>
  <c r="I19" i="8"/>
  <c r="I27" i="8"/>
  <c r="I6" i="8"/>
  <c r="M5" i="8"/>
  <c r="N5" i="8"/>
  <c r="O5" i="8"/>
  <c r="P5" i="8"/>
  <c r="Q5" i="8"/>
  <c r="R5" i="8"/>
  <c r="S5" i="8"/>
  <c r="T5" i="8"/>
  <c r="U5" i="8"/>
  <c r="V5" i="8"/>
  <c r="W5" i="8"/>
  <c r="X5" i="8"/>
  <c r="Y5" i="8"/>
  <c r="Z5" i="8"/>
  <c r="AA5" i="8"/>
  <c r="AB5" i="8"/>
  <c r="AC5" i="8"/>
  <c r="AD5" i="8"/>
  <c r="AE5" i="8"/>
  <c r="AF5" i="8"/>
  <c r="B33" i="21"/>
  <c r="B38" i="21"/>
  <c r="B42" i="21"/>
  <c r="F19" i="8"/>
  <c r="F27" i="8"/>
  <c r="F6" i="8"/>
  <c r="D20" i="8"/>
  <c r="D27" i="8"/>
  <c r="D6" i="8"/>
  <c r="L122" i="2"/>
  <c r="K14" i="8"/>
  <c r="K25" i="8"/>
  <c r="J19" i="8"/>
  <c r="J27" i="8"/>
  <c r="J6" i="8"/>
  <c r="L15" i="9"/>
  <c r="L20" i="9"/>
  <c r="N44" i="2"/>
  <c r="M115" i="2"/>
  <c r="M118" i="2"/>
  <c r="M120" i="2"/>
  <c r="L9" i="6"/>
  <c r="K16" i="8"/>
  <c r="K19" i="8"/>
  <c r="M43" i="2"/>
  <c r="J7" i="9"/>
  <c r="J13" i="9"/>
  <c r="J23" i="9"/>
  <c r="K7" i="9"/>
  <c r="K13" i="9"/>
  <c r="K23" i="9"/>
  <c r="H27" i="8"/>
  <c r="H6" i="8"/>
  <c r="G27" i="8"/>
  <c r="G6" i="8"/>
  <c r="E27" i="8"/>
  <c r="E6" i="8"/>
  <c r="D111" i="2"/>
  <c r="C5" i="9"/>
  <c r="C11" i="9"/>
  <c r="C18" i="2"/>
  <c r="C7" i="6"/>
  <c r="B6" i="5"/>
  <c r="K24" i="8"/>
  <c r="K27" i="8"/>
  <c r="K6" i="8"/>
  <c r="M122" i="2"/>
  <c r="L14" i="8"/>
  <c r="L7" i="9"/>
  <c r="L13" i="9"/>
  <c r="L23" i="9"/>
  <c r="M15" i="9"/>
  <c r="M20" i="9"/>
  <c r="O44" i="2"/>
  <c r="N115" i="2"/>
  <c r="N118" i="2"/>
  <c r="N43" i="2"/>
  <c r="L16" i="8"/>
  <c r="L19" i="8"/>
  <c r="I111" i="2"/>
  <c r="H5" i="9"/>
  <c r="H11" i="9"/>
  <c r="H18" i="9"/>
  <c r="H25" i="9"/>
  <c r="H18" i="6"/>
  <c r="C6" i="6"/>
  <c r="AB111" i="2"/>
  <c r="AA8" i="6"/>
  <c r="AG111" i="2"/>
  <c r="AF5" i="9"/>
  <c r="AF11" i="9"/>
  <c r="AF18" i="9"/>
  <c r="M111" i="2"/>
  <c r="L8" i="6"/>
  <c r="K111" i="2"/>
  <c r="J5" i="9"/>
  <c r="J11" i="9"/>
  <c r="AE111" i="2"/>
  <c r="AD5" i="9"/>
  <c r="AD11" i="9"/>
  <c r="AF111" i="2"/>
  <c r="AE5" i="9"/>
  <c r="AE11" i="9"/>
  <c r="AE18" i="9"/>
  <c r="Z111" i="2"/>
  <c r="Y8" i="6"/>
  <c r="J111" i="2"/>
  <c r="I5" i="9"/>
  <c r="I11" i="9"/>
  <c r="I18" i="9"/>
  <c r="I25" i="9"/>
  <c r="I18" i="6"/>
  <c r="F111" i="2"/>
  <c r="E5" i="9"/>
  <c r="E11" i="9"/>
  <c r="G111" i="2"/>
  <c r="F8" i="6"/>
  <c r="N111" i="2"/>
  <c r="M5" i="9"/>
  <c r="M11" i="9"/>
  <c r="M18" i="9"/>
  <c r="T111" i="2"/>
  <c r="S5" i="9"/>
  <c r="S11" i="9"/>
  <c r="S18" i="9"/>
  <c r="X111" i="2"/>
  <c r="W8" i="6"/>
  <c r="AC111" i="2"/>
  <c r="AB5" i="9"/>
  <c r="AB11" i="9"/>
  <c r="Y111" i="2"/>
  <c r="X5" i="9"/>
  <c r="X11" i="9"/>
  <c r="S111" i="2"/>
  <c r="R5" i="9"/>
  <c r="R11" i="9"/>
  <c r="R18" i="9"/>
  <c r="W111" i="2"/>
  <c r="V5" i="9"/>
  <c r="V11" i="9"/>
  <c r="V18" i="9"/>
  <c r="O111" i="2"/>
  <c r="N8" i="6"/>
  <c r="P111" i="2"/>
  <c r="O5" i="9"/>
  <c r="O11" i="9"/>
  <c r="O18" i="9"/>
  <c r="H111" i="2"/>
  <c r="G8" i="6"/>
  <c r="R111" i="2"/>
  <c r="Q5" i="9"/>
  <c r="Q11" i="9"/>
  <c r="Q18" i="9"/>
  <c r="E111" i="2"/>
  <c r="D8" i="6"/>
  <c r="AD111" i="2"/>
  <c r="AC5" i="9"/>
  <c r="AC11" i="9"/>
  <c r="AC18" i="9"/>
  <c r="L111" i="2"/>
  <c r="K5" i="9"/>
  <c r="K11" i="9"/>
  <c r="K18" i="9"/>
  <c r="K25" i="9"/>
  <c r="K18" i="6"/>
  <c r="V111" i="2"/>
  <c r="U5" i="9"/>
  <c r="U11" i="9"/>
  <c r="AA111" i="2"/>
  <c r="Z5" i="9"/>
  <c r="Z11" i="9"/>
  <c r="Z18" i="9"/>
  <c r="Q111" i="2"/>
  <c r="P5" i="9"/>
  <c r="P11" i="9"/>
  <c r="U111" i="2"/>
  <c r="T5" i="9"/>
  <c r="T11" i="9"/>
  <c r="C18" i="9"/>
  <c r="C25" i="9"/>
  <c r="C10" i="4"/>
  <c r="H8" i="6"/>
  <c r="H7" i="8"/>
  <c r="N122" i="2"/>
  <c r="M14" i="8"/>
  <c r="L24" i="8"/>
  <c r="L25" i="8"/>
  <c r="N15" i="9"/>
  <c r="N20" i="9"/>
  <c r="P44" i="2"/>
  <c r="O115" i="2"/>
  <c r="O118" i="2"/>
  <c r="O122" i="2"/>
  <c r="N14" i="8"/>
  <c r="O43" i="2"/>
  <c r="M16" i="8"/>
  <c r="M19" i="8"/>
  <c r="N120" i="2"/>
  <c r="M9" i="6"/>
  <c r="AB8" i="6"/>
  <c r="W5" i="9"/>
  <c r="W11" i="9"/>
  <c r="W18" i="9"/>
  <c r="I8" i="6"/>
  <c r="I7" i="8"/>
  <c r="O8" i="6"/>
  <c r="L5" i="9"/>
  <c r="L11" i="9"/>
  <c r="L18" i="9"/>
  <c r="L25" i="9"/>
  <c r="L18" i="6"/>
  <c r="AC8" i="6"/>
  <c r="AF8" i="6"/>
  <c r="N5" i="9"/>
  <c r="N11" i="9"/>
  <c r="N18" i="9"/>
  <c r="M8" i="6"/>
  <c r="AA5" i="9"/>
  <c r="AA11" i="9"/>
  <c r="AA18" i="9"/>
  <c r="Z8" i="6"/>
  <c r="P8" i="6"/>
  <c r="K8" i="6"/>
  <c r="K7" i="8"/>
  <c r="U8" i="6"/>
  <c r="Y5" i="9"/>
  <c r="Y11" i="9"/>
  <c r="Y18" i="9"/>
  <c r="S8" i="6"/>
  <c r="AD8" i="6"/>
  <c r="V8" i="6"/>
  <c r="X8" i="6"/>
  <c r="D5" i="9"/>
  <c r="D11" i="9"/>
  <c r="D18" i="9"/>
  <c r="D25" i="9"/>
  <c r="D18" i="6"/>
  <c r="C8" i="6"/>
  <c r="C12" i="6"/>
  <c r="D7" i="6"/>
  <c r="D12" i="6"/>
  <c r="G5" i="9"/>
  <c r="G11" i="9"/>
  <c r="G18" i="9"/>
  <c r="G25" i="9"/>
  <c r="G18" i="6"/>
  <c r="F5" i="9"/>
  <c r="F11" i="9"/>
  <c r="F18" i="9"/>
  <c r="F25" i="9"/>
  <c r="F18" i="6"/>
  <c r="J8" i="6"/>
  <c r="J7" i="8"/>
  <c r="Q8" i="6"/>
  <c r="R8" i="6"/>
  <c r="E8" i="6"/>
  <c r="E6" i="4"/>
  <c r="T8" i="6"/>
  <c r="AE8" i="6"/>
  <c r="H10" i="4"/>
  <c r="D6" i="4"/>
  <c r="D7" i="8"/>
  <c r="AB18" i="9"/>
  <c r="T18" i="9"/>
  <c r="U18" i="9"/>
  <c r="I10" i="4"/>
  <c r="E18" i="9"/>
  <c r="E25" i="9"/>
  <c r="E18" i="6"/>
  <c r="L7" i="8"/>
  <c r="L6" i="4"/>
  <c r="K10" i="4"/>
  <c r="AD18" i="9"/>
  <c r="P18" i="9"/>
  <c r="G6" i="4"/>
  <c r="G7" i="8"/>
  <c r="X18" i="9"/>
  <c r="F6" i="4"/>
  <c r="F7" i="8"/>
  <c r="J18" i="9"/>
  <c r="J25" i="9"/>
  <c r="J18" i="6"/>
  <c r="C18" i="6"/>
  <c r="C19" i="6"/>
  <c r="C20" i="6"/>
  <c r="C23" i="6"/>
  <c r="L27" i="8"/>
  <c r="L6" i="8"/>
  <c r="H6" i="4"/>
  <c r="O120" i="2"/>
  <c r="N9" i="6"/>
  <c r="O15" i="9"/>
  <c r="O20" i="9"/>
  <c r="Q44" i="2"/>
  <c r="P115" i="2"/>
  <c r="P118" i="2"/>
  <c r="M7" i="9"/>
  <c r="M13" i="9"/>
  <c r="M7" i="8"/>
  <c r="M24" i="8"/>
  <c r="M25" i="8"/>
  <c r="P43" i="2"/>
  <c r="N16" i="8"/>
  <c r="N19" i="8"/>
  <c r="N25" i="8"/>
  <c r="I6" i="4"/>
  <c r="L10" i="4"/>
  <c r="J6" i="4"/>
  <c r="K6" i="4"/>
  <c r="E7" i="8"/>
  <c r="D10" i="4"/>
  <c r="F10" i="4"/>
  <c r="H10" i="6"/>
  <c r="G10" i="6"/>
  <c r="C6" i="4"/>
  <c r="K10" i="6"/>
  <c r="B7" i="5"/>
  <c r="B8" i="5"/>
  <c r="B10" i="5"/>
  <c r="J10" i="6"/>
  <c r="C10" i="6"/>
  <c r="L10" i="6"/>
  <c r="I10" i="6"/>
  <c r="C7" i="8"/>
  <c r="D10" i="6"/>
  <c r="F10" i="6"/>
  <c r="E10" i="6"/>
  <c r="J10" i="4"/>
  <c r="C7" i="5"/>
  <c r="E7" i="6"/>
  <c r="E12" i="6"/>
  <c r="G10" i="4"/>
  <c r="E10" i="4"/>
  <c r="D19" i="6"/>
  <c r="D20" i="6"/>
  <c r="N7" i="9"/>
  <c r="N13" i="9"/>
  <c r="N23" i="9"/>
  <c r="M10" i="6"/>
  <c r="N10" i="6"/>
  <c r="M6" i="4"/>
  <c r="N24" i="8"/>
  <c r="N27" i="8"/>
  <c r="N6" i="8"/>
  <c r="M27" i="8"/>
  <c r="M6" i="8"/>
  <c r="Q43" i="2"/>
  <c r="O16" i="8"/>
  <c r="O19" i="8"/>
  <c r="N6" i="4"/>
  <c r="N7" i="8"/>
  <c r="P122" i="2"/>
  <c r="O14" i="8"/>
  <c r="P120" i="2"/>
  <c r="O9" i="6"/>
  <c r="M23" i="9"/>
  <c r="M25" i="9"/>
  <c r="M18" i="6"/>
  <c r="P15" i="9"/>
  <c r="P20" i="9"/>
  <c r="R44" i="2"/>
  <c r="Q115" i="2"/>
  <c r="Q118" i="2"/>
  <c r="E8" i="7"/>
  <c r="D7" i="5"/>
  <c r="F7" i="6"/>
  <c r="F12" i="6"/>
  <c r="E19" i="6"/>
  <c r="E20" i="6"/>
  <c r="F19" i="6"/>
  <c r="F20" i="6"/>
  <c r="G19" i="6"/>
  <c r="G20" i="6"/>
  <c r="H19" i="6"/>
  <c r="H20" i="6"/>
  <c r="I19" i="6"/>
  <c r="I20" i="6"/>
  <c r="J19" i="6"/>
  <c r="J20" i="6"/>
  <c r="K19" i="6"/>
  <c r="K20" i="6"/>
  <c r="L19" i="6"/>
  <c r="L20" i="6"/>
  <c r="M19" i="6"/>
  <c r="M20" i="6"/>
  <c r="N25" i="9"/>
  <c r="N18" i="6"/>
  <c r="Q15" i="9"/>
  <c r="Q20" i="9"/>
  <c r="S44" i="2"/>
  <c r="R115" i="2"/>
  <c r="R118" i="2"/>
  <c r="P16" i="8"/>
  <c r="P19" i="8"/>
  <c r="R43" i="2"/>
  <c r="M10" i="4"/>
  <c r="O7" i="9"/>
  <c r="O13" i="9"/>
  <c r="O25" i="8"/>
  <c r="O24" i="8"/>
  <c r="Q122" i="2"/>
  <c r="P14" i="8"/>
  <c r="Q120" i="2"/>
  <c r="P9" i="6"/>
  <c r="E7" i="5"/>
  <c r="G7" i="6"/>
  <c r="G12" i="6"/>
  <c r="N19" i="6"/>
  <c r="N20" i="6"/>
  <c r="N10" i="4"/>
  <c r="O27" i="8"/>
  <c r="O6" i="8"/>
  <c r="O7" i="8"/>
  <c r="O6" i="4"/>
  <c r="O10" i="6"/>
  <c r="O23" i="9"/>
  <c r="O25" i="9"/>
  <c r="O18" i="6"/>
  <c r="P25" i="8"/>
  <c r="P24" i="8"/>
  <c r="R15" i="9"/>
  <c r="R20" i="9"/>
  <c r="T44" i="2"/>
  <c r="S115" i="2"/>
  <c r="S118" i="2"/>
  <c r="P7" i="9"/>
  <c r="P13" i="9"/>
  <c r="S43" i="2"/>
  <c r="Q16" i="8"/>
  <c r="Q19" i="8"/>
  <c r="R122" i="2"/>
  <c r="Q14" i="8"/>
  <c r="R120" i="2"/>
  <c r="Q9" i="6"/>
  <c r="F7" i="5"/>
  <c r="H7" i="6"/>
  <c r="H12" i="6"/>
  <c r="O19" i="6"/>
  <c r="O20" i="6"/>
  <c r="P27" i="8"/>
  <c r="P6" i="8"/>
  <c r="O10" i="4"/>
  <c r="P23" i="9"/>
  <c r="P25" i="9"/>
  <c r="P18" i="6"/>
  <c r="S120" i="2"/>
  <c r="R9" i="6"/>
  <c r="S122" i="2"/>
  <c r="R14" i="8"/>
  <c r="S15" i="9"/>
  <c r="S20" i="9"/>
  <c r="U44" i="2"/>
  <c r="T115" i="2"/>
  <c r="T118" i="2"/>
  <c r="Q25" i="8"/>
  <c r="Q24" i="8"/>
  <c r="P7" i="8"/>
  <c r="P6" i="4"/>
  <c r="Q7" i="9"/>
  <c r="Q13" i="9"/>
  <c r="Q10" i="6"/>
  <c r="P10" i="6"/>
  <c r="T43" i="2"/>
  <c r="R16" i="8"/>
  <c r="R19" i="8"/>
  <c r="G7" i="5"/>
  <c r="I7" i="6"/>
  <c r="I12" i="6"/>
  <c r="P19" i="6"/>
  <c r="P20" i="6"/>
  <c r="Q27" i="8"/>
  <c r="Q6" i="8"/>
  <c r="U43" i="2"/>
  <c r="S16" i="8"/>
  <c r="S19" i="8"/>
  <c r="Q6" i="4"/>
  <c r="Q7" i="8"/>
  <c r="P10" i="4"/>
  <c r="Q23" i="9"/>
  <c r="Q25" i="9"/>
  <c r="Q18" i="6"/>
  <c r="T122" i="2"/>
  <c r="S14" i="8"/>
  <c r="T120" i="2"/>
  <c r="S9" i="6"/>
  <c r="R25" i="8"/>
  <c r="R24" i="8"/>
  <c r="R7" i="9"/>
  <c r="R13" i="9"/>
  <c r="T15" i="9"/>
  <c r="T20" i="9"/>
  <c r="V44" i="2"/>
  <c r="U115" i="2"/>
  <c r="U118" i="2"/>
  <c r="J7" i="6"/>
  <c r="J12" i="6"/>
  <c r="H7" i="5"/>
  <c r="Q19" i="6"/>
  <c r="Q20" i="6"/>
  <c r="R27" i="8"/>
  <c r="R6" i="8"/>
  <c r="U120" i="2"/>
  <c r="T9" i="6"/>
  <c r="U122" i="2"/>
  <c r="T14" i="8"/>
  <c r="S24" i="8"/>
  <c r="S25" i="8"/>
  <c r="T16" i="8"/>
  <c r="T19" i="8"/>
  <c r="V43" i="2"/>
  <c r="U15" i="9"/>
  <c r="U20" i="9"/>
  <c r="W44" i="2"/>
  <c r="V115" i="2"/>
  <c r="V118" i="2"/>
  <c r="Q10" i="4"/>
  <c r="R23" i="9"/>
  <c r="R25" i="9"/>
  <c r="R18" i="6"/>
  <c r="R6" i="4"/>
  <c r="R7" i="8"/>
  <c r="S7" i="9"/>
  <c r="S13" i="9"/>
  <c r="S10" i="6"/>
  <c r="R10" i="6"/>
  <c r="I7" i="5"/>
  <c r="K7" i="6"/>
  <c r="K12" i="6"/>
  <c r="R19" i="6"/>
  <c r="R20" i="6"/>
  <c r="S27" i="8"/>
  <c r="S6" i="8"/>
  <c r="V15" i="9"/>
  <c r="V20" i="9"/>
  <c r="X44" i="2"/>
  <c r="W115" i="2"/>
  <c r="W118" i="2"/>
  <c r="S7" i="8"/>
  <c r="S6" i="4"/>
  <c r="S23" i="9"/>
  <c r="S25" i="9"/>
  <c r="S18" i="6"/>
  <c r="R10" i="4"/>
  <c r="V120" i="2"/>
  <c r="U9" i="6"/>
  <c r="V122" i="2"/>
  <c r="U14" i="8"/>
  <c r="T25" i="8"/>
  <c r="T24" i="8"/>
  <c r="T7" i="9"/>
  <c r="T13" i="9"/>
  <c r="W43" i="2"/>
  <c r="U16" i="8"/>
  <c r="U19" i="8"/>
  <c r="J7" i="5"/>
  <c r="L7" i="6"/>
  <c r="L12" i="6"/>
  <c r="S19" i="6"/>
  <c r="S20" i="6"/>
  <c r="T27" i="8"/>
  <c r="T6" i="8"/>
  <c r="S10" i="4"/>
  <c r="U7" i="9"/>
  <c r="U13" i="9"/>
  <c r="W15" i="9"/>
  <c r="W20" i="9"/>
  <c r="Y44" i="2"/>
  <c r="X115" i="2"/>
  <c r="X118" i="2"/>
  <c r="X43" i="2"/>
  <c r="V16" i="8"/>
  <c r="V19" i="8"/>
  <c r="T23" i="9"/>
  <c r="T25" i="9"/>
  <c r="T18" i="6"/>
  <c r="U24" i="8"/>
  <c r="U25" i="8"/>
  <c r="W120" i="2"/>
  <c r="V9" i="6"/>
  <c r="W122" i="2"/>
  <c r="V14" i="8"/>
  <c r="T6" i="4"/>
  <c r="T7" i="8"/>
  <c r="T10" i="6"/>
  <c r="M7" i="6"/>
  <c r="M12" i="6"/>
  <c r="K7" i="5"/>
  <c r="T19" i="6"/>
  <c r="T20" i="6"/>
  <c r="U27" i="8"/>
  <c r="U6" i="8"/>
  <c r="V24" i="8"/>
  <c r="V25" i="8"/>
  <c r="Y43" i="2"/>
  <c r="W16" i="8"/>
  <c r="W19" i="8"/>
  <c r="V7" i="9"/>
  <c r="V13" i="9"/>
  <c r="X122" i="2"/>
  <c r="W14" i="8"/>
  <c r="X120" i="2"/>
  <c r="W9" i="6"/>
  <c r="X15" i="9"/>
  <c r="X20" i="9"/>
  <c r="Z44" i="2"/>
  <c r="Y115" i="2"/>
  <c r="Y118" i="2"/>
  <c r="U6" i="4"/>
  <c r="U7" i="8"/>
  <c r="U10" i="6"/>
  <c r="T10" i="4"/>
  <c r="U23" i="9"/>
  <c r="U25" i="9"/>
  <c r="U18" i="6"/>
  <c r="U19" i="6"/>
  <c r="U20" i="6"/>
  <c r="L7" i="5"/>
  <c r="N7" i="6"/>
  <c r="N12" i="6"/>
  <c r="V27" i="8"/>
  <c r="V6" i="8"/>
  <c r="U10" i="4"/>
  <c r="V23" i="9"/>
  <c r="V25" i="9"/>
  <c r="V18" i="6"/>
  <c r="V19" i="6"/>
  <c r="V20" i="6"/>
  <c r="V7" i="8"/>
  <c r="V6" i="4"/>
  <c r="Y122" i="2"/>
  <c r="X14" i="8"/>
  <c r="Y120" i="2"/>
  <c r="X9" i="6"/>
  <c r="Y15" i="9"/>
  <c r="Y20" i="9"/>
  <c r="AA44" i="2"/>
  <c r="Z115" i="2"/>
  <c r="Z118" i="2"/>
  <c r="Z43" i="2"/>
  <c r="X16" i="8"/>
  <c r="X19" i="8"/>
  <c r="V10" i="6"/>
  <c r="W7" i="9"/>
  <c r="W13" i="9"/>
  <c r="W10" i="6"/>
  <c r="W24" i="8"/>
  <c r="W25" i="8"/>
  <c r="M7" i="5"/>
  <c r="O7" i="6"/>
  <c r="O12" i="6"/>
  <c r="W27" i="8"/>
  <c r="W6" i="8"/>
  <c r="Z15" i="9"/>
  <c r="Z20" i="9"/>
  <c r="AB44" i="2"/>
  <c r="AA115" i="2"/>
  <c r="AA118" i="2"/>
  <c r="AA43" i="2"/>
  <c r="Y16" i="8"/>
  <c r="Y19" i="8"/>
  <c r="V10" i="4"/>
  <c r="Z120" i="2"/>
  <c r="Y9" i="6"/>
  <c r="Z122" i="2"/>
  <c r="Y14" i="8"/>
  <c r="X7" i="9"/>
  <c r="X13" i="9"/>
  <c r="W23" i="9"/>
  <c r="W25" i="9"/>
  <c r="W18" i="6"/>
  <c r="W19" i="6"/>
  <c r="W20" i="6"/>
  <c r="W7" i="8"/>
  <c r="W6" i="4"/>
  <c r="X24" i="8"/>
  <c r="X25" i="8"/>
  <c r="N7" i="5"/>
  <c r="P7" i="6"/>
  <c r="P12" i="6"/>
  <c r="X27" i="8"/>
  <c r="X6" i="8"/>
  <c r="W10" i="4"/>
  <c r="X6" i="4"/>
  <c r="X7" i="8"/>
  <c r="X10" i="6"/>
  <c r="AA120" i="2"/>
  <c r="Z9" i="6"/>
  <c r="AA122" i="2"/>
  <c r="Z14" i="8"/>
  <c r="X23" i="9"/>
  <c r="X25" i="9"/>
  <c r="X18" i="6"/>
  <c r="X19" i="6"/>
  <c r="X20" i="6"/>
  <c r="Z16" i="8"/>
  <c r="Z19" i="8"/>
  <c r="AB43" i="2"/>
  <c r="Y24" i="8"/>
  <c r="Y25" i="8"/>
  <c r="AA15" i="9"/>
  <c r="AA20" i="9"/>
  <c r="AC44" i="2"/>
  <c r="AB115" i="2"/>
  <c r="AB118" i="2"/>
  <c r="Y7" i="9"/>
  <c r="Y13" i="9"/>
  <c r="O7" i="5"/>
  <c r="Q7" i="6"/>
  <c r="Q12" i="6"/>
  <c r="Y27" i="8"/>
  <c r="Y6" i="8"/>
  <c r="Y7" i="8"/>
  <c r="Y6" i="4"/>
  <c r="Y10" i="6"/>
  <c r="AC43" i="2"/>
  <c r="AA16" i="8"/>
  <c r="AA19" i="8"/>
  <c r="AB120" i="2"/>
  <c r="AA9" i="6"/>
  <c r="AB122" i="2"/>
  <c r="AA14" i="8"/>
  <c r="X10" i="4"/>
  <c r="AB15" i="9"/>
  <c r="AB20" i="9"/>
  <c r="AD44" i="2"/>
  <c r="AC115" i="2"/>
  <c r="AC118" i="2"/>
  <c r="Z7" i="9"/>
  <c r="Z13" i="9"/>
  <c r="Y23" i="9"/>
  <c r="Y25" i="9"/>
  <c r="Y18" i="6"/>
  <c r="Y19" i="6"/>
  <c r="Y20" i="6"/>
  <c r="Z25" i="8"/>
  <c r="Z24" i="8"/>
  <c r="P7" i="5"/>
  <c r="R7" i="6"/>
  <c r="R12" i="6"/>
  <c r="Z27" i="8"/>
  <c r="Z6" i="8"/>
  <c r="AA7" i="9"/>
  <c r="AA13" i="9"/>
  <c r="Z6" i="4"/>
  <c r="Z7" i="8"/>
  <c r="Z10" i="6"/>
  <c r="Z23" i="9"/>
  <c r="Z25" i="9"/>
  <c r="Z18" i="6"/>
  <c r="Z19" i="6"/>
  <c r="Z20" i="6"/>
  <c r="AD43" i="2"/>
  <c r="AB16" i="8"/>
  <c r="AB19" i="8"/>
  <c r="AA25" i="8"/>
  <c r="AA24" i="8"/>
  <c r="AC15" i="9"/>
  <c r="AC20" i="9"/>
  <c r="AE44" i="2"/>
  <c r="AD115" i="2"/>
  <c r="AD118" i="2"/>
  <c r="AC120" i="2"/>
  <c r="AB9" i="6"/>
  <c r="AC122" i="2"/>
  <c r="AB14" i="8"/>
  <c r="Y10" i="4"/>
  <c r="Q7" i="5"/>
  <c r="S7" i="6"/>
  <c r="S12" i="6"/>
  <c r="AA27" i="8"/>
  <c r="AA6" i="8"/>
  <c r="AD120" i="2"/>
  <c r="AC9" i="6"/>
  <c r="AD122" i="2"/>
  <c r="AC14" i="8"/>
  <c r="AD15" i="9"/>
  <c r="AD20" i="9"/>
  <c r="AF44" i="2"/>
  <c r="AE115" i="2"/>
  <c r="AE118" i="2"/>
  <c r="AA6" i="4"/>
  <c r="AA7" i="8"/>
  <c r="AA10" i="6"/>
  <c r="AA23" i="9"/>
  <c r="AA25" i="9"/>
  <c r="AA18" i="6"/>
  <c r="AA19" i="6"/>
  <c r="AA20" i="6"/>
  <c r="Z10" i="4"/>
  <c r="AB24" i="8"/>
  <c r="AB25" i="8"/>
  <c r="AB7" i="9"/>
  <c r="AB13" i="9"/>
  <c r="AE43" i="2"/>
  <c r="AC16" i="8"/>
  <c r="AC19" i="8"/>
  <c r="R7" i="5"/>
  <c r="T7" i="6"/>
  <c r="T12" i="6"/>
  <c r="AB27" i="8"/>
  <c r="AB6" i="8"/>
  <c r="AE15" i="9"/>
  <c r="AE20" i="9"/>
  <c r="AG44" i="2"/>
  <c r="AF115" i="2"/>
  <c r="AF118" i="2"/>
  <c r="AE120" i="2"/>
  <c r="AD9" i="6"/>
  <c r="AE122" i="2"/>
  <c r="AD14" i="8"/>
  <c r="AC24" i="8"/>
  <c r="AC25" i="8"/>
  <c r="AA10" i="4"/>
  <c r="AC7" i="9"/>
  <c r="AC13" i="9"/>
  <c r="AD16" i="8"/>
  <c r="AD19" i="8"/>
  <c r="AF43" i="2"/>
  <c r="AB6" i="4"/>
  <c r="AB7" i="8"/>
  <c r="AB10" i="6"/>
  <c r="AB23" i="9"/>
  <c r="AB25" i="9"/>
  <c r="AB18" i="6"/>
  <c r="AB19" i="6"/>
  <c r="AB20" i="6"/>
  <c r="U7" i="6"/>
  <c r="U12" i="6"/>
  <c r="S7" i="5"/>
  <c r="AC27" i="8"/>
  <c r="AC6" i="8"/>
  <c r="AC23" i="9"/>
  <c r="AC25" i="9"/>
  <c r="AC18" i="6"/>
  <c r="AC19" i="6"/>
  <c r="AC20" i="6"/>
  <c r="AC6" i="4"/>
  <c r="AC7" i="8"/>
  <c r="AC10" i="6"/>
  <c r="AD24" i="8"/>
  <c r="AD25" i="8"/>
  <c r="AF15" i="9"/>
  <c r="AF20" i="9"/>
  <c r="AG115" i="2"/>
  <c r="AG118" i="2"/>
  <c r="AD7" i="9"/>
  <c r="AD13" i="9"/>
  <c r="AF122" i="2"/>
  <c r="AE14" i="8"/>
  <c r="AF120" i="2"/>
  <c r="AE9" i="6"/>
  <c r="AG43" i="2"/>
  <c r="AE16" i="8"/>
  <c r="AE19" i="8"/>
  <c r="AB10" i="4"/>
  <c r="V7" i="6"/>
  <c r="V12" i="6"/>
  <c r="T7" i="5"/>
  <c r="AD27" i="8"/>
  <c r="AD6" i="8"/>
  <c r="AC10" i="4"/>
  <c r="AD6" i="4"/>
  <c r="AD7" i="8"/>
  <c r="AD10" i="6"/>
  <c r="AD23" i="9"/>
  <c r="AD25" i="9"/>
  <c r="AD18" i="6"/>
  <c r="AD19" i="6"/>
  <c r="AD20" i="6"/>
  <c r="AG120" i="2"/>
  <c r="AF9" i="6"/>
  <c r="AG122" i="2"/>
  <c r="AF14" i="8"/>
  <c r="AE7" i="9"/>
  <c r="AE13" i="9"/>
  <c r="AE24" i="8"/>
  <c r="AE25" i="8"/>
  <c r="AF16" i="8"/>
  <c r="AF19" i="8"/>
  <c r="W7" i="6"/>
  <c r="W12" i="6"/>
  <c r="U7" i="5"/>
  <c r="AE27" i="8"/>
  <c r="AE6" i="8"/>
  <c r="AD10" i="4"/>
  <c r="AE7" i="8"/>
  <c r="AE6" i="4"/>
  <c r="AE10" i="6"/>
  <c r="AF7" i="9"/>
  <c r="AF13" i="9"/>
  <c r="AE23" i="9"/>
  <c r="AE25" i="9"/>
  <c r="AE18" i="6"/>
  <c r="AE19" i="6"/>
  <c r="AE20" i="6"/>
  <c r="AF25" i="8"/>
  <c r="AF24" i="8"/>
  <c r="V7" i="5"/>
  <c r="X7" i="6"/>
  <c r="X12" i="6"/>
  <c r="AF27" i="8"/>
  <c r="AF6" i="8"/>
  <c r="AF7" i="8"/>
  <c r="AF6" i="4"/>
  <c r="AF10" i="6"/>
  <c r="AE10" i="4"/>
  <c r="AF23" i="9"/>
  <c r="AF25" i="9"/>
  <c r="AF18" i="6"/>
  <c r="AF19" i="6"/>
  <c r="AF20" i="6"/>
  <c r="Y7" i="6"/>
  <c r="Y12" i="6"/>
  <c r="W7" i="5"/>
  <c r="AF10" i="4"/>
  <c r="X7" i="5"/>
  <c r="Z7" i="6"/>
  <c r="Z12" i="6"/>
  <c r="Y7" i="5"/>
  <c r="AA7" i="6"/>
  <c r="AA12" i="6"/>
  <c r="Z7" i="5"/>
  <c r="AB7" i="6"/>
  <c r="AB12" i="6"/>
  <c r="AA7" i="5"/>
  <c r="AC7" i="6"/>
  <c r="AC12" i="6"/>
  <c r="AB7" i="5"/>
  <c r="AD7" i="6"/>
  <c r="AD12" i="6"/>
  <c r="AC7" i="5"/>
  <c r="AE7" i="6"/>
  <c r="AE12" i="6"/>
  <c r="AD7" i="5"/>
  <c r="AF7" i="6"/>
  <c r="AF12" i="6"/>
  <c r="AE7" i="5"/>
  <c r="C6" i="5" l="1"/>
  <c r="D6" i="5"/>
  <c r="E6" i="5"/>
  <c r="F6" i="5"/>
  <c r="G6" i="5"/>
  <c r="H6" i="5"/>
  <c r="I6" i="5"/>
  <c r="J6" i="5"/>
  <c r="K6" i="5"/>
  <c r="L6" i="5"/>
  <c r="M6" i="5"/>
  <c r="N6" i="5"/>
  <c r="O6" i="5"/>
  <c r="P6" i="5"/>
  <c r="Q6" i="5"/>
  <c r="R6" i="5"/>
  <c r="S6" i="5"/>
  <c r="T6" i="5"/>
  <c r="U6" i="5"/>
  <c r="V6" i="5"/>
  <c r="W6" i="5"/>
  <c r="X6" i="5"/>
  <c r="Y6" i="5"/>
  <c r="Z6" i="5"/>
  <c r="AA6" i="5"/>
  <c r="AB6" i="5"/>
  <c r="AC6" i="5"/>
  <c r="AD6" i="5"/>
  <c r="AE6" i="5"/>
  <c r="C8" i="5"/>
  <c r="D8" i="5"/>
  <c r="E8" i="5"/>
  <c r="F8" i="5"/>
  <c r="G8" i="5"/>
  <c r="H8" i="5"/>
  <c r="I8" i="5"/>
  <c r="J8" i="5"/>
  <c r="K8" i="5"/>
  <c r="L8" i="5"/>
  <c r="M8" i="5"/>
  <c r="N8" i="5"/>
  <c r="O8" i="5"/>
  <c r="P8" i="5"/>
  <c r="Q8" i="5"/>
  <c r="R8" i="5"/>
  <c r="S8" i="5"/>
  <c r="T8" i="5"/>
  <c r="U8" i="5"/>
  <c r="V8" i="5"/>
  <c r="W8" i="5"/>
  <c r="X8" i="5"/>
  <c r="Y8" i="5"/>
  <c r="Z8" i="5"/>
  <c r="AA8" i="5"/>
  <c r="AB8" i="5"/>
  <c r="AC8" i="5"/>
  <c r="AD8" i="5"/>
  <c r="AE8"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5" i="3"/>
  <c r="E5" i="3"/>
  <c r="F5" i="3"/>
  <c r="G5" i="3"/>
  <c r="H5" i="3"/>
  <c r="I5" i="3"/>
  <c r="J5" i="3"/>
  <c r="K5" i="3"/>
  <c r="L5" i="3"/>
  <c r="M5" i="3"/>
  <c r="N5" i="3"/>
  <c r="O5" i="3"/>
  <c r="P5" i="3"/>
  <c r="Q5" i="3"/>
  <c r="R5" i="3"/>
  <c r="S5" i="3"/>
  <c r="T5" i="3"/>
  <c r="U5" i="3"/>
  <c r="V5" i="3"/>
  <c r="W5" i="3"/>
  <c r="X5" i="3"/>
  <c r="Y5" i="3"/>
  <c r="Z5" i="3"/>
  <c r="AA5" i="3"/>
  <c r="AB5" i="3"/>
  <c r="AC5" i="3"/>
  <c r="AD5" i="3"/>
  <c r="AE5" i="3"/>
  <c r="AF5"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B6" i="7"/>
  <c r="F6" i="7"/>
  <c r="G6" i="7"/>
  <c r="H6" i="7"/>
  <c r="I6" i="7"/>
  <c r="J6" i="7"/>
  <c r="K6" i="7"/>
  <c r="L6" i="7"/>
  <c r="M6" i="7"/>
  <c r="N6" i="7"/>
  <c r="O6" i="7"/>
  <c r="P6" i="7"/>
  <c r="Q6" i="7"/>
  <c r="R6" i="7"/>
  <c r="S6" i="7"/>
  <c r="T6" i="7"/>
  <c r="U6" i="7"/>
  <c r="V6" i="7"/>
  <c r="W6" i="7"/>
  <c r="X6" i="7"/>
  <c r="Y6" i="7"/>
  <c r="Z6" i="7"/>
  <c r="AA6" i="7"/>
  <c r="AB6" i="7"/>
  <c r="AC6" i="7"/>
  <c r="AD6" i="7"/>
  <c r="AE6" i="7"/>
  <c r="AF6" i="7"/>
  <c r="AG6" i="7"/>
  <c r="AH6" i="7"/>
  <c r="B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B8" i="7"/>
  <c r="F8" i="7"/>
  <c r="G8" i="7"/>
  <c r="H8" i="7"/>
  <c r="I8" i="7"/>
  <c r="J8" i="7"/>
  <c r="K8" i="7"/>
  <c r="L8" i="7"/>
  <c r="M8" i="7"/>
  <c r="N8" i="7"/>
  <c r="O8" i="7"/>
  <c r="P8" i="7"/>
  <c r="Q8" i="7"/>
  <c r="R8" i="7"/>
  <c r="S8" i="7"/>
  <c r="T8" i="7"/>
  <c r="U8" i="7"/>
  <c r="V8" i="7"/>
  <c r="W8" i="7"/>
  <c r="X8" i="7"/>
  <c r="Y8" i="7"/>
  <c r="Z8" i="7"/>
  <c r="AA8" i="7"/>
  <c r="AB8" i="7"/>
  <c r="AC8" i="7"/>
  <c r="AD8" i="7"/>
  <c r="AE8" i="7"/>
  <c r="AF8" i="7"/>
  <c r="AG8" i="7"/>
  <c r="AH8" i="7"/>
  <c r="B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alcChain>
</file>

<file path=xl/sharedStrings.xml><?xml version="1.0" encoding="utf-8"?>
<sst xmlns="http://schemas.openxmlformats.org/spreadsheetml/2006/main" count="276" uniqueCount="204">
  <si>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</si>
  <si>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</si>
  <si>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</si>
  <si>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</si>
  <si>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</si>
  <si>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</si>
  <si>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</si>
  <si>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</si>
  <si>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</si>
  <si>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</si>
  <si>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</si>
  <si>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</si>
  <si>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</si>
  <si>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</si>
  <si>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</si>
  <si>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</si>
  <si>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</si>
  <si>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</si>
  <si>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</si>
  <si>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</si>
  <si>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</si>
  <si>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</si>
  <si>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</si>
  <si>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</si>
  <si>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</si>
  <si>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</si>
  <si>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</si>
  <si>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</si>
  <si>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</si>
  <si>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</si>
  <si>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</si>
  <si>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</si>
  <si>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</si>
  <si>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</si>
  <si>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</si>
  <si>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</si>
  <si>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</si>
  <si>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</si>
  <si>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</si>
  <si>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Debt to Revenue</t>
  </si>
  <si>
    <t>Enhancement short and medium life percentage</t>
  </si>
  <si>
    <t>Enhancement long life percentage</t>
  </si>
  <si>
    <t>Short and medium asset life</t>
  </si>
  <si>
    <t>Long asset life</t>
  </si>
  <si>
    <t>Total assets before new depreciation</t>
  </si>
  <si>
    <t>Total operating costs post efficiency</t>
  </si>
  <si>
    <t>Interest on cash</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</si>
  <si>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</si>
  <si>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</si>
  <si>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</si>
  <si>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</si>
  <si>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</si>
  <si>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</si>
  <si>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</si>
  <si>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</si>
  <si>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</si>
  <si>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</si>
  <si>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</si>
  <si>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</si>
  <si>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</si>
  <si>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</si>
  <si>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</si>
  <si>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</si>
  <si>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</si>
  <si>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</si>
  <si>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</si>
  <si>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</si>
  <si>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</si>
  <si>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</si>
  <si>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</si>
  <si>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</si>
  <si>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</si>
  <si>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</si>
  <si>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</si>
  <si>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</si>
  <si>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</si>
  <si>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</si>
  <si>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</si>
  <si>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</si>
  <si>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</si>
  <si>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</si>
  <si>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</si>
  <si>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</si>
  <si>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</si>
  <si>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</si>
  <si>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</si>
  <si>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Calculated</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</si>
  <si>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</si>
  <si>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</si>
  <si>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</si>
  <si>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</si>
  <si>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</si>
  <si>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</si>
  <si>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</si>
  <si>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</si>
  <si>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</si>
  <si>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</si>
  <si>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</si>
  <si>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Total enhancement and growth investment (post-sensitivity)</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</si>
  <si>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</si>
  <si>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</si>
  <si>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</si>
  <si>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</si>
  <si>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</si>
  <si>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</si>
  <si>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</si>
  <si>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</si>
  <si>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</si>
  <si>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</si>
  <si>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</si>
  <si>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</si>
  <si>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</si>
  <si>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</si>
  <si>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</si>
  <si>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</si>
  <si>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</si>
  <si>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</si>
  <si>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</si>
  <si>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</si>
  <si>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</si>
  <si>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</si>
  <si>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High range for economic depreciation for short-medium life assets and average for economic depreciation for long-life assets</t>
  </si>
  <si>
    <t>Stats NZ</t>
  </si>
  <si>
    <t>Assumed occupancy rate across New Zealand</t>
  </si>
  <si>
    <t>Assumption</t>
  </si>
  <si>
    <t>High end of the range observed in Great Britain</t>
  </si>
  <si>
    <t>Assumption that individual councils would be unable to match NZ wide productivity of 0.8% per annum</t>
  </si>
  <si>
    <t>As above</t>
  </si>
  <si>
    <t>Macro-economic assumption from DIA's commercial and financial advisors</t>
  </si>
  <si>
    <t>Consistent with reaching a percentage split of 70% for long life assets by 2051. This is split is in line with international experience</t>
  </si>
  <si>
    <t>Consistent with reaching a percentage split of 30% for short-medium life assets by 2051. This is split is in line with international experience</t>
  </si>
  <si>
    <t>Based on observed experience from GB for entities of such a scale</t>
  </si>
  <si>
    <t xml:space="preserve">Optimised replacement cost </t>
  </si>
  <si>
    <t>RFI Table A3; Line A3.58</t>
  </si>
  <si>
    <t>RFI Table J1; Sum of lines J1.1 to J1.30 (Column I)</t>
  </si>
  <si>
    <t>RFI Table J1; Sum of lines J1.1 to J1.30 (Column J)</t>
  </si>
  <si>
    <t>RFI Table F3; Line F3.20</t>
  </si>
  <si>
    <t>RFI Table G1; Calculated from additional properties connected in the year (line G1.3b) divided by properties served in 2019/20</t>
  </si>
  <si>
    <t>Optimised replacement cost opening value</t>
  </si>
  <si>
    <t>Charged Depreciation on existing assets</t>
  </si>
  <si>
    <t>Growth investment (pre-capping)</t>
  </si>
  <si>
    <t>Modelled enhancement investment (estimated based on density)</t>
  </si>
  <si>
    <t>Modelled enhancement investment (estimated based on a 50/50 weighting of population and land area)</t>
  </si>
  <si>
    <t>Growth and enhancement investment (estimated based on density: pre-capping)</t>
  </si>
  <si>
    <t>Growth and enhancement investment (estimated based on a 50/50 weighted: pre-capping)</t>
  </si>
  <si>
    <t>Investment per connected citizen</t>
  </si>
  <si>
    <t>Cap for investment per connected citizen</t>
  </si>
  <si>
    <t>Growth and enhancement investment (estimated based on density: post-capping)</t>
  </si>
  <si>
    <t>Growth and enhancement investment (estimated based on a 50/50 weighted: post-capping)</t>
  </si>
  <si>
    <t xml:space="preserve">Water connected population </t>
  </si>
  <si>
    <t>Wastewater connected population</t>
  </si>
  <si>
    <t>Water connected population</t>
  </si>
  <si>
    <t>Growth and enhancement investment (average: post-capping)</t>
  </si>
  <si>
    <t>Consistent with investment per connected citizen in the most rural Council areas in Scotland</t>
  </si>
  <si>
    <t>Based on disaggregated modelling of Council specific information</t>
  </si>
  <si>
    <t>Percentage of revenue from household customers</t>
  </si>
  <si>
    <t>Consistent with the split of revenue between households and non-households observed in Great Britain</t>
  </si>
  <si>
    <t>Instructions</t>
  </si>
  <si>
    <t>Profit and Loss assumptions (2019/20)</t>
  </si>
  <si>
    <t>Asset and Investment assumptions 2019/20 prices)</t>
  </si>
  <si>
    <t xml:space="preserve">Assumptions </t>
  </si>
  <si>
    <t>Investment</t>
  </si>
  <si>
    <t>Profit and loss</t>
  </si>
  <si>
    <t>Balance sheet</t>
  </si>
  <si>
    <t>Cash flow</t>
  </si>
  <si>
    <t>Debt</t>
  </si>
  <si>
    <t>Step</t>
  </si>
  <si>
    <t xml:space="preserve">The model needs to have iterative calculations enabled in order to function correctly. To do this, select: 
- File
- Options
- Formulas
- Enable iterative calculations (see the extract opposite)
</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</si>
  <si>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</si>
  <si>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</si>
  <si>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</si>
  <si>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</si>
  <si>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</si>
  <si>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</si>
  <si>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</si>
  <si>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RFI Table G1; Line G1.3 
As forecasts were not provided for 2032-51, the average annual growth investment over 2022-31 is assumed to continue over 2032-51.</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</si>
  <si>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</si>
  <si>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</si>
  <si>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</si>
  <si>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</si>
  <si>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</si>
  <si>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</si>
  <si>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</si>
  <si>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</si>
  <si>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</si>
  <si>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</si>
  <si>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</si>
  <si>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</si>
  <si>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</si>
  <si>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</si>
  <si>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</si>
  <si>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</si>
  <si>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</si>
  <si>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</si>
  <si>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RFI Table E1, E2 and E2b; Lines E1.22 + E2.21 + E2b.21</t>
  </si>
  <si>
    <t>Source / note</t>
  </si>
  <si>
    <t>RFI Table A1; Line A1.47</t>
  </si>
  <si>
    <t>Horowhenua Stand-alone Council</t>
  </si>
  <si>
    <t>RFI Table F10; Lines F10.62 + F10.70 - F10.61</t>
  </si>
  <si>
    <t>New Zealand wide assumption based on the observed split in Great Britain</t>
  </si>
  <si>
    <t xml:space="preserve">Based on dividing the connected population from the RFI Table A (Lines A1.43 and A3.58) by the household occupancy rate of 2.7 people per household across New Zealand (as reported by Stats NZ) </t>
  </si>
  <si>
    <t>Modelled based on investment requirements and operating expenditure forecasts</t>
  </si>
  <si>
    <t>Calculated from the growth projections from the RFI Table G; line G1.3b</t>
  </si>
  <si>
    <t>Assumed inflation of 2.2% per annum from DIA's commercial and financial advisors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</si>
</sst>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0.0000"/>
    <numFmt numFmtId="176" formatCode="_-* #,##0.000_-;\-* #,##0.000_-;_-* &quot;-&quot;??_-;_-@_-"/>
    <numFmt numFmtId="177" formatCode="_-* #,##0.0000_-;\-* #,##0.0000_-;_-* &quot;-&quot;??_-;_-@_-"/>
  </numFmts>
  <fonts count="1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
      <sz val="13"/>
      <color rgb="FF00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194">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176" fontId="0" fillId="0" borderId="0" xfId="0" applyNumberFormat="1"/>
    <xf numFmtId="170" fontId="0" fillId="0" borderId="0" xfId="0" applyNumberFormat="1" applyAlignment="1">
      <alignment horizontal="center"/>
    </xf>
    <xf numFmtId="175"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0" fontId="14" fillId="0" borderId="9" xfId="0" applyFont="1" applyFill="1" applyBorder="1" applyAlignment="1">
      <alignment vertical="top"/>
    </xf>
    <xf numFmtId="0" fontId="0" fillId="0" borderId="9"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5" fillId="0" borderId="0" xfId="0" applyFont="1"/>
    <xf numFmtId="0" fontId="16" fillId="0" borderId="0" xfId="0" applyFont="1"/>
    <xf numFmtId="166" fontId="16" fillId="0" borderId="0" xfId="2" applyNumberFormat="1" applyFont="1" applyFill="1" applyAlignment="1">
      <alignment horizontal="center"/>
    </xf>
    <xf numFmtId="9" fontId="16" fillId="0" borderId="0" xfId="3" applyFont="1" applyFill="1" applyAlignment="1">
      <alignment horizontal="center"/>
    </xf>
    <xf numFmtId="167" fontId="16" fillId="0" borderId="0" xfId="0" applyNumberFormat="1" applyFont="1" applyAlignment="1">
      <alignment horizontal="center"/>
    </xf>
    <xf numFmtId="0" fontId="16" fillId="0" borderId="0" xfId="0" applyFont="1" applyFill="1"/>
    <xf numFmtId="3" fontId="16" fillId="0" borderId="0" xfId="1" applyNumberFormat="1" applyFont="1" applyFill="1" applyAlignment="1">
      <alignment horizontal="center"/>
    </xf>
    <xf numFmtId="0" fontId="17" fillId="0" borderId="0" xfId="0" applyFont="1" applyFill="1"/>
    <xf numFmtId="166" fontId="17" fillId="0" borderId="0" xfId="2" applyNumberFormat="1" applyFont="1" applyFill="1" applyAlignment="1">
      <alignment horizontal="center"/>
    </xf>
    <xf numFmtId="2" fontId="16" fillId="0" borderId="0" xfId="2" applyNumberFormat="1" applyFont="1" applyFill="1" applyAlignment="1"/>
    <xf numFmtId="1" fontId="17" fillId="0" borderId="0" xfId="2" applyNumberFormat="1" applyFont="1" applyFill="1" applyAlignment="1">
      <alignment horizontal="right"/>
    </xf>
    <xf numFmtId="173" fontId="16" fillId="0" borderId="0" xfId="0" applyNumberFormat="1" applyFont="1" applyFill="1"/>
    <xf numFmtId="167" fontId="16" fillId="0" borderId="0" xfId="0" applyNumberFormat="1" applyFont="1" applyFill="1" applyAlignment="1">
      <alignment horizontal="center"/>
    </xf>
    <xf numFmtId="0" fontId="15" fillId="0" borderId="0" xfId="0" applyFont="1" applyFill="1"/>
    <xf numFmtId="2" fontId="16"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11" xfId="0" applyFill="1" applyBorder="1"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7"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3" fillId="0" borderId="0" xfId="0" applyNumberFormat="1" applyFont="1" applyFill="1" applyBorder="1" applyAlignment="1">
      <alignment vertical="top"/>
    </xf>
    <xf numFmtId="0" fontId="10" fillId="0" borderId="9" xfId="0" applyNumberFormat="1" applyFont="1" applyFill="1" applyBorder="1" applyAlignment="1">
      <alignment vertical="top"/>
    </xf>
    <xf numFmtId="175" fontId="0" fillId="0" borderId="0" xfId="0" applyNumberForma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9" xfId="0" applyNumberForma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167" fontId="0" fillId="0" borderId="9" xfId="1" applyNumberFormat="1" applyFon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3" fillId="0" borderId="5" xfId="0" applyNumberFormat="1" applyFont="1" applyFill="1" applyBorder="1" applyAlignment="1">
      <alignment vertical="top"/>
    </xf>
    <xf numFmtId="0" fontId="13" fillId="0" borderId="0" xfId="0" applyFont="1" applyFill="1" applyBorder="1" applyAlignment="1">
      <alignment vertical="top"/>
    </xf>
    <xf numFmtId="172" fontId="13" fillId="0" borderId="0" xfId="0" applyNumberFormat="1" applyFont="1" applyFill="1" applyBorder="1" applyAlignment="1">
      <alignment vertical="top"/>
    </xf>
    <xf numFmtId="167" fontId="13" fillId="0" borderId="0" xfId="1" applyNumberFormat="1" applyFont="1" applyFill="1" applyBorder="1" applyAlignment="1">
      <alignment vertical="top"/>
    </xf>
    <xf numFmtId="0" fontId="13" fillId="0" borderId="0" xfId="0" applyFont="1"/>
    <xf numFmtId="166" fontId="13" fillId="0" borderId="0" xfId="0" applyNumberFormat="1" applyFont="1" applyFill="1" applyBorder="1" applyAlignment="1">
      <alignment vertical="top" wrapText="1"/>
    </xf>
    <xf numFmtId="0" fontId="0" fillId="0" borderId="0" xfId="0" applyFont="1" applyAlignment="1">
      <alignment wrapText="1"/>
    </xf>
    <xf numFmtId="0" fontId="0" fillId="4" borderId="0" xfId="0" applyFill="1"/>
    <xf numFmtId="0" fontId="7" fillId="4" borderId="0" xfId="0" applyFont="1" applyFill="1"/>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166" fontId="10" fillId="0" borderId="0" xfId="0" applyNumberFormat="1" applyFont="1" applyFill="1" applyAlignment="1">
      <alignment vertical="top" wrapText="1"/>
    </xf>
    <xf numFmtId="0" fontId="18" fillId="0" borderId="0" xfId="0" applyFont="1" applyAlignment="1">
      <alignment horizontal="left" vertical="center" wrapText="1"/>
    </xf>
    <xf numFmtId="0" fontId="16" fillId="0" borderId="0" xfId="0" applyFont="1" applyAlignment="1">
      <alignment horizontal="right"/>
    </xf>
    <xf numFmtId="166" fontId="16" fillId="0" borderId="0" xfId="2" applyNumberFormat="1" applyFont="1" applyFill="1" applyAlignment="1">
      <alignment horizontal="right"/>
    </xf>
    <xf numFmtId="9" fontId="16" fillId="0" borderId="0" xfId="3" applyFont="1" applyFill="1" applyAlignment="1">
      <alignment horizontal="right"/>
    </xf>
    <xf numFmtId="167" fontId="16" fillId="0" borderId="0" xfId="0" applyNumberFormat="1" applyFont="1" applyAlignment="1">
      <alignment horizontal="right"/>
    </xf>
    <xf numFmtId="3" fontId="16" fillId="0" borderId="0" xfId="1" applyNumberFormat="1" applyFont="1" applyFill="1" applyAlignment="1">
      <alignment horizontal="right"/>
    </xf>
    <xf numFmtId="0" fontId="16" fillId="0" borderId="0" xfId="0" applyFont="1" applyFill="1" applyAlignment="1">
      <alignment horizontal="right"/>
    </xf>
    <xf numFmtId="166" fontId="17" fillId="0" borderId="0" xfId="2" applyNumberFormat="1" applyFont="1" applyFill="1" applyAlignment="1">
      <alignment horizontal="right"/>
    </xf>
    <xf numFmtId="173" fontId="16" fillId="0" borderId="0" xfId="0" applyNumberFormat="1" applyFont="1" applyFill="1" applyAlignment="1">
      <alignment horizontal="right"/>
    </xf>
    <xf numFmtId="167" fontId="16" fillId="0" borderId="0" xfId="0" applyNumberFormat="1" applyFont="1" applyFill="1" applyAlignment="1">
      <alignment horizontal="right"/>
    </xf>
    <xf numFmtId="0" fontId="17" fillId="0" borderId="0" xfId="0" applyFont="1" applyFill="1" applyAlignment="1">
      <alignment horizontal="right"/>
    </xf>
    <xf numFmtId="0" fontId="0" fillId="0" borderId="0" xfId="0" applyAlignment="1">
      <alignment horizontal="right"/>
    </xf>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3.xml"/><Relationship Id="rId21" Type="http://schemas.openxmlformats.org/officeDocument/2006/relationships/externalLink" Target="externalLinks/externalLink8.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16"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externalLink" Target="externalLinks/externalLink53.xml"/><Relationship Id="rId74"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48.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77"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theme" Target="theme/theme1.xml"/><Relationship Id="rId75"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 Id="rId34" Type="http://schemas.openxmlformats.org/officeDocument/2006/relationships/externalLink" Target="externalLinks/externalLink21.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76"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622300</xdr:colOff>
      <xdr:row>7</xdr:row>
      <xdr:rowOff>2025650</xdr:rowOff>
    </xdr:from>
    <xdr:to>
      <xdr:col>1</xdr:col>
      <xdr:colOff>10127661</xdr:colOff>
      <xdr:row>7</xdr:row>
      <xdr:rowOff>4864100</xdr:rowOff>
    </xdr:to>
    <xdr:pic>
      <xdr:nvPicPr>
        <xdr:cNvPr id="4" name="Picture 3">
          <a:extLst>
            <a:ext uri="{FF2B5EF4-FFF2-40B4-BE49-F238E27FC236}">
              <a16:creationId xmlns:a16="http://schemas.microsoft.com/office/drawing/2014/main" id="{A51C19DC-3182-43F9-BDB4-EF97D4BA2A29}"/>
            </a:ext>
          </a:extLst>
        </xdr:cNvPr>
        <xdr:cNvPicPr>
          <a:picLocks noChangeAspect="1"/>
        </xdr:cNvPicPr>
      </xdr:nvPicPr>
      <xdr:blipFill>
        <a:blip xmlns:r="http://schemas.openxmlformats.org/officeDocument/2006/relationships" r:embed="rId4"/>
        <a:stretch>
          <a:fillRect/>
        </a:stretch>
      </xdr:blipFill>
      <xdr:spPr>
        <a:xfrm>
          <a:off x="2393950" y="6337300"/>
          <a:ext cx="9505361" cy="2838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WFinance/GLC/RRennie/JOURNALS/08-09/P2/080531-87516%20-%20## SW SCi Mileage Accrual To Budget P2 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11"/>
  <sheetViews>
    <sheetView tabSelected="1" zoomScaleNormal="100" workbookViewId="0">
      <selection sqref="A1:XFD1048576"/>
    </sheetView>
  </sheetViews>
  <sheetFormatPr defaultColWidth="23.25" defaultRowHeight="15.5" x14ac:dyDescent="0.35"/>
  <cols>
    <col min="1" max="1" width="23.25" style="63"/>
    <col min="2" max="2" width="141.83203125" style="63" customWidth="1"/>
    <col min="3" max="3" width="95.33203125" style="63" bestFit="1" customWidth="1"/>
    <col min="4" max="4" width="8.75" style="63" customWidth="1"/>
    <col min="5" max="5" width="18.25" style="63" customWidth="1"/>
    <col min="6" max="6" width="17.25" style="63" customWidth="1"/>
    <col min="7" max="16384" width="23.25" style="63"/>
  </cols>
  <sheetData>
    <row r="1" spans="1:6" x14ac:dyDescent="0.35">
      <c r="B1" s="61" t="s">
        <v>94</v>
      </c>
      <c r="D1" s="61"/>
      <c r="E1" s="61"/>
      <c r="F1" s="61"/>
    </row>
    <row r="2" spans="1:6" x14ac:dyDescent="0.35">
      <c r="A2" s="63" t="s">
        <v>95</v>
      </c>
      <c r="B2" s="60" t="s">
        <v>197</v>
      </c>
      <c r="C2" s="171"/>
      <c r="D2" s="60"/>
      <c r="E2" s="14"/>
      <c r="F2" s="60"/>
    </row>
    <row r="3" spans="1:6" x14ac:dyDescent="0.35">
      <c r="C3" s="14"/>
      <c r="D3" s="14"/>
    </row>
    <row r="4" spans="1:6" x14ac:dyDescent="0.35">
      <c r="A4" s="14" t="s">
        <v>157</v>
      </c>
      <c r="B4" s="14"/>
      <c r="D4" s="14"/>
    </row>
    <row r="6" spans="1:6" ht="21" x14ac:dyDescent="0.5">
      <c r="A6" s="15" t="s">
        <v>166</v>
      </c>
    </row>
    <row r="7" spans="1:6" ht="241" customHeight="1" x14ac:dyDescent="0.35">
      <c r="A7" s="107">
        <v>1</v>
      </c>
      <c r="B7" s="104" t="s">
        <v>167</v>
      </c>
    </row>
    <row r="8" spans="1:6" ht="408" customHeight="1" x14ac:dyDescent="0.35">
      <c r="A8" s="107">
        <v>2</v>
      </c>
      <c r="B8" s="104" t="s">
        <v>188</v>
      </c>
    </row>
    <row r="9" spans="1:6" ht="195.5" customHeight="1" x14ac:dyDescent="0.35">
      <c r="A9" s="107">
        <f>A8+1</f>
        <v>3</v>
      </c>
      <c r="B9" s="105" t="s">
        <v>171</v>
      </c>
    </row>
    <row r="10" spans="1:6" ht="236" customHeight="1" x14ac:dyDescent="0.35">
      <c r="A10" s="107">
        <v>4</v>
      </c>
      <c r="B10" s="105" t="s">
        <v>172</v>
      </c>
    </row>
    <row r="11" spans="1:6" ht="21" x14ac:dyDescent="0.35">
      <c r="A11" s="107">
        <f>A10+1</f>
        <v>5</v>
      </c>
      <c r="B11" s="63" t="s">
        <v>186</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Normal="100" workbookViewId="0">
      <pane xSplit="1" topLeftCell="B1" activePane="topRight" state="frozen"/>
      <selection sqref="A1:XFD1048576"/>
      <selection pane="topRight"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3" customFormat="1" ht="21" x14ac:dyDescent="0.5">
      <c r="A1" s="15" t="s">
        <v>163</v>
      </c>
    </row>
    <row r="2" spans="1:42" s="63"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189</v>
      </c>
      <c r="B6" s="1">
        <f>Assumptions!C17</f>
        <v>438346573.75000006</v>
      </c>
      <c r="C6" s="12">
        <f ca="1">B6+Depreciation!C18+'Cash Flow'!C13</f>
        <v>448675553.54243851</v>
      </c>
      <c r="D6" s="1">
        <f ca="1">C6+Depreciation!D18</f>
        <v>484270504.70926529</v>
      </c>
      <c r="E6" s="1">
        <f ca="1">D6+Depreciation!E18</f>
        <v>521683981.96768665</v>
      </c>
      <c r="F6" s="1">
        <f ca="1">E6+Depreciation!F18</f>
        <v>560995921.75756991</v>
      </c>
      <c r="G6" s="1">
        <f ca="1">F6+Depreciation!G18</f>
        <v>602289514.28021586</v>
      </c>
      <c r="H6" s="1">
        <f ca="1">G6+Depreciation!H18</f>
        <v>645651329.88417661</v>
      </c>
      <c r="I6" s="1">
        <f ca="1">H6+Depreciation!I18</f>
        <v>691171450.20791304</v>
      </c>
      <c r="J6" s="1">
        <f ca="1">I6+Depreciation!J18</f>
        <v>738943604.2543124</v>
      </c>
      <c r="K6" s="1">
        <f ca="1">J6+Depreciation!K18</f>
        <v>789065309.57841349</v>
      </c>
      <c r="L6" s="1">
        <f ca="1">K6+Depreciation!L18</f>
        <v>841638018.77624583</v>
      </c>
      <c r="M6" s="1">
        <f ca="1">L6+Depreciation!M18</f>
        <v>896767271.46947622</v>
      </c>
      <c r="N6" s="1">
        <f ca="1">M6+Depreciation!N18</f>
        <v>954562851.98759174</v>
      </c>
      <c r="O6" s="1">
        <f ca="1">N6+Depreciation!O18</f>
        <v>1015138952.956627</v>
      </c>
      <c r="P6" s="1">
        <f ca="1">O6+Depreciation!P18</f>
        <v>1078614345.0109904</v>
      </c>
      <c r="Q6" s="1">
        <f ca="1">P6+Depreciation!Q18</f>
        <v>1145112552.8527505</v>
      </c>
      <c r="R6" s="1">
        <f ca="1">Q6+Depreciation!R18</f>
        <v>1214762037.8908372</v>
      </c>
      <c r="S6" s="1">
        <f ca="1">R6+Depreciation!S18</f>
        <v>1287696387.7009854</v>
      </c>
      <c r="T6" s="1">
        <f ca="1">S6+Depreciation!T18</f>
        <v>1364054512.5559282</v>
      </c>
      <c r="U6" s="1">
        <f ca="1">T6+Depreciation!U18</f>
        <v>1443980849.2843266</v>
      </c>
      <c r="V6" s="1">
        <f ca="1">U6+Depreciation!V18</f>
        <v>1527625572.7262304</v>
      </c>
      <c r="W6" s="1">
        <f ca="1">V6+Depreciation!W18</f>
        <v>1615144815.062494</v>
      </c>
      <c r="X6" s="1">
        <f ca="1">W6+Depreciation!X18</f>
        <v>1706700893.305552</v>
      </c>
      <c r="Y6" s="1">
        <f ca="1">X6+Depreciation!Y18</f>
        <v>1802462545.2492869</v>
      </c>
      <c r="Z6" s="1">
        <f ca="1">Y6+Depreciation!Z18</f>
        <v>1902605174.1864209</v>
      </c>
      <c r="AA6" s="1">
        <f ca="1">Z6+Depreciation!AA18</f>
        <v>2007311102.7129414</v>
      </c>
      <c r="AB6" s="1">
        <f ca="1">AA6+Depreciation!AB18</f>
        <v>2116769835.9505374</v>
      </c>
      <c r="AC6" s="1">
        <f ca="1">AB6+Depreciation!AC18</f>
        <v>2231178334.5299067</v>
      </c>
      <c r="AD6" s="1">
        <f ca="1">AC6+Depreciation!AD18</f>
        <v>2350741297.6900878</v>
      </c>
      <c r="AE6" s="1">
        <f ca="1">AD6+Depreciation!AE18</f>
        <v>2475671456.8617067</v>
      </c>
      <c r="AF6" s="1"/>
      <c r="AG6" s="1"/>
      <c r="AH6" s="1"/>
      <c r="AI6" s="1"/>
      <c r="AJ6" s="1"/>
      <c r="AK6" s="1"/>
      <c r="AL6" s="1"/>
      <c r="AM6" s="1"/>
      <c r="AN6" s="1"/>
      <c r="AO6" s="1"/>
      <c r="AP6" s="1"/>
    </row>
    <row r="7" spans="1:42" x14ac:dyDescent="0.35">
      <c r="A7" t="s">
        <v>12</v>
      </c>
      <c r="B7" s="1">
        <f>Depreciation!C12</f>
        <v>226443091.4577162</v>
      </c>
      <c r="C7" s="1">
        <f>Depreciation!D12</f>
        <v>234603948.05670735</v>
      </c>
      <c r="D7" s="1">
        <f>Depreciation!E12</f>
        <v>243705439.72112238</v>
      </c>
      <c r="E7" s="1">
        <f>Depreciation!F12</f>
        <v>253799410.37799105</v>
      </c>
      <c r="F7" s="1">
        <f>Depreciation!G12</f>
        <v>264940058.755366</v>
      </c>
      <c r="G7" s="1">
        <f>Depreciation!H12</f>
        <v>277184036.00140703</v>
      </c>
      <c r="H7" s="1">
        <f>Depreciation!I12</f>
        <v>290590547.13977033</v>
      </c>
      <c r="I7" s="1">
        <f>Depreciation!J12</f>
        <v>305221456.50686461</v>
      </c>
      <c r="J7" s="1">
        <f>Depreciation!K12</f>
        <v>321141397.3219229</v>
      </c>
      <c r="K7" s="1">
        <f>Depreciation!L12</f>
        <v>338417885.54642302</v>
      </c>
      <c r="L7" s="1">
        <f>Depreciation!M12</f>
        <v>357121438.19517463</v>
      </c>
      <c r="M7" s="1">
        <f>Depreciation!N12</f>
        <v>377325696.26738799</v>
      </c>
      <c r="N7" s="1">
        <f>Depreciation!O12</f>
        <v>399107552.47225225</v>
      </c>
      <c r="O7" s="1">
        <f>Depreciation!P12</f>
        <v>422547283.92999119</v>
      </c>
      <c r="P7" s="1">
        <f>Depreciation!Q12</f>
        <v>447728690.03603488</v>
      </c>
      <c r="Q7" s="1">
        <f>Depreciation!R12</f>
        <v>474739235.68286228</v>
      </c>
      <c r="R7" s="1">
        <f>Depreciation!S12</f>
        <v>503670200.0412308</v>
      </c>
      <c r="S7" s="1">
        <f>Depreciation!T12</f>
        <v>534616831.10993683</v>
      </c>
      <c r="T7" s="1">
        <f>Depreciation!U12</f>
        <v>567678506.25093901</v>
      </c>
      <c r="U7" s="1">
        <f>Depreciation!V12</f>
        <v>602958898.93464983</v>
      </c>
      <c r="V7" s="1">
        <f>Depreciation!W12</f>
        <v>640566151.92845833</v>
      </c>
      <c r="W7" s="1">
        <f>Depreciation!X12</f>
        <v>680613057.1701026</v>
      </c>
      <c r="X7" s="1">
        <f>Depreciation!Y12</f>
        <v>723217242.57637858</v>
      </c>
      <c r="Y7" s="1">
        <f>Depreciation!Z12</f>
        <v>768501366.04685509</v>
      </c>
      <c r="Z7" s="1">
        <f>Depreciation!AA12</f>
        <v>816593316.93178511</v>
      </c>
      <c r="AA7" s="1">
        <f>Depreciation!AB12</f>
        <v>867626425.24325979</v>
      </c>
      <c r="AB7" s="1">
        <f>Depreciation!AC12</f>
        <v>921739678.89887178</v>
      </c>
      <c r="AC7" s="1">
        <f>Depreciation!AD12</f>
        <v>979077949.29773498</v>
      </c>
      <c r="AD7" s="1">
        <f>Depreciation!AE12</f>
        <v>1039792225.5396742</v>
      </c>
      <c r="AE7" s="1">
        <f>Depreciation!AF12</f>
        <v>1104039857.6097577</v>
      </c>
      <c r="AF7" s="1"/>
      <c r="AG7" s="1"/>
      <c r="AH7" s="1"/>
      <c r="AI7" s="1"/>
      <c r="AJ7" s="1"/>
      <c r="AK7" s="1"/>
      <c r="AL7" s="1"/>
      <c r="AM7" s="1"/>
      <c r="AN7" s="1"/>
      <c r="AO7" s="1"/>
      <c r="AP7" s="1"/>
    </row>
    <row r="8" spans="1:42" x14ac:dyDescent="0.35">
      <c r="A8" t="s">
        <v>190</v>
      </c>
      <c r="B8" s="1">
        <f t="shared" ref="B8:AE8" si="1">B6-B7</f>
        <v>211903482.29228386</v>
      </c>
      <c r="C8" s="1">
        <f t="shared" ca="1" si="1"/>
        <v>214071605.48573115</v>
      </c>
      <c r="D8" s="1">
        <f ca="1">D6-D7</f>
        <v>240565064.98814291</v>
      </c>
      <c r="E8" s="1">
        <f t="shared" ca="1" si="1"/>
        <v>267884571.5896956</v>
      </c>
      <c r="F8" s="1">
        <f t="shared" ca="1" si="1"/>
        <v>296055863.00220394</v>
      </c>
      <c r="G8" s="1">
        <f t="shared" ca="1" si="1"/>
        <v>325105478.27880883</v>
      </c>
      <c r="H8" s="1">
        <f t="shared" ca="1" si="1"/>
        <v>355060782.74440628</v>
      </c>
      <c r="I8" s="1">
        <f t="shared" ca="1" si="1"/>
        <v>385949993.70104843</v>
      </c>
      <c r="J8" s="1">
        <f t="shared" ca="1" si="1"/>
        <v>417802206.9323895</v>
      </c>
      <c r="K8" s="1">
        <f t="shared" ca="1" si="1"/>
        <v>450647424.03199047</v>
      </c>
      <c r="L8" s="1">
        <f t="shared" ca="1" si="1"/>
        <v>484516580.5810712</v>
      </c>
      <c r="M8" s="1">
        <f t="shared" ca="1" si="1"/>
        <v>519441575.20208824</v>
      </c>
      <c r="N8" s="1">
        <f t="shared" ca="1" si="1"/>
        <v>555455299.51533949</v>
      </c>
      <c r="O8" s="1">
        <f t="shared" ca="1" si="1"/>
        <v>592591669.02663589</v>
      </c>
      <c r="P8" s="1">
        <f t="shared" ca="1" si="1"/>
        <v>630885654.97495556</v>
      </c>
      <c r="Q8" s="1">
        <f t="shared" ca="1" si="1"/>
        <v>670373317.16988826</v>
      </c>
      <c r="R8" s="1">
        <f t="shared" ca="1" si="1"/>
        <v>711091837.84960639</v>
      </c>
      <c r="S8" s="1">
        <f t="shared" ca="1" si="1"/>
        <v>753079556.5910486</v>
      </c>
      <c r="T8" s="1">
        <f t="shared" ca="1" si="1"/>
        <v>796376006.30498922</v>
      </c>
      <c r="U8" s="1">
        <f t="shared" ca="1" si="1"/>
        <v>841021950.34967673</v>
      </c>
      <c r="V8" s="1">
        <f t="shared" ca="1" si="1"/>
        <v>887059420.79777205</v>
      </c>
      <c r="W8" s="1">
        <f t="shared" ca="1" si="1"/>
        <v>934531757.89239144</v>
      </c>
      <c r="X8" s="1">
        <f t="shared" ca="1" si="1"/>
        <v>983483650.72917342</v>
      </c>
      <c r="Y8" s="1">
        <f t="shared" ca="1" si="1"/>
        <v>1033961179.2024318</v>
      </c>
      <c r="Z8" s="1">
        <f t="shared" ca="1" si="1"/>
        <v>1086011857.2546358</v>
      </c>
      <c r="AA8" s="1">
        <f t="shared" ca="1" si="1"/>
        <v>1139684677.4696817</v>
      </c>
      <c r="AB8" s="1">
        <f t="shared" ca="1" si="1"/>
        <v>1195030157.0516658</v>
      </c>
      <c r="AC8" s="1">
        <f t="shared" ca="1" si="1"/>
        <v>1252100385.2321718</v>
      </c>
      <c r="AD8" s="1">
        <f t="shared" ca="1" si="1"/>
        <v>1310949072.1504135</v>
      </c>
      <c r="AE8" s="1">
        <f t="shared" ca="1" si="1"/>
        <v>1371631599.2519491</v>
      </c>
      <c r="AF8" s="1"/>
      <c r="AG8" s="1"/>
      <c r="AH8" s="1"/>
      <c r="AI8" s="1"/>
      <c r="AJ8" s="1"/>
      <c r="AK8" s="1"/>
      <c r="AL8" s="1"/>
      <c r="AM8" s="1"/>
      <c r="AN8" s="1"/>
      <c r="AO8" s="1"/>
      <c r="AP8" s="1"/>
    </row>
    <row r="10" spans="1:42" x14ac:dyDescent="0.35">
      <c r="A10" t="s">
        <v>17</v>
      </c>
      <c r="B10" s="1">
        <f>B8-B11</f>
        <v>161158482.29228386</v>
      </c>
      <c r="C10" s="1">
        <f ca="1">C8-C11</f>
        <v>139802355.7266205</v>
      </c>
      <c r="D10" s="1">
        <f ca="1">D8-D11</f>
        <v>146775196.30662149</v>
      </c>
      <c r="E10" s="1">
        <f t="shared" ref="E10:AE10" ca="1" si="2">E8-E11</f>
        <v>158035017.1360482</v>
      </c>
      <c r="F10" s="1">
        <f t="shared" ca="1" si="2"/>
        <v>173331155.22375709</v>
      </c>
      <c r="G10" s="1">
        <f ca="1">G8-G11</f>
        <v>191117827.85899949</v>
      </c>
      <c r="H10" s="1">
        <f t="shared" ca="1" si="2"/>
        <v>210409113.41852269</v>
      </c>
      <c r="I10" s="1">
        <f t="shared" ca="1" si="2"/>
        <v>231524677.06502593</v>
      </c>
      <c r="J10" s="1">
        <f t="shared" ca="1" si="2"/>
        <v>254190469.78579384</v>
      </c>
      <c r="K10" s="1">
        <f t="shared" ca="1" si="2"/>
        <v>277306148.52238405</v>
      </c>
      <c r="L10" s="1">
        <f t="shared" ca="1" si="2"/>
        <v>300941803.20786589</v>
      </c>
      <c r="M10" s="1">
        <f t="shared" ca="1" si="2"/>
        <v>325177283.6956256</v>
      </c>
      <c r="N10" s="1">
        <f t="shared" ca="1" si="2"/>
        <v>350103155.1789825</v>
      </c>
      <c r="O10" s="1">
        <f t="shared" ca="1" si="2"/>
        <v>375821731.09052044</v>
      </c>
      <c r="P10" s="1">
        <f t="shared" ca="1" si="2"/>
        <v>402448189.13286895</v>
      </c>
      <c r="Q10" s="1">
        <f t="shared" ca="1" si="2"/>
        <v>429324743.43443316</v>
      </c>
      <c r="R10" s="1">
        <f t="shared" ca="1" si="2"/>
        <v>456478247.61026913</v>
      </c>
      <c r="S10" s="1">
        <f t="shared" ca="1" si="2"/>
        <v>483940458.90404165</v>
      </c>
      <c r="T10" s="1">
        <f t="shared" ca="1" si="2"/>
        <v>511748544.58644831</v>
      </c>
      <c r="U10" s="1">
        <f t="shared" ca="1" si="2"/>
        <v>539945628.51992118</v>
      </c>
      <c r="V10" s="1">
        <f t="shared" ca="1" si="2"/>
        <v>568581380.65427351</v>
      </c>
      <c r="W10" s="1">
        <f t="shared" ca="1" si="2"/>
        <v>597712652.39267278</v>
      </c>
      <c r="X10" s="1">
        <f t="shared" ca="1" si="2"/>
        <v>627404160.95249021</v>
      </c>
      <c r="Y10" s="1">
        <f t="shared" ca="1" si="2"/>
        <v>657729226.04179513</v>
      </c>
      <c r="Z10" s="1">
        <f t="shared" ca="1" si="2"/>
        <v>688770562.38016164</v>
      </c>
      <c r="AA10" s="1">
        <f t="shared" ca="1" si="2"/>
        <v>720621131.81272602</v>
      </c>
      <c r="AB10" s="1">
        <f t="shared" ca="1" si="2"/>
        <v>753385058.99975324</v>
      </c>
      <c r="AC10" s="1">
        <f t="shared" ca="1" si="2"/>
        <v>787178614.91112661</v>
      </c>
      <c r="AD10" s="1">
        <f t="shared" ca="1" si="2"/>
        <v>822131272.61692119</v>
      </c>
      <c r="AE10" s="1">
        <f t="shared" ca="1" si="2"/>
        <v>858386840.14241898</v>
      </c>
      <c r="AF10" s="1"/>
      <c r="AG10" s="1"/>
      <c r="AH10" s="1"/>
      <c r="AI10" s="1"/>
      <c r="AJ10" s="1"/>
      <c r="AK10" s="1"/>
      <c r="AL10" s="1"/>
      <c r="AM10" s="1"/>
      <c r="AN10" s="1"/>
      <c r="AO10" s="1"/>
    </row>
    <row r="11" spans="1:42" x14ac:dyDescent="0.35">
      <c r="A11" t="s">
        <v>9</v>
      </c>
      <c r="B11" s="1">
        <f>Assumptions!$C$20</f>
        <v>50745000</v>
      </c>
      <c r="C11" s="1">
        <f ca="1">'Debt worksheet'!D5</f>
        <v>74269249.759110659</v>
      </c>
      <c r="D11" s="1">
        <f ca="1">'Debt worksheet'!E5</f>
        <v>93789868.681521401</v>
      </c>
      <c r="E11" s="1">
        <f ca="1">'Debt worksheet'!F5</f>
        <v>109849554.45364742</v>
      </c>
      <c r="F11" s="1">
        <f ca="1">'Debt worksheet'!G5</f>
        <v>122724707.77844687</v>
      </c>
      <c r="G11" s="1">
        <f ca="1">'Debt worksheet'!H5</f>
        <v>133987650.41980936</v>
      </c>
      <c r="H11" s="1">
        <f ca="1">'Debt worksheet'!I5</f>
        <v>144651669.3258836</v>
      </c>
      <c r="I11" s="1">
        <f ca="1">'Debt worksheet'!J5</f>
        <v>154425316.63602251</v>
      </c>
      <c r="J11" s="1">
        <f ca="1">'Debt worksheet'!K5</f>
        <v>163611737.14659566</v>
      </c>
      <c r="K11" s="1">
        <f ca="1">'Debt worksheet'!L5</f>
        <v>173341275.50960639</v>
      </c>
      <c r="L11" s="1">
        <f ca="1">'Debt worksheet'!M5</f>
        <v>183574777.3732053</v>
      </c>
      <c r="M11" s="1">
        <f ca="1">'Debt worksheet'!N5</f>
        <v>194264291.50646263</v>
      </c>
      <c r="N11" s="1">
        <f ca="1">'Debt worksheet'!O5</f>
        <v>205352144.336357</v>
      </c>
      <c r="O11" s="1">
        <f ca="1">'Debt worksheet'!P5</f>
        <v>216769937.93611544</v>
      </c>
      <c r="P11" s="1">
        <f ca="1">'Debt worksheet'!Q5</f>
        <v>228437465.84208661</v>
      </c>
      <c r="Q11" s="1">
        <f ca="1">'Debt worksheet'!R5</f>
        <v>241048573.7354551</v>
      </c>
      <c r="R11" s="1">
        <f ca="1">'Debt worksheet'!S5</f>
        <v>254613590.23933727</v>
      </c>
      <c r="S11" s="1">
        <f ca="1">'Debt worksheet'!T5</f>
        <v>269139097.68700695</v>
      </c>
      <c r="T11" s="1">
        <f ca="1">'Debt worksheet'!U5</f>
        <v>284627461.71854091</v>
      </c>
      <c r="U11" s="1">
        <f ca="1">'Debt worksheet'!V5</f>
        <v>301076321.82975554</v>
      </c>
      <c r="V11" s="1">
        <f ca="1">'Debt worksheet'!W5</f>
        <v>318478040.14349848</v>
      </c>
      <c r="W11" s="1">
        <f ca="1">'Debt worksheet'!X5</f>
        <v>336819105.49971867</v>
      </c>
      <c r="X11" s="1">
        <f ca="1">'Debt worksheet'!Y5</f>
        <v>356079489.77668321</v>
      </c>
      <c r="Y11" s="1">
        <f ca="1">'Debt worksheet'!Z5</f>
        <v>376231953.16063666</v>
      </c>
      <c r="Z11" s="1">
        <f ca="1">'Debt worksheet'!AA5</f>
        <v>397241294.87447417</v>
      </c>
      <c r="AA11" s="1">
        <f ca="1">'Debt worksheet'!AB5</f>
        <v>419063545.65695572</v>
      </c>
      <c r="AB11" s="1">
        <f ca="1">'Debt worksheet'!AC5</f>
        <v>441645098.05191255</v>
      </c>
      <c r="AC11" s="1">
        <f ca="1">'Debt worksheet'!AD5</f>
        <v>464921770.32104522</v>
      </c>
      <c r="AD11" s="1">
        <f ca="1">'Debt worksheet'!AE5</f>
        <v>488817799.53349233</v>
      </c>
      <c r="AE11" s="1">
        <f ca="1">'Debt worksheet'!AF5</f>
        <v>513244759.10953009</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Normal="100" workbookViewId="0">
      <pane xSplit="1" topLeftCell="B1" activePane="topRight" state="frozen"/>
      <selection sqref="A1:XFD1048576"/>
      <selection pane="topRight" sqref="A1:XFD1048576"/>
    </sheetView>
  </sheetViews>
  <sheetFormatPr defaultColWidth="18.83203125" defaultRowHeight="15.5" x14ac:dyDescent="0.35"/>
  <cols>
    <col min="1" max="1" width="35.6640625" bestFit="1" customWidth="1"/>
  </cols>
  <sheetData>
    <row r="1" spans="1:42" s="63" customFormat="1" ht="21" x14ac:dyDescent="0.5">
      <c r="A1" s="15" t="s">
        <v>164</v>
      </c>
    </row>
    <row r="2" spans="1:42" s="63"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3059175.2097223015</v>
      </c>
      <c r="D5" s="4">
        <f ca="1">'Profit and Loss'!D9</f>
        <v>7913475.6454248708</v>
      </c>
      <c r="E5" s="4">
        <f ca="1">'Profit and Loss'!E9</f>
        <v>12252299.821880326</v>
      </c>
      <c r="F5" s="4">
        <f ca="1">'Profit and Loss'!F9</f>
        <v>16342815.8082151</v>
      </c>
      <c r="G5" s="4">
        <f ca="1">'Profit and Loss'!G9</f>
        <v>18890001.50390853</v>
      </c>
      <c r="H5" s="4">
        <f ca="1">'Profit and Loss'!H9</f>
        <v>20453819.451845445</v>
      </c>
      <c r="I5" s="4">
        <f ca="1">'Profit and Loss'!I9</f>
        <v>22339961.87523422</v>
      </c>
      <c r="J5" s="4">
        <f ca="1">'Profit and Loss'!J9</f>
        <v>23954824.168731894</v>
      </c>
      <c r="K5" s="4">
        <f ca="1">'Profit and Loss'!K9</f>
        <v>24472226.146032099</v>
      </c>
      <c r="L5" s="4">
        <f ca="1">'Profit and Loss'!L9</f>
        <v>25062719.109733261</v>
      </c>
      <c r="M5" s="4">
        <f ca="1">'Profit and Loss'!M9</f>
        <v>25736185.911221504</v>
      </c>
      <c r="N5" s="4">
        <f ca="1">'Profit and Loss'!N9</f>
        <v>26503469.616007775</v>
      </c>
      <c r="O5" s="4">
        <f ca="1">'Profit and Loss'!O9</f>
        <v>27376451.16441258</v>
      </c>
      <c r="P5" s="4">
        <f ca="1">'Profit and Loss'!P9</f>
        <v>28368132.69065332</v>
      </c>
      <c r="Q5" s="4">
        <f ca="1">'Profit and Loss'!Q9</f>
        <v>28705693.842347987</v>
      </c>
      <c r="R5" s="4">
        <f ca="1">'Profit and Loss'!R9</f>
        <v>29073922.887377225</v>
      </c>
      <c r="S5" s="4">
        <f ca="1">'Profit and Loss'!S9</f>
        <v>29477878.00411002</v>
      </c>
      <c r="T5" s="4">
        <f ca="1">'Profit and Loss'!T9</f>
        <v>29923129.754702702</v>
      </c>
      <c r="U5" s="4">
        <f ca="1">'Profit and Loss'!U9</f>
        <v>30415801.476181559</v>
      </c>
      <c r="V5" s="4">
        <f ca="1">'Profit and Loss'!V9</f>
        <v>30962612.444449969</v>
      </c>
      <c r="W5" s="4">
        <f ca="1">'Profit and Loss'!W9</f>
        <v>31570923.986234911</v>
      </c>
      <c r="X5" s="4">
        <f ca="1">'Profit and Loss'!X9</f>
        <v>32248788.724449076</v>
      </c>
      <c r="Y5" s="4">
        <f ca="1">'Profit and Loss'!Y9</f>
        <v>33005003.153505415</v>
      </c>
      <c r="Z5" s="4">
        <f ca="1">'Profit and Loss'!Z9</f>
        <v>33849163.75282006</v>
      </c>
      <c r="AA5" s="4">
        <f ca="1">'Profit and Loss'!AA9</f>
        <v>34791726.859109089</v>
      </c>
      <c r="AB5" s="4">
        <f ca="1">'Profit and Loss'!AB9</f>
        <v>35844072.531164624</v>
      </c>
      <c r="AC5" s="4">
        <f ca="1">'Profit and Loss'!AC9</f>
        <v>37018572.654624701</v>
      </c>
      <c r="AD5" s="4">
        <f ca="1">'Profit and Loss'!AD9</f>
        <v>38328663.548870489</v>
      </c>
      <c r="AE5" s="4">
        <f ca="1">'Profit and Loss'!AE9</f>
        <v>39788923.353642046</v>
      </c>
      <c r="AF5" s="4">
        <f ca="1">'Profit and Loss'!AF9</f>
        <v>41415154.489298008</v>
      </c>
      <c r="AG5" s="4"/>
      <c r="AH5" s="4"/>
      <c r="AI5" s="4"/>
      <c r="AJ5" s="4"/>
      <c r="AK5" s="4"/>
      <c r="AL5" s="4"/>
      <c r="AM5" s="4"/>
      <c r="AN5" s="4"/>
      <c r="AO5" s="4"/>
      <c r="AP5" s="4"/>
    </row>
    <row r="6" spans="1:42" x14ac:dyDescent="0.35">
      <c r="A6" t="s">
        <v>21</v>
      </c>
      <c r="C6" s="4">
        <f>Depreciation!C8+Depreciation!C9</f>
        <v>7269804.5827161884</v>
      </c>
      <c r="D6" s="4">
        <f>Depreciation!D8+Depreciation!D9</f>
        <v>8160856.5989911612</v>
      </c>
      <c r="E6" s="4">
        <f>Depreciation!E8+Depreciation!E9</f>
        <v>9101491.6644150298</v>
      </c>
      <c r="F6" s="4">
        <f>Depreciation!F8+Depreciation!F9</f>
        <v>10093970.656868661</v>
      </c>
      <c r="G6" s="4">
        <f>Depreciation!G8+Depreciation!G9</f>
        <v>11140648.377374962</v>
      </c>
      <c r="H6" s="4">
        <f>Depreciation!H8+Depreciation!H9</f>
        <v>12243977.246041033</v>
      </c>
      <c r="I6" s="4">
        <f>Depreciation!I8+Depreciation!I9</f>
        <v>13406511.138363298</v>
      </c>
      <c r="J6" s="4">
        <f>Depreciation!J8+Depreciation!J9</f>
        <v>14630909.367094247</v>
      </c>
      <c r="K6" s="4">
        <f>Depreciation!K8+Depreciation!K9</f>
        <v>15919940.815058293</v>
      </c>
      <c r="L6" s="4">
        <f>Depreciation!L8+Depreciation!L9</f>
        <v>17276488.224500127</v>
      </c>
      <c r="M6" s="4">
        <f>Depreciation!M8+Depreciation!M9</f>
        <v>18703552.648751624</v>
      </c>
      <c r="N6" s="4">
        <f>Depreciation!N8+Depreciation!N9</f>
        <v>20204258.072213329</v>
      </c>
      <c r="O6" s="4">
        <f>Depreciation!O8+Depreciation!O9</f>
        <v>21781856.204864264</v>
      </c>
      <c r="P6" s="4">
        <f>Depreciation!P8+Depreciation!P9</f>
        <v>23439731.457738906</v>
      </c>
      <c r="Q6" s="4">
        <f>Depreciation!Q8+Depreciation!Q9</f>
        <v>25181406.106043741</v>
      </c>
      <c r="R6" s="4">
        <f>Depreciation!R8+Depreciation!R9</f>
        <v>27010545.64682737</v>
      </c>
      <c r="S6" s="4">
        <f>Depreciation!S8+Depreciation!S9</f>
        <v>28930964.358368561</v>
      </c>
      <c r="T6" s="4">
        <f>Depreciation!T8+Depreciation!T9</f>
        <v>30946631.068706032</v>
      </c>
      <c r="U6" s="4">
        <f>Depreciation!U8+Depreciation!U9</f>
        <v>33061675.141002133</v>
      </c>
      <c r="V6" s="4">
        <f>Depreciation!V8+Depreciation!V9</f>
        <v>35280392.683710843</v>
      </c>
      <c r="W6" s="4">
        <f>Depreciation!W8+Depreciation!W9</f>
        <v>37607252.993808508</v>
      </c>
      <c r="X6" s="4">
        <f>Depreciation!X8+Depreciation!X9</f>
        <v>40046905.241644301</v>
      </c>
      <c r="Y6" s="4">
        <f>Depreciation!Y8+Depreciation!Y9</f>
        <v>42604185.406275928</v>
      </c>
      <c r="Z6" s="4">
        <f>Depreciation!Z8+Depreciation!Z9</f>
        <v>45284123.470476545</v>
      </c>
      <c r="AA6" s="4">
        <f>Depreciation!AA8+Depreciation!AA9</f>
        <v>48091950.88492997</v>
      </c>
      <c r="AB6" s="4">
        <f>Depreciation!AB8+Depreciation!AB9</f>
        <v>51033108.311474651</v>
      </c>
      <c r="AC6" s="4">
        <f>Depreciation!AC8+Depreciation!AC9</f>
        <v>54113253.655612007</v>
      </c>
      <c r="AD6" s="4">
        <f>Depreciation!AD8+Depreciation!AD9</f>
        <v>57338270.398863226</v>
      </c>
      <c r="AE6" s="4">
        <f>Depreciation!AE8+Depreciation!AE9</f>
        <v>60714276.241939165</v>
      </c>
      <c r="AF6" s="4">
        <f>Depreciation!AF8+Depreciation!AF9</f>
        <v>64247632.070083514</v>
      </c>
      <c r="AG6" s="4"/>
      <c r="AH6" s="4"/>
      <c r="AI6" s="4"/>
      <c r="AJ6" s="4"/>
      <c r="AK6" s="4"/>
      <c r="AL6" s="4"/>
      <c r="AM6" s="4"/>
      <c r="AN6" s="4"/>
      <c r="AO6" s="4"/>
      <c r="AP6" s="4"/>
    </row>
    <row r="7" spans="1:42" x14ac:dyDescent="0.35">
      <c r="A7" t="s">
        <v>23</v>
      </c>
      <c r="C7" s="4">
        <f ca="1">C6+C5</f>
        <v>10328979.79243849</v>
      </c>
      <c r="D7" s="4">
        <f ca="1">D6+D5</f>
        <v>16074332.244416032</v>
      </c>
      <c r="E7" s="4">
        <f t="shared" ref="E7:AF7" ca="1" si="1">E6+E5</f>
        <v>21353791.486295357</v>
      </c>
      <c r="F7" s="4">
        <f t="shared" ca="1" si="1"/>
        <v>26436786.465083763</v>
      </c>
      <c r="G7" s="4">
        <f ca="1">G6+G5</f>
        <v>30030649.881283492</v>
      </c>
      <c r="H7" s="4">
        <f t="shared" ca="1" si="1"/>
        <v>32697796.697886478</v>
      </c>
      <c r="I7" s="4">
        <f t="shared" ca="1" si="1"/>
        <v>35746473.013597518</v>
      </c>
      <c r="J7" s="4">
        <f t="shared" ca="1" si="1"/>
        <v>38585733.535826139</v>
      </c>
      <c r="K7" s="4">
        <f t="shared" ca="1" si="1"/>
        <v>40392166.961090393</v>
      </c>
      <c r="L7" s="4">
        <f t="shared" ca="1" si="1"/>
        <v>42339207.334233388</v>
      </c>
      <c r="M7" s="4">
        <f t="shared" ca="1" si="1"/>
        <v>44439738.559973128</v>
      </c>
      <c r="N7" s="4">
        <f t="shared" ca="1" si="1"/>
        <v>46707727.688221104</v>
      </c>
      <c r="O7" s="4">
        <f t="shared" ca="1" si="1"/>
        <v>49158307.369276844</v>
      </c>
      <c r="P7" s="4">
        <f t="shared" ca="1" si="1"/>
        <v>51807864.14839223</v>
      </c>
      <c r="Q7" s="4">
        <f t="shared" ca="1" si="1"/>
        <v>53887099.948391728</v>
      </c>
      <c r="R7" s="4">
        <f t="shared" ca="1" si="1"/>
        <v>56084468.534204595</v>
      </c>
      <c r="S7" s="4">
        <f t="shared" ca="1" si="1"/>
        <v>58408842.362478584</v>
      </c>
      <c r="T7" s="4">
        <f t="shared" ca="1" si="1"/>
        <v>60869760.823408738</v>
      </c>
      <c r="U7" s="4">
        <f t="shared" ca="1" si="1"/>
        <v>63477476.617183693</v>
      </c>
      <c r="V7" s="4">
        <f t="shared" ca="1" si="1"/>
        <v>66243005.128160812</v>
      </c>
      <c r="W7" s="4">
        <f t="shared" ca="1" si="1"/>
        <v>69178176.980043411</v>
      </c>
      <c r="X7" s="4">
        <f t="shared" ca="1" si="1"/>
        <v>72295693.966093376</v>
      </c>
      <c r="Y7" s="4">
        <f t="shared" ca="1" si="1"/>
        <v>75609188.559781343</v>
      </c>
      <c r="Z7" s="4">
        <f t="shared" ca="1" si="1"/>
        <v>79133287.223296613</v>
      </c>
      <c r="AA7" s="4">
        <f t="shared" ca="1" si="1"/>
        <v>82883677.744039059</v>
      </c>
      <c r="AB7" s="4">
        <f t="shared" ca="1" si="1"/>
        <v>86877180.842639267</v>
      </c>
      <c r="AC7" s="4">
        <f t="shared" ca="1" si="1"/>
        <v>91131826.310236707</v>
      </c>
      <c r="AD7" s="4">
        <f t="shared" ca="1" si="1"/>
        <v>95666933.947733715</v>
      </c>
      <c r="AE7" s="4">
        <f t="shared" ca="1" si="1"/>
        <v>100503199.5955812</v>
      </c>
      <c r="AF7" s="4">
        <f t="shared" ca="1" si="1"/>
        <v>105662786.55938151</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x14ac:dyDescent="0.35">
      <c r="A10" t="s">
        <v>11</v>
      </c>
      <c r="C10" s="9">
        <f>Investment!C25</f>
        <v>33853229.551549152</v>
      </c>
      <c r="D10" s="9">
        <f>Investment!D25</f>
        <v>35594951.16682677</v>
      </c>
      <c r="E10" s="9">
        <f>Investment!E25</f>
        <v>37413477.258421376</v>
      </c>
      <c r="F10" s="9">
        <f>Investment!F25</f>
        <v>39311939.789883211</v>
      </c>
      <c r="G10" s="9">
        <f>Investment!G25</f>
        <v>41293592.52264598</v>
      </c>
      <c r="H10" s="9">
        <f>Investment!H25</f>
        <v>43361815.603960723</v>
      </c>
      <c r="I10" s="9">
        <f>Investment!I25</f>
        <v>45520120.323736414</v>
      </c>
      <c r="J10" s="9">
        <f>Investment!J25</f>
        <v>47772154.046399303</v>
      </c>
      <c r="K10" s="9">
        <f>Investment!K25</f>
        <v>50121705.324101128</v>
      </c>
      <c r="L10" s="9">
        <f>Investment!L25</f>
        <v>52572709.197832316</v>
      </c>
      <c r="M10" s="9">
        <f>Investment!M25</f>
        <v>55129252.693230443</v>
      </c>
      <c r="N10" s="9">
        <f>Investment!N25</f>
        <v>57795580.518115476</v>
      </c>
      <c r="O10" s="9">
        <f>Investment!O25</f>
        <v>60576100.969035283</v>
      </c>
      <c r="P10" s="9">
        <f>Investment!P25</f>
        <v>63475392.054363392</v>
      </c>
      <c r="Q10" s="9">
        <f>Investment!Q25</f>
        <v>66498207.841760196</v>
      </c>
      <c r="R10" s="9">
        <f>Investment!R25</f>
        <v>69649485.038086772</v>
      </c>
      <c r="S10" s="9">
        <f>Investment!S25</f>
        <v>72934349.810148269</v>
      </c>
      <c r="T10" s="9">
        <f>Investment!T25</f>
        <v>76358124.854942679</v>
      </c>
      <c r="U10" s="9">
        <f>Investment!U25</f>
        <v>79926336.728398338</v>
      </c>
      <c r="V10" s="9">
        <f>Investment!V25</f>
        <v>83644723.44190374</v>
      </c>
      <c r="W10" s="9">
        <f>Investment!W25</f>
        <v>87519242.336263582</v>
      </c>
      <c r="X10" s="9">
        <f>Investment!X25</f>
        <v>91556078.243057922</v>
      </c>
      <c r="Y10" s="9">
        <f>Investment!Y25</f>
        <v>95761651.94373478</v>
      </c>
      <c r="Z10" s="9">
        <f>Investment!Z25</f>
        <v>100142628.93713409</v>
      </c>
      <c r="AA10" s="9">
        <f>Investment!AA25</f>
        <v>104705928.52652058</v>
      </c>
      <c r="AB10" s="9">
        <f>Investment!AB25</f>
        <v>109458733.23759612</v>
      </c>
      <c r="AC10" s="9">
        <f>Investment!AC25</f>
        <v>114408498.57936938</v>
      </c>
      <c r="AD10" s="9">
        <f>Investment!AD25</f>
        <v>119562963.16018084</v>
      </c>
      <c r="AE10" s="9">
        <f>Investment!AE25</f>
        <v>124930159.17161894</v>
      </c>
      <c r="AF10" s="9">
        <f>Investment!AF25</f>
        <v>130518423.25351304</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-23524249.759110659</v>
      </c>
      <c r="D12" s="1">
        <f t="shared" ref="D12:AF12" ca="1" si="2">D7-D9-D10</f>
        <v>-19520618.922410738</v>
      </c>
      <c r="E12" s="1">
        <f ca="1">E7-E9-E10</f>
        <v>-16059685.772126019</v>
      </c>
      <c r="F12" s="1">
        <f t="shared" ca="1" si="2"/>
        <v>-12875153.324799448</v>
      </c>
      <c r="G12" s="1">
        <f ca="1">G7-G9-G10</f>
        <v>-11262942.641362488</v>
      </c>
      <c r="H12" s="1">
        <f t="shared" ca="1" si="2"/>
        <v>-10664018.906074245</v>
      </c>
      <c r="I12" s="1">
        <f t="shared" ca="1" si="2"/>
        <v>-9773647.3101388961</v>
      </c>
      <c r="J12" s="1">
        <f t="shared" ca="1" si="2"/>
        <v>-9186420.5105731636</v>
      </c>
      <c r="K12" s="1">
        <f t="shared" ca="1" si="2"/>
        <v>-9729538.3630107343</v>
      </c>
      <c r="L12" s="1">
        <f t="shared" ca="1" si="2"/>
        <v>-10233501.863598928</v>
      </c>
      <c r="M12" s="1">
        <f t="shared" ca="1" si="2"/>
        <v>-10689514.133257315</v>
      </c>
      <c r="N12" s="1">
        <f t="shared" ca="1" si="2"/>
        <v>-11087852.829894371</v>
      </c>
      <c r="O12" s="1">
        <f t="shared" ca="1" si="2"/>
        <v>-11417793.599758439</v>
      </c>
      <c r="P12" s="1">
        <f t="shared" ca="1" si="2"/>
        <v>-11667527.905971162</v>
      </c>
      <c r="Q12" s="1">
        <f t="shared" ca="1" si="2"/>
        <v>-12611107.893368468</v>
      </c>
      <c r="R12" s="1">
        <f t="shared" ca="1" si="2"/>
        <v>-13565016.503882177</v>
      </c>
      <c r="S12" s="1">
        <f t="shared" ca="1" si="2"/>
        <v>-14525507.447669685</v>
      </c>
      <c r="T12" s="1">
        <f t="shared" ca="1" si="2"/>
        <v>-15488364.031533942</v>
      </c>
      <c r="U12" s="1">
        <f t="shared" ca="1" si="2"/>
        <v>-16448860.111214645</v>
      </c>
      <c r="V12" s="1">
        <f t="shared" ca="1" si="2"/>
        <v>-17401718.313742928</v>
      </c>
      <c r="W12" s="1">
        <f t="shared" ca="1" si="2"/>
        <v>-18341065.356220171</v>
      </c>
      <c r="X12" s="1">
        <f t="shared" ca="1" si="2"/>
        <v>-19260384.276964545</v>
      </c>
      <c r="Y12" s="1">
        <f t="shared" ca="1" si="2"/>
        <v>-20152463.383953437</v>
      </c>
      <c r="Z12" s="1">
        <f t="shared" ca="1" si="2"/>
        <v>-21009341.713837475</v>
      </c>
      <c r="AA12" s="1">
        <f t="shared" ca="1" si="2"/>
        <v>-21822250.782481521</v>
      </c>
      <c r="AB12" s="1">
        <f t="shared" ca="1" si="2"/>
        <v>-22581552.394956857</v>
      </c>
      <c r="AC12" s="1">
        <f t="shared" ca="1" si="2"/>
        <v>-23276672.269132674</v>
      </c>
      <c r="AD12" s="1">
        <f t="shared" ca="1" si="2"/>
        <v>-23896029.212447122</v>
      </c>
      <c r="AE12" s="1">
        <f t="shared" ca="1" si="2"/>
        <v>-24426959.576037735</v>
      </c>
      <c r="AF12" s="1">
        <f t="shared" ca="1" si="2"/>
        <v>-24855636.694131523</v>
      </c>
      <c r="AG12" s="1"/>
      <c r="AH12" s="1"/>
      <c r="AI12" s="1"/>
      <c r="AJ12" s="1"/>
      <c r="AK12" s="1"/>
      <c r="AL12" s="1"/>
      <c r="AM12" s="1"/>
      <c r="AN12" s="1"/>
      <c r="AO12" s="1"/>
      <c r="AP12" s="1"/>
    </row>
    <row r="13" spans="1:42" x14ac:dyDescent="0.35">
      <c r="A13" t="s">
        <v>19</v>
      </c>
      <c r="C13" s="1">
        <f ca="1">C12</f>
        <v>-23524249.759110659</v>
      </c>
      <c r="D13" s="1">
        <f ca="1">D12</f>
        <v>-19520618.922410738</v>
      </c>
      <c r="E13" s="1">
        <f ca="1">E12</f>
        <v>-16059685.772126019</v>
      </c>
      <c r="F13" s="1">
        <f t="shared" ref="F13:AF13" ca="1" si="3">F12</f>
        <v>-12875153.324799448</v>
      </c>
      <c r="G13" s="1">
        <f ca="1">G12</f>
        <v>-11262942.641362488</v>
      </c>
      <c r="H13" s="1">
        <f t="shared" ca="1" si="3"/>
        <v>-10664018.906074245</v>
      </c>
      <c r="I13" s="1">
        <f t="shared" ca="1" si="3"/>
        <v>-9773647.3101388961</v>
      </c>
      <c r="J13" s="1">
        <f t="shared" ca="1" si="3"/>
        <v>-9186420.5105731636</v>
      </c>
      <c r="K13" s="1">
        <f t="shared" ca="1" si="3"/>
        <v>-9729538.3630107343</v>
      </c>
      <c r="L13" s="1">
        <f t="shared" ca="1" si="3"/>
        <v>-10233501.863598928</v>
      </c>
      <c r="M13" s="1">
        <f t="shared" ca="1" si="3"/>
        <v>-10689514.133257315</v>
      </c>
      <c r="N13" s="1">
        <f t="shared" ca="1" si="3"/>
        <v>-11087852.829894371</v>
      </c>
      <c r="O13" s="1">
        <f t="shared" ca="1" si="3"/>
        <v>-11417793.599758439</v>
      </c>
      <c r="P13" s="1">
        <f t="shared" ca="1" si="3"/>
        <v>-11667527.905971162</v>
      </c>
      <c r="Q13" s="1">
        <f t="shared" ca="1" si="3"/>
        <v>-12611107.893368468</v>
      </c>
      <c r="R13" s="1">
        <f t="shared" ca="1" si="3"/>
        <v>-13565016.503882177</v>
      </c>
      <c r="S13" s="1">
        <f t="shared" ca="1" si="3"/>
        <v>-14525507.447669685</v>
      </c>
      <c r="T13" s="1">
        <f t="shared" ca="1" si="3"/>
        <v>-15488364.031533942</v>
      </c>
      <c r="U13" s="1">
        <f t="shared" ca="1" si="3"/>
        <v>-16448860.111214645</v>
      </c>
      <c r="V13" s="1">
        <f t="shared" ca="1" si="3"/>
        <v>-17401718.313742928</v>
      </c>
      <c r="W13" s="1">
        <f t="shared" ca="1" si="3"/>
        <v>-18341065.356220171</v>
      </c>
      <c r="X13" s="1">
        <f t="shared" ca="1" si="3"/>
        <v>-19260384.276964545</v>
      </c>
      <c r="Y13" s="1">
        <f t="shared" ca="1" si="3"/>
        <v>-20152463.383953437</v>
      </c>
      <c r="Z13" s="1">
        <f t="shared" ca="1" si="3"/>
        <v>-21009341.713837475</v>
      </c>
      <c r="AA13" s="1">
        <f t="shared" ca="1" si="3"/>
        <v>-21822250.782481521</v>
      </c>
      <c r="AB13" s="1">
        <f t="shared" ca="1" si="3"/>
        <v>-22581552.394956857</v>
      </c>
      <c r="AC13" s="1">
        <f t="shared" ca="1" si="3"/>
        <v>-23276672.269132674</v>
      </c>
      <c r="AD13" s="1">
        <f t="shared" ca="1" si="3"/>
        <v>-23896029.212447122</v>
      </c>
      <c r="AE13" s="1">
        <f t="shared" ca="1" si="3"/>
        <v>-24426959.576037735</v>
      </c>
      <c r="AF13" s="1">
        <f t="shared" ca="1" si="3"/>
        <v>-24855636.694131523</v>
      </c>
      <c r="AG13" s="1"/>
      <c r="AH13" s="1"/>
      <c r="AI13" s="1"/>
      <c r="AJ13" s="1"/>
      <c r="AK13" s="1"/>
      <c r="AL13" s="1"/>
      <c r="AM13" s="1"/>
      <c r="AN13" s="1"/>
      <c r="AO13" s="1"/>
      <c r="AP13" s="1"/>
    </row>
    <row r="16" spans="1:42" x14ac:dyDescent="0.35">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bjU/PPDjnHB4jT7UcFmsf3zdUvCmMj0Z3nKpq+EEfT/ArnQeQYGhTbV6obk48tsTw+fpHFpywIWPW52yTg8gqA==" saltValue="VGrm/p6+K6a9z6VT48OYo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Normal="100" workbookViewId="0">
      <pane xSplit="1" topLeftCell="B1" activePane="topRight" state="frozen"/>
      <selection sqref="A1:XFD1048576"/>
      <selection pane="topRight"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3" customFormat="1" ht="21" x14ac:dyDescent="0.5">
      <c r="A1" s="15" t="s">
        <v>21</v>
      </c>
    </row>
    <row r="2" spans="1:59" s="63"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138</v>
      </c>
      <c r="C6" s="9">
        <f>Assumptions!C17</f>
        <v>438346573.75000006</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219173286.87500003</v>
      </c>
      <c r="D7" s="9">
        <f>C12</f>
        <v>226443091.4577162</v>
      </c>
      <c r="E7" s="9">
        <f>D12</f>
        <v>234603948.05670735</v>
      </c>
      <c r="F7" s="9">
        <f t="shared" ref="F7:H7" si="1">E12</f>
        <v>243705439.72112238</v>
      </c>
      <c r="G7" s="9">
        <f t="shared" si="1"/>
        <v>253799410.37799105</v>
      </c>
      <c r="H7" s="9">
        <f t="shared" si="1"/>
        <v>264940058.755366</v>
      </c>
      <c r="I7" s="9">
        <f t="shared" ref="I7" si="2">H12</f>
        <v>277184036.00140703</v>
      </c>
      <c r="J7" s="9">
        <f t="shared" ref="J7" si="3">I12</f>
        <v>290590547.13977033</v>
      </c>
      <c r="K7" s="9">
        <f t="shared" ref="K7" si="4">J12</f>
        <v>305221456.50686461</v>
      </c>
      <c r="L7" s="9">
        <f t="shared" ref="L7" si="5">K12</f>
        <v>321141397.3219229</v>
      </c>
      <c r="M7" s="9">
        <f t="shared" ref="M7" si="6">L12</f>
        <v>338417885.54642302</v>
      </c>
      <c r="N7" s="9">
        <f t="shared" ref="N7" si="7">M12</f>
        <v>357121438.19517463</v>
      </c>
      <c r="O7" s="9">
        <f t="shared" ref="O7" si="8">N12</f>
        <v>377325696.26738799</v>
      </c>
      <c r="P7" s="9">
        <f t="shared" ref="P7" si="9">O12</f>
        <v>399107552.47225225</v>
      </c>
      <c r="Q7" s="9">
        <f t="shared" ref="Q7" si="10">P12</f>
        <v>422547283.92999119</v>
      </c>
      <c r="R7" s="9">
        <f t="shared" ref="R7" si="11">Q12</f>
        <v>447728690.03603488</v>
      </c>
      <c r="S7" s="9">
        <f t="shared" ref="S7" si="12">R12</f>
        <v>474739235.68286228</v>
      </c>
      <c r="T7" s="9">
        <f t="shared" ref="T7" si="13">S12</f>
        <v>503670200.0412308</v>
      </c>
      <c r="U7" s="9">
        <f t="shared" ref="U7" si="14">T12</f>
        <v>534616831.10993683</v>
      </c>
      <c r="V7" s="9">
        <f t="shared" ref="V7" si="15">U12</f>
        <v>567678506.25093901</v>
      </c>
      <c r="W7" s="9">
        <f t="shared" ref="W7" si="16">V12</f>
        <v>602958898.93464983</v>
      </c>
      <c r="X7" s="9">
        <f t="shared" ref="X7" si="17">W12</f>
        <v>640566151.92845833</v>
      </c>
      <c r="Y7" s="9">
        <f t="shared" ref="Y7" si="18">X12</f>
        <v>680613057.1701026</v>
      </c>
      <c r="Z7" s="9">
        <f t="shared" ref="Z7" si="19">Y12</f>
        <v>723217242.57637858</v>
      </c>
      <c r="AA7" s="9">
        <f t="shared" ref="AA7" si="20">Z12</f>
        <v>768501366.04685509</v>
      </c>
      <c r="AB7" s="9">
        <f t="shared" ref="AB7" si="21">AA12</f>
        <v>816593316.93178511</v>
      </c>
      <c r="AC7" s="9">
        <f t="shared" ref="AC7" si="22">AB12</f>
        <v>867626425.24325979</v>
      </c>
      <c r="AD7" s="9">
        <f t="shared" ref="AD7" si="23">AC12</f>
        <v>921739678.89887178</v>
      </c>
      <c r="AE7" s="9">
        <f t="shared" ref="AE7" si="24">AD12</f>
        <v>979077949.29773498</v>
      </c>
      <c r="AF7" s="9">
        <f t="shared" ref="AF7" si="25">AE12</f>
        <v>1039792225.5396742</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139</v>
      </c>
      <c r="C8" s="9">
        <f>Assumptions!D111*Assumptions!D11</f>
        <v>6631802.3834641976</v>
      </c>
      <c r="D8" s="9">
        <f>Assumptions!E111*Assumptions!E11</f>
        <v>6844020.0597350514</v>
      </c>
      <c r="E8" s="9">
        <f>Assumptions!F111*Assumptions!F11</f>
        <v>7063028.7016465729</v>
      </c>
      <c r="F8" s="9">
        <f>Assumptions!G111*Assumptions!G11</f>
        <v>7289045.6200992633</v>
      </c>
      <c r="G8" s="9">
        <f>Assumptions!H111*Assumptions!H11</f>
        <v>7522295.0799424406</v>
      </c>
      <c r="H8" s="9">
        <f>Assumptions!I111*Assumptions!I11</f>
        <v>7763008.5225005979</v>
      </c>
      <c r="I8" s="9">
        <f>Assumptions!J111*Assumptions!J11</f>
        <v>8011424.7952206153</v>
      </c>
      <c r="J8" s="9">
        <f>Assumptions!K111*Assumptions!K11</f>
        <v>8267790.3886676766</v>
      </c>
      <c r="K8" s="9">
        <f>Assumptions!L111*Assumptions!L11</f>
        <v>8532359.6811050437</v>
      </c>
      <c r="L8" s="9">
        <f>Assumptions!M111*Assumptions!M11</f>
        <v>8805395.190900404</v>
      </c>
      <c r="M8" s="9">
        <f>Assumptions!N111*Assumptions!N11</f>
        <v>9087167.8370092157</v>
      </c>
      <c r="N8" s="9">
        <f>Assumptions!O111*Assumptions!O11</f>
        <v>9377957.2077935115</v>
      </c>
      <c r="O8" s="9">
        <f>Assumptions!P111*Assumptions!P11</f>
        <v>9678051.8384429049</v>
      </c>
      <c r="P8" s="9">
        <f>Assumptions!Q111*Assumptions!Q11</f>
        <v>9987749.4972730763</v>
      </c>
      <c r="Q8" s="9">
        <f>Assumptions!R111*Assumptions!R11</f>
        <v>10307357.481185813</v>
      </c>
      <c r="R8" s="9">
        <f>Assumptions!S111*Assumptions!S11</f>
        <v>10637192.92058376</v>
      </c>
      <c r="S8" s="9">
        <f>Assumptions!T111*Assumptions!T11</f>
        <v>10977583.094042443</v>
      </c>
      <c r="T8" s="9">
        <f>Assumptions!U111*Assumptions!U11</f>
        <v>11328865.753051799</v>
      </c>
      <c r="U8" s="9">
        <f>Assumptions!V111*Assumptions!V11</f>
        <v>11691389.457149455</v>
      </c>
      <c r="V8" s="9">
        <f>Assumptions!W111*Assumptions!W11</f>
        <v>12065513.919778239</v>
      </c>
      <c r="W8" s="9">
        <f>Assumptions!X111*Assumptions!X11</f>
        <v>12451610.365211144</v>
      </c>
      <c r="X8" s="9">
        <f>Assumptions!Y111*Assumptions!Y11</f>
        <v>12850061.896897899</v>
      </c>
      <c r="Y8" s="9">
        <f>Assumptions!Z111*Assumptions!Z11</f>
        <v>13261263.87759863</v>
      </c>
      <c r="Z8" s="9">
        <f>Assumptions!AA111*Assumptions!AA11</f>
        <v>13685624.321681786</v>
      </c>
      <c r="AA8" s="9">
        <f>Assumptions!AB111*Assumptions!AB11</f>
        <v>14123564.299975608</v>
      </c>
      <c r="AB8" s="9">
        <f>Assumptions!AC111*Assumptions!AC11</f>
        <v>14575518.357574824</v>
      </c>
      <c r="AC8" s="9">
        <f>Assumptions!AD111*Assumptions!AD11</f>
        <v>15041934.945017217</v>
      </c>
      <c r="AD8" s="9">
        <f>Assumptions!AE111*Assumptions!AE11</f>
        <v>15523276.863257769</v>
      </c>
      <c r="AE8" s="9">
        <f>Assumptions!AF111*Assumptions!AF11</f>
        <v>16020021.722882017</v>
      </c>
      <c r="AF8" s="9">
        <f>Assumptions!AG111*Assumptions!AG11</f>
        <v>16532662.41801424</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Assumptions!D120*Assumptions!D11</f>
        <v>638002.199251991</v>
      </c>
      <c r="D9" s="9">
        <f>Assumptions!E120*Assumptions!E11</f>
        <v>1316836.5392561094</v>
      </c>
      <c r="E9" s="9">
        <f>Assumptions!F120*Assumptions!F11</f>
        <v>2038462.9627684574</v>
      </c>
      <c r="F9" s="9">
        <f>Assumptions!G120*Assumptions!G11</f>
        <v>2804925.0367693971</v>
      </c>
      <c r="G9" s="9">
        <f>Assumptions!H120*Assumptions!H11</f>
        <v>3618353.2974325218</v>
      </c>
      <c r="H9" s="9">
        <f>Assumptions!I120*Assumptions!I11</f>
        <v>4480968.7235404346</v>
      </c>
      <c r="I9" s="9">
        <f>Assumptions!J120*Assumptions!J11</f>
        <v>5395086.3431426827</v>
      </c>
      <c r="J9" s="9">
        <f>Assumptions!K120*Assumptions!K11</f>
        <v>6363118.9784265701</v>
      </c>
      <c r="K9" s="9">
        <f>Assumptions!L120*Assumptions!L11</f>
        <v>7387581.1339532491</v>
      </c>
      <c r="L9" s="9">
        <f>Assumptions!M120*Assumptions!M11</f>
        <v>8471093.0335997231</v>
      </c>
      <c r="M9" s="9">
        <f>Assumptions!N120*Assumptions!N11</f>
        <v>9616384.8117424082</v>
      </c>
      <c r="N9" s="9">
        <f>Assumptions!O120*Assumptions!O11</f>
        <v>10826300.864419816</v>
      </c>
      <c r="O9" s="9">
        <f>Assumptions!P120*Assumptions!P11</f>
        <v>12103804.366421357</v>
      </c>
      <c r="P9" s="9">
        <f>Assumptions!Q120*Assumptions!Q11</f>
        <v>13451981.960465828</v>
      </c>
      <c r="Q9" s="9">
        <f>Assumptions!R120*Assumptions!R11</f>
        <v>14874048.624857927</v>
      </c>
      <c r="R9" s="9">
        <f>Assumptions!S120*Assumptions!S11</f>
        <v>16373352.726243611</v>
      </c>
      <c r="S9" s="9">
        <f>Assumptions!T120*Assumptions!T11</f>
        <v>17953381.264326118</v>
      </c>
      <c r="T9" s="9">
        <f>Assumptions!U120*Assumptions!U11</f>
        <v>19617765.315654233</v>
      </c>
      <c r="U9" s="9">
        <f>Assumptions!V120*Assumptions!V11</f>
        <v>21370285.683852676</v>
      </c>
      <c r="V9" s="9">
        <f>Assumptions!W120*Assumptions!W11</f>
        <v>23214878.763932601</v>
      </c>
      <c r="W9" s="9">
        <f>Assumptions!X120*Assumptions!X11</f>
        <v>25155642.628597364</v>
      </c>
      <c r="X9" s="9">
        <f>Assumptions!Y120*Assumptions!Y11</f>
        <v>27196843.3447464</v>
      </c>
      <c r="Y9" s="9">
        <f>Assumptions!Z120*Assumptions!Z11</f>
        <v>29342921.528677296</v>
      </c>
      <c r="Z9" s="9">
        <f>Assumptions!AA120*Assumptions!AA11</f>
        <v>31598499.148794759</v>
      </c>
      <c r="AA9" s="9">
        <f>Assumptions!AB120*Assumptions!AB11</f>
        <v>33968386.584954366</v>
      </c>
      <c r="AB9" s="9">
        <f>Assumptions!AC120*Assumptions!AC11</f>
        <v>36457589.953899823</v>
      </c>
      <c r="AC9" s="9">
        <f>Assumptions!AD120*Assumptions!AD11</f>
        <v>39071318.710594788</v>
      </c>
      <c r="AD9" s="9">
        <f>Assumptions!AE120*Assumptions!AE11</f>
        <v>41814993.535605453</v>
      </c>
      <c r="AE9" s="9">
        <f>Assumptions!AF120*Assumptions!AF11</f>
        <v>44694254.519057147</v>
      </c>
      <c r="AF9" s="9">
        <f>Assumptions!AG120*Assumptions!AG11</f>
        <v>47714969.652069278</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35</v>
      </c>
      <c r="C10" s="9">
        <f>SUM($C$8:C9)</f>
        <v>7269804.5827161884</v>
      </c>
      <c r="D10" s="9">
        <f>SUM($C$8:D9)</f>
        <v>15430661.181707349</v>
      </c>
      <c r="E10" s="9">
        <f>SUM($C$8:E9)</f>
        <v>24532152.84612238</v>
      </c>
      <c r="F10" s="9">
        <f>SUM($C$8:F9)</f>
        <v>34626123.502991036</v>
      </c>
      <c r="G10" s="9">
        <f>SUM($C$8:G9)</f>
        <v>45766771.880366005</v>
      </c>
      <c r="H10" s="9">
        <f>SUM($C$8:H9)</f>
        <v>58010749.126407035</v>
      </c>
      <c r="I10" s="9">
        <f>SUM($C$8:I9)</f>
        <v>71417260.264770329</v>
      </c>
      <c r="J10" s="9">
        <f>SUM($C$8:J9)</f>
        <v>86048169.631864607</v>
      </c>
      <c r="K10" s="9">
        <f>SUM($C$8:K9)</f>
        <v>101968110.44692288</v>
      </c>
      <c r="L10" s="9">
        <f>SUM($C$8:L9)</f>
        <v>119244598.671423</v>
      </c>
      <c r="M10" s="9">
        <f>SUM($C$8:M9)</f>
        <v>137948151.32017463</v>
      </c>
      <c r="N10" s="9">
        <f>SUM($C$8:N9)</f>
        <v>158152409.39238796</v>
      </c>
      <c r="O10" s="9">
        <f>SUM($C$8:O9)</f>
        <v>179934265.59725225</v>
      </c>
      <c r="P10" s="9">
        <f>SUM($C$8:P9)</f>
        <v>203373997.0549911</v>
      </c>
      <c r="Q10" s="9">
        <f>SUM($C$8:Q9)</f>
        <v>228555403.16103482</v>
      </c>
      <c r="R10" s="9">
        <f>SUM($C$8:R9)</f>
        <v>255565948.80786222</v>
      </c>
      <c r="S10" s="9">
        <f>SUM($C$8:S9)</f>
        <v>284496913.16623074</v>
      </c>
      <c r="T10" s="9">
        <f>SUM($C$8:T9)</f>
        <v>315443544.23493677</v>
      </c>
      <c r="U10" s="9">
        <f>SUM($C$8:U9)</f>
        <v>348505219.37593889</v>
      </c>
      <c r="V10" s="9">
        <f>SUM($C$8:V9)</f>
        <v>383785612.05964971</v>
      </c>
      <c r="W10" s="9">
        <f>SUM($C$8:W9)</f>
        <v>421392865.05345821</v>
      </c>
      <c r="X10" s="9">
        <f>SUM($C$8:X9)</f>
        <v>461439770.29510248</v>
      </c>
      <c r="Y10" s="9">
        <f>SUM($C$8:Y9)</f>
        <v>504043955.70137846</v>
      </c>
      <c r="Z10" s="9">
        <f>SUM($C$8:Z9)</f>
        <v>549328079.17185497</v>
      </c>
      <c r="AA10" s="9">
        <f>SUM($C$8:AA9)</f>
        <v>597420030.05678499</v>
      </c>
      <c r="AB10" s="9">
        <f>SUM($C$8:AB9)</f>
        <v>648453138.36825979</v>
      </c>
      <c r="AC10" s="9">
        <f>SUM($C$8:AC9)</f>
        <v>702566392.02387178</v>
      </c>
      <c r="AD10" s="9">
        <f>SUM($C$8:AD9)</f>
        <v>759904662.42273498</v>
      </c>
      <c r="AE10" s="9">
        <f>SUM($C$8:AE9)</f>
        <v>820618938.66467416</v>
      </c>
      <c r="AF10" s="9">
        <f>SUM($C$8:AF9)</f>
        <v>884866570.73475766</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226443091.4577162</v>
      </c>
      <c r="D12" s="9">
        <f>D7+D8+D9</f>
        <v>234603948.05670735</v>
      </c>
      <c r="E12" s="9">
        <f>E7+E8+E9</f>
        <v>243705439.72112238</v>
      </c>
      <c r="F12" s="9">
        <f t="shared" ref="F12:H12" si="26">F7+F8+F9</f>
        <v>253799410.37799105</v>
      </c>
      <c r="G12" s="9">
        <f t="shared" si="26"/>
        <v>264940058.755366</v>
      </c>
      <c r="H12" s="9">
        <f t="shared" si="26"/>
        <v>277184036.00140703</v>
      </c>
      <c r="I12" s="9">
        <f t="shared" ref="I12:AF12" si="27">I7+I8+I9</f>
        <v>290590547.13977033</v>
      </c>
      <c r="J12" s="9">
        <f t="shared" si="27"/>
        <v>305221456.50686461</v>
      </c>
      <c r="K12" s="9">
        <f t="shared" si="27"/>
        <v>321141397.3219229</v>
      </c>
      <c r="L12" s="9">
        <f t="shared" si="27"/>
        <v>338417885.54642302</v>
      </c>
      <c r="M12" s="9">
        <f t="shared" si="27"/>
        <v>357121438.19517463</v>
      </c>
      <c r="N12" s="9">
        <f t="shared" si="27"/>
        <v>377325696.26738799</v>
      </c>
      <c r="O12" s="9">
        <f t="shared" si="27"/>
        <v>399107552.47225225</v>
      </c>
      <c r="P12" s="9">
        <f t="shared" si="27"/>
        <v>422547283.92999119</v>
      </c>
      <c r="Q12" s="9">
        <f t="shared" si="27"/>
        <v>447728690.03603488</v>
      </c>
      <c r="R12" s="9">
        <f t="shared" si="27"/>
        <v>474739235.68286228</v>
      </c>
      <c r="S12" s="9">
        <f t="shared" si="27"/>
        <v>503670200.0412308</v>
      </c>
      <c r="T12" s="9">
        <f t="shared" si="27"/>
        <v>534616831.10993683</v>
      </c>
      <c r="U12" s="9">
        <f t="shared" si="27"/>
        <v>567678506.25093901</v>
      </c>
      <c r="V12" s="9">
        <f t="shared" si="27"/>
        <v>602958898.93464983</v>
      </c>
      <c r="W12" s="9">
        <f t="shared" si="27"/>
        <v>640566151.92845833</v>
      </c>
      <c r="X12" s="9">
        <f t="shared" si="27"/>
        <v>680613057.1701026</v>
      </c>
      <c r="Y12" s="9">
        <f t="shared" si="27"/>
        <v>723217242.57637858</v>
      </c>
      <c r="Z12" s="9">
        <f t="shared" si="27"/>
        <v>768501366.04685509</v>
      </c>
      <c r="AA12" s="9">
        <f t="shared" si="27"/>
        <v>816593316.93178511</v>
      </c>
      <c r="AB12" s="9">
        <f t="shared" si="27"/>
        <v>867626425.24325979</v>
      </c>
      <c r="AC12" s="9">
        <f t="shared" si="27"/>
        <v>921739678.89887178</v>
      </c>
      <c r="AD12" s="9">
        <f t="shared" si="27"/>
        <v>979077949.29773498</v>
      </c>
      <c r="AE12" s="9">
        <f t="shared" si="27"/>
        <v>1039792225.5396742</v>
      </c>
      <c r="AF12" s="9">
        <f t="shared" si="27"/>
        <v>1104039857.6097577</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33853229.551549152</v>
      </c>
      <c r="D18" s="9">
        <f>Investment!D25</f>
        <v>35594951.16682677</v>
      </c>
      <c r="E18" s="9">
        <f>Investment!E25</f>
        <v>37413477.258421376</v>
      </c>
      <c r="F18" s="9">
        <f>Investment!F25</f>
        <v>39311939.789883211</v>
      </c>
      <c r="G18" s="9">
        <f>Investment!G25</f>
        <v>41293592.52264598</v>
      </c>
      <c r="H18" s="9">
        <f>Investment!H25</f>
        <v>43361815.603960723</v>
      </c>
      <c r="I18" s="9">
        <f>Investment!I25</f>
        <v>45520120.323736414</v>
      </c>
      <c r="J18" s="9">
        <f>Investment!J25</f>
        <v>47772154.046399303</v>
      </c>
      <c r="K18" s="9">
        <f>Investment!K25</f>
        <v>50121705.324101128</v>
      </c>
      <c r="L18" s="9">
        <f>Investment!L25</f>
        <v>52572709.197832316</v>
      </c>
      <c r="M18" s="9">
        <f>Investment!M25</f>
        <v>55129252.693230443</v>
      </c>
      <c r="N18" s="9">
        <f>Investment!N25</f>
        <v>57795580.518115476</v>
      </c>
      <c r="O18" s="9">
        <f>Investment!O25</f>
        <v>60576100.969035283</v>
      </c>
      <c r="P18" s="9">
        <f>Investment!P25</f>
        <v>63475392.054363392</v>
      </c>
      <c r="Q18" s="9">
        <f>Investment!Q25</f>
        <v>66498207.841760196</v>
      </c>
      <c r="R18" s="9">
        <f>Investment!R25</f>
        <v>69649485.038086772</v>
      </c>
      <c r="S18" s="9">
        <f>Investment!S25</f>
        <v>72934349.810148269</v>
      </c>
      <c r="T18" s="9">
        <f>Investment!T25</f>
        <v>76358124.854942679</v>
      </c>
      <c r="U18" s="9">
        <f>Investment!U25</f>
        <v>79926336.728398338</v>
      </c>
      <c r="V18" s="9">
        <f>Investment!V25</f>
        <v>83644723.44190374</v>
      </c>
      <c r="W18" s="9">
        <f>Investment!W25</f>
        <v>87519242.336263582</v>
      </c>
      <c r="X18" s="9">
        <f>Investment!X25</f>
        <v>91556078.243057922</v>
      </c>
      <c r="Y18" s="9">
        <f>Investment!Y25</f>
        <v>95761651.94373478</v>
      </c>
      <c r="Z18" s="9">
        <f>Investment!Z25</f>
        <v>100142628.93713409</v>
      </c>
      <c r="AA18" s="9">
        <f>Investment!AA25</f>
        <v>104705928.52652058</v>
      </c>
      <c r="AB18" s="9">
        <f>Investment!AB25</f>
        <v>109458733.23759612</v>
      </c>
      <c r="AC18" s="9">
        <f>Investment!AC25</f>
        <v>114408498.57936938</v>
      </c>
      <c r="AD18" s="9">
        <f>Investment!AD25</f>
        <v>119562963.16018084</v>
      </c>
      <c r="AE18" s="9">
        <f>Investment!AE25</f>
        <v>124930159.17161894</v>
      </c>
      <c r="AF18" s="9">
        <f>Investment!AF25</f>
        <v>130518423.25351304</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44</v>
      </c>
      <c r="C19" s="9">
        <f>$C$6-C7+C18</f>
        <v>253026516.4265492</v>
      </c>
      <c r="D19" s="9">
        <f>D18+C20</f>
        <v>281351663.01065981</v>
      </c>
      <c r="E19" s="9">
        <f>E18+D20</f>
        <v>310604283.67009002</v>
      </c>
      <c r="F19" s="9">
        <f t="shared" ref="F19:AF19" si="28">F18+E20</f>
        <v>340814731.79555821</v>
      </c>
      <c r="G19" s="9">
        <f t="shared" si="28"/>
        <v>372014353.66133559</v>
      </c>
      <c r="H19" s="9">
        <f t="shared" si="28"/>
        <v>404235520.88792133</v>
      </c>
      <c r="I19" s="9">
        <f t="shared" si="28"/>
        <v>437511663.96561676</v>
      </c>
      <c r="J19" s="9">
        <f t="shared" si="28"/>
        <v>471877306.87365276</v>
      </c>
      <c r="K19" s="9">
        <f t="shared" si="28"/>
        <v>507368102.83065963</v>
      </c>
      <c r="L19" s="9">
        <f t="shared" si="28"/>
        <v>544020871.21343362</v>
      </c>
      <c r="M19" s="9">
        <f t="shared" si="28"/>
        <v>581873635.68216395</v>
      </c>
      <c r="N19" s="9">
        <f t="shared" si="28"/>
        <v>620965663.55152786</v>
      </c>
      <c r="O19" s="9">
        <f t="shared" si="28"/>
        <v>661337506.44834983</v>
      </c>
      <c r="P19" s="9">
        <f t="shared" si="28"/>
        <v>703031042.29784894</v>
      </c>
      <c r="Q19" s="9">
        <f t="shared" si="28"/>
        <v>746089518.68187022</v>
      </c>
      <c r="R19" s="9">
        <f t="shared" si="28"/>
        <v>790557597.6139133</v>
      </c>
      <c r="S19" s="9">
        <f t="shared" si="28"/>
        <v>836481401.7772342</v>
      </c>
      <c r="T19" s="9">
        <f t="shared" si="28"/>
        <v>883908562.27380836</v>
      </c>
      <c r="U19" s="9">
        <f t="shared" si="28"/>
        <v>932888267.93350065</v>
      </c>
      <c r="V19" s="9">
        <f t="shared" si="28"/>
        <v>983471316.23440218</v>
      </c>
      <c r="W19" s="9">
        <f t="shared" si="28"/>
        <v>1035710165.8869549</v>
      </c>
      <c r="X19" s="9">
        <f t="shared" si="28"/>
        <v>1089658991.1362042</v>
      </c>
      <c r="Y19" s="9">
        <f t="shared" si="28"/>
        <v>1145373737.838295</v>
      </c>
      <c r="Z19" s="9">
        <f t="shared" si="28"/>
        <v>1202912181.3691533</v>
      </c>
      <c r="AA19" s="9">
        <f t="shared" si="28"/>
        <v>1262333986.4251974</v>
      </c>
      <c r="AB19" s="9">
        <f t="shared" si="28"/>
        <v>1323700768.7778635</v>
      </c>
      <c r="AC19" s="9">
        <f t="shared" si="28"/>
        <v>1387076159.045758</v>
      </c>
      <c r="AD19" s="9">
        <f t="shared" si="28"/>
        <v>1452525868.5503268</v>
      </c>
      <c r="AE19" s="9">
        <f t="shared" si="28"/>
        <v>1520117757.3230824</v>
      </c>
      <c r="AF19" s="9">
        <f t="shared" si="28"/>
        <v>1589921904.3346565</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245756711.84383303</v>
      </c>
      <c r="D20" s="9">
        <f>D19-D8-D9</f>
        <v>273190806.41166866</v>
      </c>
      <c r="E20" s="9">
        <f t="shared" ref="E20:AF20" si="29">E19-E8-E9</f>
        <v>301502792.00567502</v>
      </c>
      <c r="F20" s="9">
        <f t="shared" si="29"/>
        <v>330720761.13868958</v>
      </c>
      <c r="G20" s="9">
        <f t="shared" si="29"/>
        <v>360873705.28396058</v>
      </c>
      <c r="H20" s="9">
        <f t="shared" si="29"/>
        <v>391991543.64188033</v>
      </c>
      <c r="I20" s="9">
        <f t="shared" si="29"/>
        <v>424105152.82725346</v>
      </c>
      <c r="J20" s="9">
        <f t="shared" si="29"/>
        <v>457246397.50655848</v>
      </c>
      <c r="K20" s="9">
        <f t="shared" si="29"/>
        <v>491448162.01560134</v>
      </c>
      <c r="L20" s="9">
        <f t="shared" si="29"/>
        <v>526744382.9889335</v>
      </c>
      <c r="M20" s="9">
        <f t="shared" si="29"/>
        <v>563170083.03341234</v>
      </c>
      <c r="N20" s="9">
        <f t="shared" si="29"/>
        <v>600761405.47931457</v>
      </c>
      <c r="O20" s="9">
        <f t="shared" si="29"/>
        <v>639555650.24348557</v>
      </c>
      <c r="P20" s="9">
        <f t="shared" si="29"/>
        <v>679591310.84011006</v>
      </c>
      <c r="Q20" s="9">
        <f t="shared" si="29"/>
        <v>720908112.57582653</v>
      </c>
      <c r="R20" s="9">
        <f t="shared" si="29"/>
        <v>763547051.96708596</v>
      </c>
      <c r="S20" s="9">
        <f t="shared" si="29"/>
        <v>807550437.41886568</v>
      </c>
      <c r="T20" s="9">
        <f t="shared" si="29"/>
        <v>852961931.20510232</v>
      </c>
      <c r="U20" s="9">
        <f t="shared" si="29"/>
        <v>899826592.79249847</v>
      </c>
      <c r="V20" s="9">
        <f t="shared" si="29"/>
        <v>948190923.55069137</v>
      </c>
      <c r="W20" s="9">
        <f t="shared" si="29"/>
        <v>998102912.8931464</v>
      </c>
      <c r="X20" s="9">
        <f t="shared" si="29"/>
        <v>1049612085.8945601</v>
      </c>
      <c r="Y20" s="9">
        <f t="shared" si="29"/>
        <v>1102769552.4320192</v>
      </c>
      <c r="Z20" s="9">
        <f t="shared" si="29"/>
        <v>1157628057.8986769</v>
      </c>
      <c r="AA20" s="9">
        <f t="shared" si="29"/>
        <v>1214242035.5402675</v>
      </c>
      <c r="AB20" s="9">
        <f t="shared" si="29"/>
        <v>1272667660.4663887</v>
      </c>
      <c r="AC20" s="9">
        <f t="shared" si="29"/>
        <v>1332962905.390146</v>
      </c>
      <c r="AD20" s="9">
        <f t="shared" si="29"/>
        <v>1395187598.1514635</v>
      </c>
      <c r="AE20" s="9">
        <f t="shared" si="29"/>
        <v>1459403481.0811434</v>
      </c>
      <c r="AF20" s="9">
        <f t="shared" si="29"/>
        <v>1525674272.2645729</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36</v>
      </c>
      <c r="C22" s="9">
        <f>'Balance Sheet'!B11</f>
        <v>50745000</v>
      </c>
      <c r="D22" s="9">
        <f ca="1">'Balance Sheet'!C11</f>
        <v>74269249.759110659</v>
      </c>
      <c r="E22" s="9">
        <f ca="1">'Balance Sheet'!D11</f>
        <v>93789868.681521401</v>
      </c>
      <c r="F22" s="9">
        <f ca="1">'Balance Sheet'!E11</f>
        <v>109849554.45364742</v>
      </c>
      <c r="G22" s="9">
        <f ca="1">'Balance Sheet'!F11</f>
        <v>122724707.77844687</v>
      </c>
      <c r="H22" s="9">
        <f ca="1">'Balance Sheet'!G11</f>
        <v>133987650.41980936</v>
      </c>
      <c r="I22" s="9">
        <f ca="1">'Balance Sheet'!H11</f>
        <v>144651669.3258836</v>
      </c>
      <c r="J22" s="9">
        <f ca="1">'Balance Sheet'!I11</f>
        <v>154425316.63602251</v>
      </c>
      <c r="K22" s="9">
        <f ca="1">'Balance Sheet'!J11</f>
        <v>163611737.14659566</v>
      </c>
      <c r="L22" s="9">
        <f ca="1">'Balance Sheet'!K11</f>
        <v>173341275.50960639</v>
      </c>
      <c r="M22" s="9">
        <f ca="1">'Balance Sheet'!L11</f>
        <v>183574777.3732053</v>
      </c>
      <c r="N22" s="9">
        <f ca="1">'Balance Sheet'!M11</f>
        <v>194264291.50646263</v>
      </c>
      <c r="O22" s="9">
        <f ca="1">'Balance Sheet'!N11</f>
        <v>205352144.336357</v>
      </c>
      <c r="P22" s="9">
        <f ca="1">'Balance Sheet'!O11</f>
        <v>216769937.93611544</v>
      </c>
      <c r="Q22" s="9">
        <f ca="1">'Balance Sheet'!P11</f>
        <v>228437465.84208661</v>
      </c>
      <c r="R22" s="9">
        <f ca="1">'Balance Sheet'!Q11</f>
        <v>241048573.7354551</v>
      </c>
      <c r="S22" s="9">
        <f ca="1">'Balance Sheet'!R11</f>
        <v>254613590.23933727</v>
      </c>
      <c r="T22" s="9">
        <f ca="1">'Balance Sheet'!S11</f>
        <v>269139097.68700695</v>
      </c>
      <c r="U22" s="9">
        <f ca="1">'Balance Sheet'!T11</f>
        <v>284627461.71854091</v>
      </c>
      <c r="V22" s="9">
        <f ca="1">'Balance Sheet'!U11</f>
        <v>301076321.82975554</v>
      </c>
      <c r="W22" s="9">
        <f ca="1">'Balance Sheet'!V11</f>
        <v>318478040.14349848</v>
      </c>
      <c r="X22" s="9">
        <f ca="1">'Balance Sheet'!W11</f>
        <v>336819105.49971867</v>
      </c>
      <c r="Y22" s="9">
        <f ca="1">'Balance Sheet'!X11</f>
        <v>356079489.77668321</v>
      </c>
      <c r="Z22" s="9">
        <f ca="1">'Balance Sheet'!Y11</f>
        <v>376231953.16063666</v>
      </c>
      <c r="AA22" s="9">
        <f ca="1">'Balance Sheet'!Z11</f>
        <v>397241294.87447417</v>
      </c>
      <c r="AB22" s="9">
        <f ca="1">'Balance Sheet'!AA11</f>
        <v>419063545.65695572</v>
      </c>
      <c r="AC22" s="9">
        <f ca="1">'Balance Sheet'!AB11</f>
        <v>441645098.05191255</v>
      </c>
      <c r="AD22" s="9">
        <f ca="1">'Balance Sheet'!AC11</f>
        <v>464921770.32104522</v>
      </c>
      <c r="AE22" s="9">
        <f ca="1">'Balance Sheet'!AD11</f>
        <v>488817799.53349233</v>
      </c>
      <c r="AF22" s="9">
        <f ca="1">'Balance Sheet'!AE11</f>
        <v>513244759.10953009</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37</v>
      </c>
      <c r="C23" s="9">
        <f>C20-C22</f>
        <v>195011711.84383303</v>
      </c>
      <c r="D23" s="9">
        <f t="shared" ref="D23:AF23" ca="1" si="30">D20-D22</f>
        <v>198921556.652558</v>
      </c>
      <c r="E23" s="9">
        <f t="shared" ca="1" si="30"/>
        <v>207712923.3241536</v>
      </c>
      <c r="F23" s="9">
        <f t="shared" ca="1" si="30"/>
        <v>220871206.68504214</v>
      </c>
      <c r="G23" s="9">
        <f t="shared" ca="1" si="30"/>
        <v>238148997.50551373</v>
      </c>
      <c r="H23" s="9">
        <f t="shared" ca="1" si="30"/>
        <v>258003893.22207099</v>
      </c>
      <c r="I23" s="9">
        <f t="shared" ca="1" si="30"/>
        <v>279453483.50136983</v>
      </c>
      <c r="J23" s="9">
        <f ca="1">J20-J22</f>
        <v>302821080.87053597</v>
      </c>
      <c r="K23" s="9">
        <f t="shared" ca="1" si="30"/>
        <v>327836424.86900568</v>
      </c>
      <c r="L23" s="9">
        <f t="shared" ca="1" si="30"/>
        <v>353403107.47932708</v>
      </c>
      <c r="M23" s="9">
        <f t="shared" ca="1" si="30"/>
        <v>379595305.66020703</v>
      </c>
      <c r="N23" s="9">
        <f t="shared" ca="1" si="30"/>
        <v>406497113.97285193</v>
      </c>
      <c r="O23" s="9">
        <f t="shared" ca="1" si="30"/>
        <v>434203505.90712857</v>
      </c>
      <c r="P23" s="9">
        <f t="shared" ca="1" si="30"/>
        <v>462821372.90399462</v>
      </c>
      <c r="Q23" s="9">
        <f t="shared" ca="1" si="30"/>
        <v>492470646.73373991</v>
      </c>
      <c r="R23" s="9">
        <f t="shared" ca="1" si="30"/>
        <v>522498478.23163086</v>
      </c>
      <c r="S23" s="9">
        <f t="shared" ca="1" si="30"/>
        <v>552936847.17952847</v>
      </c>
      <c r="T23" s="9">
        <f t="shared" ca="1" si="30"/>
        <v>583822833.51809537</v>
      </c>
      <c r="U23" s="9">
        <f t="shared" ca="1" si="30"/>
        <v>615199131.07395756</v>
      </c>
      <c r="V23" s="9">
        <f t="shared" ca="1" si="30"/>
        <v>647114601.72093582</v>
      </c>
      <c r="W23" s="9">
        <f t="shared" ca="1" si="30"/>
        <v>679624872.74964786</v>
      </c>
      <c r="X23" s="9">
        <f t="shared" ca="1" si="30"/>
        <v>712792980.39484143</v>
      </c>
      <c r="Y23" s="9">
        <f t="shared" ca="1" si="30"/>
        <v>746690062.65533602</v>
      </c>
      <c r="Z23" s="9">
        <f t="shared" ca="1" si="30"/>
        <v>781396104.73804021</v>
      </c>
      <c r="AA23" s="9">
        <f t="shared" ca="1" si="30"/>
        <v>817000740.6657933</v>
      </c>
      <c r="AB23" s="9">
        <f t="shared" ca="1" si="30"/>
        <v>853604114.80943298</v>
      </c>
      <c r="AC23" s="9">
        <f t="shared" ca="1" si="30"/>
        <v>891317807.33823347</v>
      </c>
      <c r="AD23" s="9">
        <f t="shared" ca="1" si="30"/>
        <v>930265827.83041835</v>
      </c>
      <c r="AE23" s="9">
        <f t="shared" ca="1" si="30"/>
        <v>970585681.54765105</v>
      </c>
      <c r="AF23" s="9">
        <f t="shared" ca="1" si="30"/>
        <v>1012429513.1550428</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9"/>
  <sheetViews>
    <sheetView zoomScaleNormal="100" workbookViewId="0">
      <pane xSplit="1" topLeftCell="B1" activePane="topRight" state="frozen"/>
      <selection sqref="A1:XFD1048576"/>
      <selection pane="topRight" sqref="A1:XFD1048576"/>
    </sheetView>
  </sheetViews>
  <sheetFormatPr defaultColWidth="10.83203125" defaultRowHeight="15.5" x14ac:dyDescent="0.35"/>
  <cols>
    <col min="1" max="1" width="31.83203125" style="63" bestFit="1" customWidth="1"/>
    <col min="2" max="2" width="21.83203125" style="63" customWidth="1"/>
    <col min="3" max="3" width="15.5" style="63" bestFit="1" customWidth="1"/>
    <col min="4" max="4" width="16.08203125" style="63" bestFit="1" customWidth="1"/>
    <col min="5" max="9" width="15.5" style="63" bestFit="1" customWidth="1"/>
    <col min="10" max="31" width="16.5" style="63" bestFit="1" customWidth="1"/>
    <col min="32" max="32" width="18.08203125" style="63" bestFit="1" customWidth="1"/>
    <col min="33" max="42" width="16.5" style="63" bestFit="1" customWidth="1"/>
    <col min="43" max="16384" width="10.83203125" style="63"/>
  </cols>
  <sheetData>
    <row r="1" spans="1:42" ht="21" x14ac:dyDescent="0.5">
      <c r="A1" s="15" t="s">
        <v>165</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3" t="s">
        <v>2</v>
      </c>
      <c r="C5" s="1">
        <f>Assumptions!C20</f>
        <v>50745000</v>
      </c>
      <c r="D5" s="1">
        <f ca="1">C5+C6</f>
        <v>74269249.759110659</v>
      </c>
      <c r="E5" s="1">
        <f t="shared" ref="E5:AF5" ca="1" si="1">D5+D6</f>
        <v>93789868.681521401</v>
      </c>
      <c r="F5" s="1">
        <f t="shared" ca="1" si="1"/>
        <v>109849554.45364742</v>
      </c>
      <c r="G5" s="1">
        <f t="shared" ca="1" si="1"/>
        <v>122724707.77844687</v>
      </c>
      <c r="H5" s="1">
        <f t="shared" ca="1" si="1"/>
        <v>133987650.41980936</v>
      </c>
      <c r="I5" s="1">
        <f t="shared" ca="1" si="1"/>
        <v>144651669.3258836</v>
      </c>
      <c r="J5" s="1">
        <f t="shared" ca="1" si="1"/>
        <v>154425316.63602251</v>
      </c>
      <c r="K5" s="1">
        <f t="shared" ca="1" si="1"/>
        <v>163611737.14659566</v>
      </c>
      <c r="L5" s="1">
        <f t="shared" ca="1" si="1"/>
        <v>173341275.50960639</v>
      </c>
      <c r="M5" s="1">
        <f t="shared" ca="1" si="1"/>
        <v>183574777.3732053</v>
      </c>
      <c r="N5" s="1">
        <f t="shared" ca="1" si="1"/>
        <v>194264291.50646263</v>
      </c>
      <c r="O5" s="1">
        <f t="shared" ca="1" si="1"/>
        <v>205352144.336357</v>
      </c>
      <c r="P5" s="1">
        <f t="shared" ca="1" si="1"/>
        <v>216769937.93611544</v>
      </c>
      <c r="Q5" s="1">
        <f t="shared" ca="1" si="1"/>
        <v>228437465.84208661</v>
      </c>
      <c r="R5" s="1">
        <f t="shared" ca="1" si="1"/>
        <v>241048573.7354551</v>
      </c>
      <c r="S5" s="1">
        <f t="shared" ca="1" si="1"/>
        <v>254613590.23933727</v>
      </c>
      <c r="T5" s="1">
        <f t="shared" ca="1" si="1"/>
        <v>269139097.68700695</v>
      </c>
      <c r="U5" s="1">
        <f t="shared" ca="1" si="1"/>
        <v>284627461.71854091</v>
      </c>
      <c r="V5" s="1">
        <f t="shared" ca="1" si="1"/>
        <v>301076321.82975554</v>
      </c>
      <c r="W5" s="1">
        <f t="shared" ca="1" si="1"/>
        <v>318478040.14349848</v>
      </c>
      <c r="X5" s="1">
        <f t="shared" ca="1" si="1"/>
        <v>336819105.49971867</v>
      </c>
      <c r="Y5" s="1">
        <f t="shared" ca="1" si="1"/>
        <v>356079489.77668321</v>
      </c>
      <c r="Z5" s="1">
        <f t="shared" ca="1" si="1"/>
        <v>376231953.16063666</v>
      </c>
      <c r="AA5" s="1">
        <f t="shared" ca="1" si="1"/>
        <v>397241294.87447417</v>
      </c>
      <c r="AB5" s="1">
        <f t="shared" ca="1" si="1"/>
        <v>419063545.65695572</v>
      </c>
      <c r="AC5" s="1">
        <f t="shared" ca="1" si="1"/>
        <v>441645098.05191255</v>
      </c>
      <c r="AD5" s="1">
        <f t="shared" ca="1" si="1"/>
        <v>464921770.32104522</v>
      </c>
      <c r="AE5" s="1">
        <f t="shared" ca="1" si="1"/>
        <v>488817799.53349233</v>
      </c>
      <c r="AF5" s="1">
        <f t="shared" ca="1" si="1"/>
        <v>513244759.10953009</v>
      </c>
      <c r="AG5" s="1"/>
      <c r="AH5" s="1"/>
      <c r="AI5" s="1"/>
      <c r="AJ5" s="1"/>
      <c r="AK5" s="1"/>
      <c r="AL5" s="1"/>
      <c r="AM5" s="1"/>
      <c r="AN5" s="1"/>
      <c r="AO5" s="1"/>
      <c r="AP5" s="1"/>
    </row>
    <row r="6" spans="1:42" x14ac:dyDescent="0.35">
      <c r="A6" s="63" t="s">
        <v>3</v>
      </c>
      <c r="C6" s="1">
        <f ca="1">-'Cash Flow'!C13</f>
        <v>23524249.759110659</v>
      </c>
      <c r="D6" s="1">
        <f ca="1">-'Cash Flow'!D13</f>
        <v>19520618.922410738</v>
      </c>
      <c r="E6" s="1">
        <f ca="1">-'Cash Flow'!E13</f>
        <v>16059685.772126019</v>
      </c>
      <c r="F6" s="1">
        <f ca="1">-'Cash Flow'!F13</f>
        <v>12875153.324799448</v>
      </c>
      <c r="G6" s="1">
        <f ca="1">-'Cash Flow'!G13</f>
        <v>11262942.641362488</v>
      </c>
      <c r="H6" s="1">
        <f ca="1">-'Cash Flow'!H13</f>
        <v>10664018.906074245</v>
      </c>
      <c r="I6" s="1">
        <f ca="1">-'Cash Flow'!I13</f>
        <v>9773647.3101388961</v>
      </c>
      <c r="J6" s="1">
        <f ca="1">-'Cash Flow'!J13</f>
        <v>9186420.5105731636</v>
      </c>
      <c r="K6" s="1">
        <f ca="1">-'Cash Flow'!K13</f>
        <v>9729538.3630107343</v>
      </c>
      <c r="L6" s="1">
        <f ca="1">-'Cash Flow'!L13</f>
        <v>10233501.863598928</v>
      </c>
      <c r="M6" s="1">
        <f ca="1">-'Cash Flow'!M13</f>
        <v>10689514.133257315</v>
      </c>
      <c r="N6" s="1">
        <f ca="1">-'Cash Flow'!N13</f>
        <v>11087852.829894371</v>
      </c>
      <c r="O6" s="1">
        <f ca="1">-'Cash Flow'!O13</f>
        <v>11417793.599758439</v>
      </c>
      <c r="P6" s="1">
        <f ca="1">-'Cash Flow'!P13</f>
        <v>11667527.905971162</v>
      </c>
      <c r="Q6" s="1">
        <f ca="1">-'Cash Flow'!Q13</f>
        <v>12611107.893368468</v>
      </c>
      <c r="R6" s="1">
        <f ca="1">-'Cash Flow'!R13</f>
        <v>13565016.503882177</v>
      </c>
      <c r="S6" s="1">
        <f ca="1">-'Cash Flow'!S13</f>
        <v>14525507.447669685</v>
      </c>
      <c r="T6" s="1">
        <f ca="1">-'Cash Flow'!T13</f>
        <v>15488364.031533942</v>
      </c>
      <c r="U6" s="1">
        <f ca="1">-'Cash Flow'!U13</f>
        <v>16448860.111214645</v>
      </c>
      <c r="V6" s="1">
        <f ca="1">-'Cash Flow'!V13</f>
        <v>17401718.313742928</v>
      </c>
      <c r="W6" s="1">
        <f ca="1">-'Cash Flow'!W13</f>
        <v>18341065.356220171</v>
      </c>
      <c r="X6" s="1">
        <f ca="1">-'Cash Flow'!X13</f>
        <v>19260384.276964545</v>
      </c>
      <c r="Y6" s="1">
        <f ca="1">-'Cash Flow'!Y13</f>
        <v>20152463.383953437</v>
      </c>
      <c r="Z6" s="1">
        <f ca="1">-'Cash Flow'!Z13</f>
        <v>21009341.713837475</v>
      </c>
      <c r="AA6" s="1">
        <f ca="1">-'Cash Flow'!AA13</f>
        <v>21822250.782481521</v>
      </c>
      <c r="AB6" s="1">
        <f ca="1">-'Cash Flow'!AB13</f>
        <v>22581552.394956857</v>
      </c>
      <c r="AC6" s="1">
        <f ca="1">-'Cash Flow'!AC13</f>
        <v>23276672.269132674</v>
      </c>
      <c r="AD6" s="1">
        <f ca="1">-'Cash Flow'!AD13</f>
        <v>23896029.212447122</v>
      </c>
      <c r="AE6" s="1">
        <f ca="1">-'Cash Flow'!AE13</f>
        <v>24426959.576037735</v>
      </c>
      <c r="AF6" s="1">
        <f ca="1">-'Cash Flow'!AF13</f>
        <v>24855636.694131523</v>
      </c>
      <c r="AG6" s="1"/>
      <c r="AH6" s="1"/>
      <c r="AI6" s="1"/>
      <c r="AJ6" s="1"/>
      <c r="AK6" s="1"/>
      <c r="AL6" s="1"/>
      <c r="AM6" s="1"/>
      <c r="AN6" s="1"/>
      <c r="AO6" s="1"/>
      <c r="AP6" s="1"/>
    </row>
    <row r="7" spans="1:42"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42" x14ac:dyDescent="0.35">
      <c r="A8" s="63" t="s">
        <v>5</v>
      </c>
      <c r="C8" s="1">
        <f ca="1">IF(SUM(C5:C6)&gt;0,Assumptions!$C$26*SUM(C5:C6),Assumptions!$C$27*(SUM(C5:C6)))</f>
        <v>2599423.7415688732</v>
      </c>
      <c r="D8" s="1">
        <f ca="1">IF(SUM(D5:D6)&gt;0,Assumptions!$C$26*SUM(D5:D6),Assumptions!$C$27*(SUM(D5:D6)))</f>
        <v>3282645.4038532493</v>
      </c>
      <c r="E8" s="1">
        <f ca="1">IF(SUM(E5:E6)&gt;0,Assumptions!$C$26*SUM(E5:E6),Assumptions!$C$27*(SUM(E5:E6)))</f>
        <v>3844734.40587766</v>
      </c>
      <c r="F8" s="1">
        <f ca="1">IF(SUM(F5:F6)&gt;0,Assumptions!$C$26*SUM(F5:F6),Assumptions!$C$27*(SUM(F5:F6)))</f>
        <v>4295364.7722456409</v>
      </c>
      <c r="G8" s="1">
        <f ca="1">IF(SUM(G5:G6)&gt;0,Assumptions!$C$26*SUM(G5:G6),Assumptions!$C$27*(SUM(G5:G6)))</f>
        <v>4689567.7646933282</v>
      </c>
      <c r="H8" s="1">
        <f ca="1">IF(SUM(H5:H6)&gt;0,Assumptions!$C$26*SUM(H5:H6),Assumptions!$C$27*(SUM(H5:H6)))</f>
        <v>5062808.4264059262</v>
      </c>
      <c r="I8" s="1">
        <f ca="1">IF(SUM(I5:I6)&gt;0,Assumptions!$C$26*SUM(I5:I6),Assumptions!$C$27*(SUM(I5:I6)))</f>
        <v>5404886.0822607884</v>
      </c>
      <c r="J8" s="1">
        <f ca="1">IF(SUM(J5:J6)&gt;0,Assumptions!$C$26*SUM(J5:J6),Assumptions!$C$27*(SUM(J5:J6)))</f>
        <v>5726410.8001308488</v>
      </c>
      <c r="K8" s="1">
        <f ca="1">IF(SUM(K5:K6)&gt;0,Assumptions!$C$26*SUM(K5:K6),Assumptions!$C$27*(SUM(K5:K6)))</f>
        <v>6066944.6428362243</v>
      </c>
      <c r="L8" s="1">
        <f ca="1">IF(SUM(L5:L6)&gt;0,Assumptions!$C$26*SUM(L5:L6),Assumptions!$C$27*(SUM(L5:L6)))</f>
        <v>6425117.2080621859</v>
      </c>
      <c r="M8" s="1">
        <f ca="1">IF(SUM(M5:M6)&gt;0,Assumptions!$C$26*SUM(M5:M6),Assumptions!$C$27*(SUM(M5:M6)))</f>
        <v>6799250.2027261928</v>
      </c>
      <c r="N8" s="1">
        <f ca="1">IF(SUM(N5:N6)&gt;0,Assumptions!$C$26*SUM(N5:N6),Assumptions!$C$27*(SUM(N5:N6)))</f>
        <v>7187325.0517724957</v>
      </c>
      <c r="O8" s="1">
        <f ca="1">IF(SUM(O5:O6)&gt;0,Assumptions!$C$26*SUM(O5:O6),Assumptions!$C$27*(SUM(O5:O6)))</f>
        <v>7586947.8277640408</v>
      </c>
      <c r="P8" s="1">
        <f ca="1">IF(SUM(P5:P6)&gt;0,Assumptions!$C$26*SUM(P5:P6),Assumptions!$C$27*(SUM(P5:P6)))</f>
        <v>7995311.3044730322</v>
      </c>
      <c r="Q8" s="1">
        <f ca="1">IF(SUM(Q5:Q6)&gt;0,Assumptions!$C$26*SUM(Q5:Q6),Assumptions!$C$27*(SUM(Q5:Q6)))</f>
        <v>8436700.0807409286</v>
      </c>
      <c r="R8" s="1">
        <f ca="1">IF(SUM(R5:R6)&gt;0,Assumptions!$C$26*SUM(R5:R6),Assumptions!$C$27*(SUM(R5:R6)))</f>
        <v>8911475.6583768055</v>
      </c>
      <c r="S8" s="1">
        <f ca="1">IF(SUM(S5:S6)&gt;0,Assumptions!$C$26*SUM(S5:S6),Assumptions!$C$27*(SUM(S5:S6)))</f>
        <v>9419868.4190452434</v>
      </c>
      <c r="T8" s="1">
        <f ca="1">IF(SUM(T5:T6)&gt;0,Assumptions!$C$26*SUM(T5:T6),Assumptions!$C$27*(SUM(T5:T6)))</f>
        <v>9961961.1601489335</v>
      </c>
      <c r="U8" s="1">
        <f ca="1">IF(SUM(U5:U6)&gt;0,Assumptions!$C$26*SUM(U5:U6),Assumptions!$C$27*(SUM(U5:U6)))</f>
        <v>10537671.264041444</v>
      </c>
      <c r="V8" s="1">
        <f ca="1">IF(SUM(V5:V6)&gt;0,Assumptions!$C$26*SUM(V5:V6),Assumptions!$C$27*(SUM(V5:V6)))</f>
        <v>11146731.405022448</v>
      </c>
      <c r="W8" s="1">
        <f ca="1">IF(SUM(W5:W6)&gt;0,Assumptions!$C$26*SUM(W5:W6),Assumptions!$C$27*(SUM(W5:W6)))</f>
        <v>11788668.692490155</v>
      </c>
      <c r="X8" s="1">
        <f ca="1">IF(SUM(X5:X6)&gt;0,Assumptions!$C$26*SUM(X5:X6),Assumptions!$C$27*(SUM(X5:X6)))</f>
        <v>12462782.142183913</v>
      </c>
      <c r="Y8" s="1">
        <f ca="1">IF(SUM(Y5:Y6)&gt;0,Assumptions!$C$26*SUM(Y5:Y6),Assumptions!$C$27*(SUM(Y5:Y6)))</f>
        <v>13168118.360622285</v>
      </c>
      <c r="Z8" s="1">
        <f ca="1">IF(SUM(Z5:Z6)&gt;0,Assumptions!$C$26*SUM(Z5:Z6),Assumptions!$C$27*(SUM(Z5:Z6)))</f>
        <v>13903445.320606597</v>
      </c>
      <c r="AA8" s="1">
        <f ca="1">IF(SUM(AA5:AA6)&gt;0,Assumptions!$C$26*SUM(AA5:AA6),Assumptions!$C$27*(SUM(AA5:AA6)))</f>
        <v>14667224.097993452</v>
      </c>
      <c r="AB8" s="1">
        <f ca="1">IF(SUM(AB5:AB6)&gt;0,Assumptions!$C$26*SUM(AB5:AB6),Assumptions!$C$27*(SUM(AB5:AB6)))</f>
        <v>15457578.431816941</v>
      </c>
      <c r="AC8" s="1">
        <f ca="1">IF(SUM(AC5:AC6)&gt;0,Assumptions!$C$26*SUM(AC5:AC6),Assumptions!$C$27*(SUM(AC5:AC6)))</f>
        <v>16272261.961236585</v>
      </c>
      <c r="AD8" s="1">
        <f ca="1">IF(SUM(AD5:AD6)&gt;0,Assumptions!$C$26*SUM(AD5:AD6),Assumptions!$C$27*(SUM(AD5:AD6)))</f>
        <v>17108622.983672231</v>
      </c>
      <c r="AE8" s="1">
        <f ca="1">IF(SUM(AE5:AE6)&gt;0,Assumptions!$C$26*SUM(AE5:AE6),Assumptions!$C$27*(SUM(AE5:AE6)))</f>
        <v>17963566.568833556</v>
      </c>
      <c r="AF8" s="1">
        <f ca="1">IF(SUM(AF5:AF6)&gt;0,Assumptions!$C$26*SUM(AF5:AF6),Assumptions!$C$27*(SUM(AF5:AF6)))</f>
        <v>18833513.853128158</v>
      </c>
      <c r="AG8" s="1"/>
      <c r="AH8" s="1"/>
      <c r="AI8" s="1"/>
      <c r="AJ8" s="1"/>
      <c r="AK8" s="1"/>
      <c r="AL8" s="1"/>
      <c r="AM8" s="1"/>
      <c r="AN8" s="1"/>
      <c r="AO8" s="1"/>
      <c r="AP8" s="1"/>
    </row>
    <row r="9" spans="1:42" x14ac:dyDescent="0.3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row>
  </sheetData>
  <sheetProtection algorithmName="SHA-512" hashValue="16Vic151XmeL2fm/pPPnERlBcbmRyzLbJQXMFXVohjpZB9fEe0b76gwu6B0GkPtUAEnrDKzkbh8StILIUDgyZA==" saltValue="kxbs7p3x/v+eyxtlxENzR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zoomScaleNormal="100" workbookViewId="0">
      <selection sqref="A1:XFD1048576"/>
    </sheetView>
  </sheetViews>
  <sheetFormatPr defaultRowHeight="15.5" x14ac:dyDescent="0.35"/>
  <cols>
    <col min="1" max="16384" width="8.6640625" style="174"/>
  </cols>
  <sheetData>
    <row r="1" spans="1:1" x14ac:dyDescent="0.35">
      <c r="A1" s="175" t="s">
        <v>174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45"/>
  <sheetViews>
    <sheetView zoomScaleNormal="100" workbookViewId="0">
      <selection sqref="A1:XFD1048576"/>
    </sheetView>
  </sheetViews>
  <sheetFormatPr defaultRowHeight="15.5" x14ac:dyDescent="0.35"/>
  <cols>
    <col min="1" max="1" width="107.9140625" style="63" customWidth="1"/>
    <col min="2" max="2" width="18.1640625" style="63" bestFit="1" customWidth="1"/>
    <col min="3" max="3" width="43.6640625" style="63" customWidth="1"/>
    <col min="4" max="16384" width="8.6640625" style="63"/>
  </cols>
  <sheetData>
    <row r="1" spans="1:3" ht="26" x14ac:dyDescent="0.6">
      <c r="A1" s="13" t="s">
        <v>184</v>
      </c>
    </row>
    <row r="2" spans="1:3" ht="26" x14ac:dyDescent="0.6">
      <c r="A2" s="13"/>
    </row>
    <row r="3" spans="1:3" ht="186" x14ac:dyDescent="0.35">
      <c r="A3" s="173" t="s">
        <v>187</v>
      </c>
    </row>
    <row r="4" spans="1:3" ht="26" x14ac:dyDescent="0.6">
      <c r="A4" s="13"/>
    </row>
    <row r="5" spans="1:3" ht="18.5" x14ac:dyDescent="0.45">
      <c r="A5" s="89" t="s">
        <v>176</v>
      </c>
      <c r="B5" s="90"/>
    </row>
    <row r="6" spans="1:3" ht="18.5" x14ac:dyDescent="0.45">
      <c r="A6" s="90"/>
      <c r="B6" s="181"/>
    </row>
    <row r="7" spans="1:3" ht="18.5" x14ac:dyDescent="0.45">
      <c r="A7" s="90" t="s">
        <v>96</v>
      </c>
      <c r="B7" s="182">
        <f>Assumptions!C24</f>
        <v>17040000</v>
      </c>
      <c r="C7" s="180" t="str">
        <f>Assumptions!B24</f>
        <v>RFI Table F10; Lines F10.62 + F10.70 - F10.61</v>
      </c>
    </row>
    <row r="8" spans="1:3" ht="34" x14ac:dyDescent="0.45">
      <c r="A8" s="90" t="s">
        <v>173</v>
      </c>
      <c r="B8" s="183">
        <f>Assumptions!$C$133</f>
        <v>0.7</v>
      </c>
      <c r="C8" s="180" t="s">
        <v>199</v>
      </c>
    </row>
    <row r="9" spans="1:3" ht="18.5" x14ac:dyDescent="0.45">
      <c r="A9" s="90"/>
      <c r="B9" s="184"/>
      <c r="C9" s="180"/>
    </row>
    <row r="10" spans="1:3" ht="85" x14ac:dyDescent="0.45">
      <c r="A10" s="94" t="s">
        <v>102</v>
      </c>
      <c r="B10" s="185">
        <f>Assumptions!C135</f>
        <v>10411.85185185185</v>
      </c>
      <c r="C10" s="180" t="s">
        <v>200</v>
      </c>
    </row>
    <row r="11" spans="1:3" ht="18.5" x14ac:dyDescent="0.45">
      <c r="A11" s="94"/>
      <c r="B11" s="186"/>
      <c r="C11" s="180"/>
    </row>
    <row r="12" spans="1:3" ht="18.5" x14ac:dyDescent="0.45">
      <c r="A12" s="94" t="s">
        <v>183</v>
      </c>
      <c r="B12" s="182">
        <f>(B7*B8)/B10</f>
        <v>1145.6175298804783</v>
      </c>
      <c r="C12" s="180"/>
    </row>
    <row r="13" spans="1:3" ht="18.5" x14ac:dyDescent="0.45">
      <c r="A13" s="96"/>
      <c r="B13" s="187"/>
      <c r="C13" s="180"/>
    </row>
    <row r="14" spans="1:3" ht="18.5" x14ac:dyDescent="0.45">
      <c r="A14" s="94" t="s">
        <v>103</v>
      </c>
      <c r="B14" s="103">
        <v>1</v>
      </c>
      <c r="C14" s="180"/>
    </row>
    <row r="15" spans="1:3" ht="18.5" x14ac:dyDescent="0.45">
      <c r="A15" s="96"/>
      <c r="B15" s="99"/>
      <c r="C15" s="180"/>
    </row>
    <row r="16" spans="1:3" ht="18.5" x14ac:dyDescent="0.45">
      <c r="A16" s="96" t="s">
        <v>178</v>
      </c>
      <c r="B16" s="188">
        <f>B12/B14</f>
        <v>1145.6175298804783</v>
      </c>
      <c r="C16" s="180"/>
    </row>
    <row r="17" spans="1:3" ht="18.5" x14ac:dyDescent="0.45">
      <c r="A17" s="94"/>
      <c r="B17" s="189"/>
      <c r="C17" s="180"/>
    </row>
    <row r="18" spans="1:3" ht="18.5" x14ac:dyDescent="0.45">
      <c r="A18" s="102" t="s">
        <v>177</v>
      </c>
      <c r="B18" s="189"/>
      <c r="C18" s="180"/>
    </row>
    <row r="19" spans="1:3" ht="18.5" x14ac:dyDescent="0.45">
      <c r="A19" s="94"/>
      <c r="B19" s="189"/>
      <c r="C19" s="180"/>
    </row>
    <row r="20" spans="1:3" ht="34" x14ac:dyDescent="0.45">
      <c r="A20" s="94" t="s">
        <v>65</v>
      </c>
      <c r="B20" s="182">
        <f>'Profit and Loss'!L5</f>
        <v>72794748.420249626</v>
      </c>
      <c r="C20" s="180" t="s">
        <v>201</v>
      </c>
    </row>
    <row r="21" spans="1:3" ht="34" x14ac:dyDescent="0.45">
      <c r="A21" s="94" t="str">
        <f>A8</f>
        <v>Assumed revenue from households</v>
      </c>
      <c r="B21" s="183">
        <f>B8</f>
        <v>0.7</v>
      </c>
      <c r="C21" s="180" t="s">
        <v>199</v>
      </c>
    </row>
    <row r="22" spans="1:3" ht="18.5" x14ac:dyDescent="0.45">
      <c r="A22" s="94"/>
      <c r="B22" s="186"/>
      <c r="C22" s="180"/>
    </row>
    <row r="23" spans="1:3" ht="34" x14ac:dyDescent="0.45">
      <c r="A23" s="94" t="s">
        <v>101</v>
      </c>
      <c r="B23" s="185">
        <f>Assumptions!M135</f>
        <v>13979.468860934194</v>
      </c>
      <c r="C23" s="180" t="s">
        <v>202</v>
      </c>
    </row>
    <row r="24" spans="1:3" ht="18.5" x14ac:dyDescent="0.45">
      <c r="A24" s="94"/>
      <c r="B24" s="186"/>
      <c r="C24" s="180"/>
    </row>
    <row r="25" spans="1:3" ht="18.5" x14ac:dyDescent="0.45">
      <c r="A25" s="94" t="s">
        <v>182</v>
      </c>
      <c r="B25" s="182">
        <f>(B20*B21)/B23</f>
        <v>3645.0829713976354</v>
      </c>
      <c r="C25" s="180"/>
    </row>
    <row r="26" spans="1:3" ht="18.5" x14ac:dyDescent="0.45">
      <c r="A26" s="94"/>
      <c r="B26" s="182"/>
      <c r="C26" s="180"/>
    </row>
    <row r="27" spans="1:3" ht="34" x14ac:dyDescent="0.45">
      <c r="A27" s="94" t="s">
        <v>103</v>
      </c>
      <c r="B27" s="103">
        <f>1.022^11</f>
        <v>1.2704566586717592</v>
      </c>
      <c r="C27" s="180" t="s">
        <v>203</v>
      </c>
    </row>
    <row r="28" spans="1:3" ht="18.5" x14ac:dyDescent="0.45">
      <c r="A28" s="96"/>
      <c r="B28" s="187"/>
      <c r="C28" s="180"/>
    </row>
    <row r="29" spans="1:3" ht="18.5" x14ac:dyDescent="0.45">
      <c r="A29" s="96" t="s">
        <v>179</v>
      </c>
      <c r="B29" s="182">
        <f>B25/B27</f>
        <v>2869.1124144356941</v>
      </c>
      <c r="C29" s="180"/>
    </row>
    <row r="30" spans="1:3" ht="18.5" x14ac:dyDescent="0.45">
      <c r="A30" s="96"/>
      <c r="B30" s="187"/>
      <c r="C30" s="180"/>
    </row>
    <row r="31" spans="1:3" ht="18.5" x14ac:dyDescent="0.45">
      <c r="A31" s="102" t="s">
        <v>185</v>
      </c>
      <c r="B31" s="190"/>
      <c r="C31" s="180"/>
    </row>
    <row r="32" spans="1:3" ht="18.5" x14ac:dyDescent="0.45">
      <c r="A32" s="94"/>
      <c r="B32" s="182"/>
      <c r="C32" s="180"/>
    </row>
    <row r="33" spans="1:3" ht="34" x14ac:dyDescent="0.45">
      <c r="A33" s="94" t="s">
        <v>66</v>
      </c>
      <c r="B33" s="182">
        <f>'Profit and Loss'!AF5</f>
        <v>209212998.11160085</v>
      </c>
      <c r="C33" s="180" t="s">
        <v>201</v>
      </c>
    </row>
    <row r="34" spans="1:3" ht="34" x14ac:dyDescent="0.45">
      <c r="A34" s="94" t="str">
        <f>A21</f>
        <v>Assumed revenue from households</v>
      </c>
      <c r="B34" s="183">
        <f>B21</f>
        <v>0.7</v>
      </c>
      <c r="C34" s="180" t="s">
        <v>199</v>
      </c>
    </row>
    <row r="35" spans="1:3" ht="18.5" x14ac:dyDescent="0.45">
      <c r="A35" s="94"/>
      <c r="B35" s="186"/>
      <c r="C35" s="180"/>
    </row>
    <row r="36" spans="1:3" ht="34" x14ac:dyDescent="0.45">
      <c r="A36" s="94" t="s">
        <v>100</v>
      </c>
      <c r="B36" s="185">
        <f>Assumptions!AG135</f>
        <v>25200.900122909603</v>
      </c>
      <c r="C36" s="180" t="s">
        <v>202</v>
      </c>
    </row>
    <row r="37" spans="1:3" ht="18.5" x14ac:dyDescent="0.45">
      <c r="A37" s="94"/>
      <c r="B37" s="186"/>
      <c r="C37" s="180"/>
    </row>
    <row r="38" spans="1:3" ht="18.5" x14ac:dyDescent="0.45">
      <c r="A38" s="94" t="s">
        <v>181</v>
      </c>
      <c r="B38" s="182">
        <f>(B33*B34)/B36</f>
        <v>5811.2645962588776</v>
      </c>
      <c r="C38" s="180"/>
    </row>
    <row r="39" spans="1:3" ht="18.5" x14ac:dyDescent="0.45">
      <c r="A39" s="94"/>
      <c r="B39" s="186"/>
      <c r="C39" s="180"/>
    </row>
    <row r="40" spans="1:3" ht="34" x14ac:dyDescent="0.45">
      <c r="A40" s="94" t="s">
        <v>103</v>
      </c>
      <c r="B40" s="103">
        <f>1.022^31</f>
        <v>1.9632597808456462</v>
      </c>
      <c r="C40" s="180" t="s">
        <v>203</v>
      </c>
    </row>
    <row r="41" spans="1:3" ht="18.5" x14ac:dyDescent="0.45">
      <c r="A41" s="96"/>
      <c r="B41" s="187"/>
    </row>
    <row r="42" spans="1:3" ht="18.5" x14ac:dyDescent="0.45">
      <c r="A42" s="96" t="s">
        <v>180</v>
      </c>
      <c r="B42" s="182">
        <f>B38/B40</f>
        <v>2960.0079688668393</v>
      </c>
    </row>
    <row r="43" spans="1:3" x14ac:dyDescent="0.35">
      <c r="B43" s="191"/>
    </row>
    <row r="44" spans="1:3" x14ac:dyDescent="0.35">
      <c r="B44" s="191"/>
    </row>
    <row r="45" spans="1:3" x14ac:dyDescent="0.35">
      <c r="B45" s="19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zoomScaleNormal="100" workbookViewId="0">
      <selection sqref="A1:XFD1048576"/>
    </sheetView>
  </sheetViews>
  <sheetFormatPr defaultRowHeight="15.5" x14ac:dyDescent="0.35"/>
  <cols>
    <col min="1" max="16384" width="8.6640625" style="174"/>
  </cols>
  <sheetData>
    <row r="1" spans="1:1" x14ac:dyDescent="0.35">
      <c r="A1" s="175"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195"/>
  <sheetViews>
    <sheetView zoomScaleNormal="100" workbookViewId="0">
      <pane ySplit="4" topLeftCell="A5" activePane="bottomLeft" state="frozen"/>
      <selection sqref="A1:XFD1048576"/>
      <selection pane="bottomLeft" sqref="A1:XFD1048576"/>
    </sheetView>
  </sheetViews>
  <sheetFormatPr defaultColWidth="10.83203125" defaultRowHeight="15.5" x14ac:dyDescent="0.35"/>
  <cols>
    <col min="1" max="1" width="89.9140625" style="76" bestFit="1" customWidth="1"/>
    <col min="2" max="2" width="94.6640625" style="76" bestFit="1" customWidth="1"/>
    <col min="3" max="3" width="21.58203125" style="109" bestFit="1" customWidth="1"/>
    <col min="4" max="4" width="29.58203125" style="110" customWidth="1"/>
    <col min="5" max="5" width="25.75" style="76" customWidth="1"/>
    <col min="6" max="8" width="15.4140625" style="76" bestFit="1" customWidth="1"/>
    <col min="9" max="9" width="18.25" style="76" bestFit="1" customWidth="1"/>
    <col min="10" max="10" width="18" style="76" bestFit="1" customWidth="1"/>
    <col min="11" max="11" width="18.25" style="76" bestFit="1" customWidth="1"/>
    <col min="12" max="12" width="18" style="76" bestFit="1" customWidth="1"/>
    <col min="13" max="13" width="18.83203125" style="76" bestFit="1" customWidth="1"/>
    <col min="14" max="14" width="18.25" style="76" bestFit="1" customWidth="1"/>
    <col min="15" max="15" width="18.83203125" style="76" bestFit="1" customWidth="1"/>
    <col min="16" max="16" width="19.25" style="76" bestFit="1" customWidth="1"/>
    <col min="17" max="17" width="18.83203125" style="76" bestFit="1" customWidth="1"/>
    <col min="18" max="18" width="18.4140625" style="76" bestFit="1" customWidth="1"/>
    <col min="19" max="21" width="18.83203125" style="76" bestFit="1" customWidth="1"/>
    <col min="22" max="33" width="19.25" style="76" bestFit="1" customWidth="1"/>
    <col min="34" max="16384" width="10.83203125" style="76"/>
  </cols>
  <sheetData>
    <row r="1" spans="1:33" ht="21" x14ac:dyDescent="0.35">
      <c r="A1" s="108" t="s">
        <v>160</v>
      </c>
    </row>
    <row r="2" spans="1:33" ht="26.5" thickBot="1" x14ac:dyDescent="0.4">
      <c r="A2" s="111"/>
      <c r="B2" s="111"/>
      <c r="D2" s="112"/>
    </row>
    <row r="3" spans="1:33" s="114" customFormat="1" ht="21.5" thickBot="1" x14ac:dyDescent="0.4">
      <c r="A3" s="84"/>
      <c r="B3" s="84"/>
      <c r="C3" s="113"/>
      <c r="D3" s="192" t="s">
        <v>27</v>
      </c>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row>
    <row r="4" spans="1:33" s="120" customFormat="1" ht="16" thickBot="1" x14ac:dyDescent="0.4">
      <c r="A4" s="115" t="s">
        <v>25</v>
      </c>
      <c r="B4" s="115" t="s">
        <v>195</v>
      </c>
      <c r="C4" s="116" t="s">
        <v>26</v>
      </c>
      <c r="D4" s="117">
        <v>2022</v>
      </c>
      <c r="E4" s="118">
        <f t="shared" ref="E4:AG4" si="0">D4+1</f>
        <v>2023</v>
      </c>
      <c r="F4" s="119">
        <f t="shared" si="0"/>
        <v>2024</v>
      </c>
      <c r="G4" s="118">
        <f t="shared" si="0"/>
        <v>2025</v>
      </c>
      <c r="H4" s="119">
        <f t="shared" si="0"/>
        <v>2026</v>
      </c>
      <c r="I4" s="118">
        <f t="shared" si="0"/>
        <v>2027</v>
      </c>
      <c r="J4" s="119">
        <f t="shared" si="0"/>
        <v>2028</v>
      </c>
      <c r="K4" s="118">
        <f t="shared" si="0"/>
        <v>2029</v>
      </c>
      <c r="L4" s="119">
        <f t="shared" si="0"/>
        <v>2030</v>
      </c>
      <c r="M4" s="118">
        <f t="shared" si="0"/>
        <v>2031</v>
      </c>
      <c r="N4" s="119">
        <f t="shared" si="0"/>
        <v>2032</v>
      </c>
      <c r="O4" s="118">
        <f t="shared" si="0"/>
        <v>2033</v>
      </c>
      <c r="P4" s="119">
        <f t="shared" si="0"/>
        <v>2034</v>
      </c>
      <c r="Q4" s="118">
        <f t="shared" si="0"/>
        <v>2035</v>
      </c>
      <c r="R4" s="119">
        <f t="shared" si="0"/>
        <v>2036</v>
      </c>
      <c r="S4" s="118">
        <f t="shared" si="0"/>
        <v>2037</v>
      </c>
      <c r="T4" s="119">
        <f t="shared" si="0"/>
        <v>2038</v>
      </c>
      <c r="U4" s="118">
        <f t="shared" si="0"/>
        <v>2039</v>
      </c>
      <c r="V4" s="119">
        <f t="shared" si="0"/>
        <v>2040</v>
      </c>
      <c r="W4" s="118">
        <f t="shared" si="0"/>
        <v>2041</v>
      </c>
      <c r="X4" s="119">
        <f t="shared" si="0"/>
        <v>2042</v>
      </c>
      <c r="Y4" s="118">
        <f t="shared" si="0"/>
        <v>2043</v>
      </c>
      <c r="Z4" s="119">
        <f t="shared" si="0"/>
        <v>2044</v>
      </c>
      <c r="AA4" s="118">
        <f t="shared" si="0"/>
        <v>2045</v>
      </c>
      <c r="AB4" s="119">
        <f t="shared" si="0"/>
        <v>2046</v>
      </c>
      <c r="AC4" s="118">
        <f t="shared" si="0"/>
        <v>2047</v>
      </c>
      <c r="AD4" s="119">
        <f t="shared" si="0"/>
        <v>2048</v>
      </c>
      <c r="AE4" s="118">
        <f t="shared" si="0"/>
        <v>2049</v>
      </c>
      <c r="AF4" s="119">
        <f t="shared" si="0"/>
        <v>2050</v>
      </c>
      <c r="AG4" s="118">
        <f t="shared" si="0"/>
        <v>2051</v>
      </c>
    </row>
    <row r="5" spans="1:33" s="120" customFormat="1" x14ac:dyDescent="0.35">
      <c r="A5" s="121"/>
      <c r="B5" s="121"/>
      <c r="C5" s="122"/>
      <c r="D5" s="123"/>
      <c r="E5" s="124"/>
      <c r="F5" s="123"/>
      <c r="G5" s="124"/>
      <c r="H5" s="123"/>
      <c r="I5" s="124"/>
      <c r="J5" s="123"/>
      <c r="K5" s="124"/>
      <c r="L5" s="123"/>
      <c r="M5" s="124"/>
      <c r="N5" s="123"/>
      <c r="O5" s="124"/>
      <c r="P5" s="123"/>
      <c r="Q5" s="124"/>
      <c r="R5" s="123"/>
      <c r="S5" s="124"/>
      <c r="T5" s="123"/>
      <c r="U5" s="124"/>
      <c r="V5" s="123"/>
      <c r="W5" s="124"/>
      <c r="X5" s="123"/>
      <c r="Y5" s="124"/>
      <c r="Z5" s="123"/>
      <c r="AA5" s="124"/>
      <c r="AB5" s="123"/>
      <c r="AC5" s="124"/>
      <c r="AD5" s="123"/>
      <c r="AE5" s="124"/>
      <c r="AF5" s="123"/>
      <c r="AG5" s="124"/>
    </row>
    <row r="6" spans="1:33" s="120" customFormat="1" x14ac:dyDescent="0.35">
      <c r="A6" s="125" t="s">
        <v>28</v>
      </c>
      <c r="B6" s="125"/>
      <c r="C6" s="116"/>
      <c r="D6" s="117"/>
      <c r="E6" s="118"/>
      <c r="F6" s="117"/>
      <c r="G6" s="118"/>
      <c r="H6" s="117"/>
      <c r="I6" s="118"/>
      <c r="J6" s="117"/>
      <c r="K6" s="118"/>
      <c r="L6" s="117"/>
      <c r="M6" s="118"/>
      <c r="N6" s="117"/>
      <c r="O6" s="118"/>
      <c r="P6" s="117"/>
      <c r="Q6" s="118"/>
      <c r="R6" s="117"/>
      <c r="S6" s="118"/>
      <c r="T6" s="117"/>
      <c r="U6" s="118"/>
      <c r="V6" s="117"/>
      <c r="W6" s="118"/>
      <c r="X6" s="117"/>
      <c r="Y6" s="118"/>
      <c r="Z6" s="117"/>
      <c r="AA6" s="118"/>
      <c r="AB6" s="117"/>
      <c r="AC6" s="118"/>
      <c r="AD6" s="117"/>
      <c r="AE6" s="118"/>
      <c r="AF6" s="117"/>
      <c r="AG6" s="118"/>
    </row>
    <row r="7" spans="1:33" s="120" customFormat="1" x14ac:dyDescent="0.35">
      <c r="A7" s="125"/>
      <c r="B7" s="125"/>
      <c r="C7" s="116"/>
      <c r="D7" s="117"/>
      <c r="E7" s="118"/>
      <c r="F7" s="117"/>
      <c r="G7" s="118"/>
      <c r="H7" s="117"/>
      <c r="I7" s="118"/>
      <c r="J7" s="117"/>
      <c r="K7" s="118"/>
      <c r="L7" s="117"/>
      <c r="M7" s="118"/>
      <c r="N7" s="117"/>
      <c r="O7" s="118"/>
      <c r="P7" s="117"/>
      <c r="Q7" s="118"/>
      <c r="R7" s="117"/>
      <c r="S7" s="118"/>
      <c r="T7" s="117"/>
      <c r="U7" s="118"/>
      <c r="V7" s="117"/>
      <c r="W7" s="118"/>
      <c r="X7" s="117"/>
      <c r="Y7" s="118"/>
      <c r="Z7" s="117"/>
      <c r="AA7" s="118"/>
      <c r="AB7" s="117"/>
      <c r="AC7" s="118"/>
      <c r="AD7" s="117"/>
      <c r="AE7" s="118"/>
      <c r="AF7" s="117"/>
      <c r="AG7" s="118"/>
    </row>
    <row r="8" spans="1:33" x14ac:dyDescent="0.35">
      <c r="A8" s="77" t="s">
        <v>29</v>
      </c>
      <c r="B8" s="77"/>
      <c r="C8" s="126"/>
      <c r="D8" s="74">
        <v>1</v>
      </c>
      <c r="E8" s="73">
        <v>2</v>
      </c>
      <c r="F8" s="73">
        <v>3</v>
      </c>
      <c r="G8" s="73">
        <v>4</v>
      </c>
      <c r="H8" s="73">
        <v>5</v>
      </c>
      <c r="I8" s="73">
        <v>6</v>
      </c>
      <c r="J8" s="73">
        <v>7</v>
      </c>
      <c r="K8" s="73">
        <v>8</v>
      </c>
      <c r="L8" s="73">
        <v>9</v>
      </c>
      <c r="M8" s="73">
        <v>10</v>
      </c>
      <c r="N8" s="73">
        <v>11</v>
      </c>
      <c r="O8" s="73">
        <v>12</v>
      </c>
      <c r="P8" s="73">
        <v>13</v>
      </c>
      <c r="Q8" s="73">
        <v>14</v>
      </c>
      <c r="R8" s="73">
        <v>15</v>
      </c>
      <c r="S8" s="73">
        <v>16</v>
      </c>
      <c r="T8" s="73">
        <v>17</v>
      </c>
      <c r="U8" s="73">
        <v>18</v>
      </c>
      <c r="V8" s="73">
        <v>19</v>
      </c>
      <c r="W8" s="73">
        <v>20</v>
      </c>
      <c r="X8" s="73">
        <v>21</v>
      </c>
      <c r="Y8" s="73">
        <v>22</v>
      </c>
      <c r="Z8" s="73">
        <v>23</v>
      </c>
      <c r="AA8" s="73">
        <v>24</v>
      </c>
      <c r="AB8" s="73">
        <v>25</v>
      </c>
      <c r="AC8" s="73">
        <v>26</v>
      </c>
      <c r="AD8" s="73">
        <v>27</v>
      </c>
      <c r="AE8" s="73">
        <v>28</v>
      </c>
      <c r="AF8" s="73">
        <v>29</v>
      </c>
      <c r="AG8" s="73">
        <v>30</v>
      </c>
    </row>
    <row r="9" spans="1:33" s="120" customFormat="1" x14ac:dyDescent="0.35">
      <c r="A9" s="78" t="s">
        <v>62</v>
      </c>
      <c r="B9" s="78" t="s">
        <v>128</v>
      </c>
      <c r="C9" s="127">
        <v>2.1999999999999999E-2</v>
      </c>
      <c r="D9" s="128">
        <f t="shared" ref="D9:AG9" si="1">(1+$C$9)^D8</f>
        <v>1.022</v>
      </c>
      <c r="E9" s="128">
        <f t="shared" si="1"/>
        <v>1.044484</v>
      </c>
      <c r="F9" s="128">
        <f t="shared" si="1"/>
        <v>1.067462648</v>
      </c>
      <c r="G9" s="128">
        <f t="shared" si="1"/>
        <v>1.090946826256</v>
      </c>
      <c r="H9" s="128">
        <f t="shared" si="1"/>
        <v>1.114947656433632</v>
      </c>
      <c r="I9" s="128">
        <f t="shared" si="1"/>
        <v>1.1394765048751718</v>
      </c>
      <c r="J9" s="128">
        <f t="shared" si="1"/>
        <v>1.1645449879824257</v>
      </c>
      <c r="K9" s="128">
        <f t="shared" si="1"/>
        <v>1.1901649777180392</v>
      </c>
      <c r="L9" s="128">
        <f t="shared" si="1"/>
        <v>1.216348607227836</v>
      </c>
      <c r="M9" s="128">
        <f t="shared" si="1"/>
        <v>1.2431082765868484</v>
      </c>
      <c r="N9" s="128">
        <f t="shared" si="1"/>
        <v>1.2704566586717592</v>
      </c>
      <c r="O9" s="128">
        <f t="shared" si="1"/>
        <v>1.2984067051625379</v>
      </c>
      <c r="P9" s="128">
        <f t="shared" si="1"/>
        <v>1.3269716526761137</v>
      </c>
      <c r="Q9" s="128">
        <f t="shared" si="1"/>
        <v>1.356165029034988</v>
      </c>
      <c r="R9" s="128">
        <f t="shared" si="1"/>
        <v>1.386000659673758</v>
      </c>
      <c r="S9" s="128">
        <f t="shared" si="1"/>
        <v>1.4164926741865806</v>
      </c>
      <c r="T9" s="128">
        <f t="shared" si="1"/>
        <v>1.4476555130186854</v>
      </c>
      <c r="U9" s="128">
        <f t="shared" si="1"/>
        <v>1.4795039343050964</v>
      </c>
      <c r="V9" s="128">
        <f t="shared" si="1"/>
        <v>1.5120530208598086</v>
      </c>
      <c r="W9" s="128">
        <f t="shared" si="1"/>
        <v>1.5453181873187245</v>
      </c>
      <c r="X9" s="128">
        <f t="shared" si="1"/>
        <v>1.5793151874397364</v>
      </c>
      <c r="Y9" s="128">
        <f t="shared" si="1"/>
        <v>1.6140601215634105</v>
      </c>
      <c r="Z9" s="128">
        <f t="shared" si="1"/>
        <v>1.6495694442378055</v>
      </c>
      <c r="AA9" s="128">
        <f t="shared" si="1"/>
        <v>1.6858599720110374</v>
      </c>
      <c r="AB9" s="128">
        <f t="shared" si="1"/>
        <v>1.7229488913952802</v>
      </c>
      <c r="AC9" s="128">
        <f t="shared" si="1"/>
        <v>1.7608537670059765</v>
      </c>
      <c r="AD9" s="128">
        <f t="shared" si="1"/>
        <v>1.799592549880108</v>
      </c>
      <c r="AE9" s="128">
        <f t="shared" si="1"/>
        <v>1.8391835859774703</v>
      </c>
      <c r="AF9" s="128">
        <f t="shared" si="1"/>
        <v>1.8796456248689748</v>
      </c>
      <c r="AG9" s="128">
        <f t="shared" si="1"/>
        <v>1.920997828616092</v>
      </c>
    </row>
    <row r="10" spans="1:33" s="120" customFormat="1" x14ac:dyDescent="0.35">
      <c r="A10" s="78"/>
      <c r="B10" s="78"/>
      <c r="C10" s="127"/>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row>
    <row r="11" spans="1:33" s="120" customFormat="1" x14ac:dyDescent="0.35">
      <c r="A11" s="77" t="s">
        <v>63</v>
      </c>
      <c r="B11" s="78" t="s">
        <v>128</v>
      </c>
      <c r="C11" s="127">
        <v>0.01</v>
      </c>
      <c r="D11" s="128">
        <f t="shared" ref="D11:AG11" si="2">(1+$C$9+$C$11)^D8</f>
        <v>1.032</v>
      </c>
      <c r="E11" s="128">
        <f t="shared" si="2"/>
        <v>1.065024</v>
      </c>
      <c r="F11" s="128">
        <f t="shared" si="2"/>
        <v>1.0991047679999999</v>
      </c>
      <c r="G11" s="128">
        <f t="shared" si="2"/>
        <v>1.1342761205759999</v>
      </c>
      <c r="H11" s="128">
        <f t="shared" si="2"/>
        <v>1.170572956434432</v>
      </c>
      <c r="I11" s="128">
        <f t="shared" si="2"/>
        <v>1.2080312910403337</v>
      </c>
      <c r="J11" s="128">
        <f t="shared" si="2"/>
        <v>1.2466882923536242</v>
      </c>
      <c r="K11" s="128">
        <f t="shared" si="2"/>
        <v>1.2865823177089404</v>
      </c>
      <c r="L11" s="128">
        <f t="shared" si="2"/>
        <v>1.3277529518756266</v>
      </c>
      <c r="M11" s="128">
        <f t="shared" si="2"/>
        <v>1.3702410463356465</v>
      </c>
      <c r="N11" s="128">
        <f t="shared" si="2"/>
        <v>1.4140887598183871</v>
      </c>
      <c r="O11" s="128">
        <f t="shared" si="2"/>
        <v>1.4593396001325756</v>
      </c>
      <c r="P11" s="128">
        <f t="shared" si="2"/>
        <v>1.5060384673368181</v>
      </c>
      <c r="Q11" s="128">
        <f t="shared" si="2"/>
        <v>1.554231698291596</v>
      </c>
      <c r="R11" s="128">
        <f t="shared" si="2"/>
        <v>1.6039671126369268</v>
      </c>
      <c r="S11" s="128">
        <f t="shared" si="2"/>
        <v>1.6552940602413089</v>
      </c>
      <c r="T11" s="128">
        <f t="shared" si="2"/>
        <v>1.7082634701690309</v>
      </c>
      <c r="U11" s="128">
        <f t="shared" si="2"/>
        <v>1.7629279012144397</v>
      </c>
      <c r="V11" s="128">
        <f t="shared" si="2"/>
        <v>1.8193415940533015</v>
      </c>
      <c r="W11" s="128">
        <f t="shared" si="2"/>
        <v>1.8775605250630074</v>
      </c>
      <c r="X11" s="128">
        <f t="shared" si="2"/>
        <v>1.9376424618650239</v>
      </c>
      <c r="Y11" s="128">
        <f t="shared" si="2"/>
        <v>1.9996470206447043</v>
      </c>
      <c r="Z11" s="128">
        <f t="shared" si="2"/>
        <v>2.0636357253053346</v>
      </c>
      <c r="AA11" s="128">
        <f t="shared" si="2"/>
        <v>2.1296720685151054</v>
      </c>
      <c r="AB11" s="128">
        <f t="shared" si="2"/>
        <v>2.1978215747075893</v>
      </c>
      <c r="AC11" s="128">
        <f t="shared" si="2"/>
        <v>2.2681518650982317</v>
      </c>
      <c r="AD11" s="128">
        <f t="shared" si="2"/>
        <v>2.340732724781375</v>
      </c>
      <c r="AE11" s="128">
        <f t="shared" si="2"/>
        <v>2.4156361719743793</v>
      </c>
      <c r="AF11" s="128">
        <f t="shared" si="2"/>
        <v>2.4929365294775594</v>
      </c>
      <c r="AG11" s="128">
        <f t="shared" si="2"/>
        <v>2.5727104984208409</v>
      </c>
    </row>
    <row r="12" spans="1:33" s="120" customFormat="1" x14ac:dyDescent="0.35">
      <c r="A12" s="77"/>
      <c r="B12" s="77"/>
      <c r="C12" s="127"/>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row>
    <row r="13" spans="1:33" s="120" customFormat="1" ht="31" x14ac:dyDescent="0.35">
      <c r="A13" s="77" t="s">
        <v>31</v>
      </c>
      <c r="B13" s="106" t="s">
        <v>137</v>
      </c>
      <c r="C13" s="127">
        <v>2.9902871712606638E-2</v>
      </c>
      <c r="D13" s="128">
        <f t="shared" ref="D13:AG13" si="3">(1+$C$13)^D8</f>
        <v>1.0299028717126066</v>
      </c>
      <c r="E13" s="128">
        <f t="shared" si="3"/>
        <v>1.0606999251618738</v>
      </c>
      <c r="F13" s="128">
        <f t="shared" si="3"/>
        <v>1.0924178989495608</v>
      </c>
      <c r="G13" s="128">
        <f t="shared" si="3"/>
        <v>1.1250843312384047</v>
      </c>
      <c r="H13" s="128">
        <f t="shared" si="3"/>
        <v>1.1587275836612905</v>
      </c>
      <c r="I13" s="128">
        <f t="shared" si="3"/>
        <v>1.1933768659453727</v>
      </c>
      <c r="J13" s="128">
        <f t="shared" si="3"/>
        <v>1.2290622612725297</v>
      </c>
      <c r="K13" s="128">
        <f t="shared" si="3"/>
        <v>1.2658147523981682</v>
      </c>
      <c r="L13" s="128">
        <f t="shared" si="3"/>
        <v>1.3036662485510555</v>
      </c>
      <c r="M13" s="128">
        <f t="shared" si="3"/>
        <v>1.3426496131375329</v>
      </c>
      <c r="N13" s="128">
        <f t="shared" si="3"/>
        <v>1.3827986922741653</v>
      </c>
      <c r="O13" s="128">
        <f t="shared" si="3"/>
        <v>1.4241483441735998</v>
      </c>
      <c r="P13" s="128">
        <f t="shared" si="3"/>
        <v>1.4667344694091442</v>
      </c>
      <c r="Q13" s="128">
        <f t="shared" si="3"/>
        <v>1.510594042084344</v>
      </c>
      <c r="R13" s="128">
        <f t="shared" si="3"/>
        <v>1.5557651419346199</v>
      </c>
      <c r="S13" s="128">
        <f t="shared" si="3"/>
        <v>1.6022869873888359</v>
      </c>
      <c r="T13" s="128">
        <f t="shared" si="3"/>
        <v>1.6501999696195033</v>
      </c>
      <c r="U13" s="128">
        <f t="shared" si="3"/>
        <v>1.6995456876111825</v>
      </c>
      <c r="V13" s="128">
        <f t="shared" si="3"/>
        <v>1.7503669842775336</v>
      </c>
      <c r="W13" s="128">
        <f t="shared" si="3"/>
        <v>1.8027079836583666</v>
      </c>
      <c r="X13" s="128">
        <f t="shared" si="3"/>
        <v>1.8566141292289944</v>
      </c>
      <c r="Y13" s="128">
        <f t="shared" si="3"/>
        <v>1.9121322233551419</v>
      </c>
      <c r="Z13" s="128">
        <f t="shared" si="3"/>
        <v>1.9693104679276721</v>
      </c>
      <c r="AA13" s="128">
        <f t="shared" si="3"/>
        <v>2.0281985062124064</v>
      </c>
      <c r="AB13" s="128">
        <f t="shared" si="3"/>
        <v>2.088847465951376</v>
      </c>
      <c r="AC13" s="128">
        <f t="shared" si="3"/>
        <v>2.1513100037529238</v>
      </c>
      <c r="AD13" s="128">
        <f t="shared" si="3"/>
        <v>2.2156403508091942</v>
      </c>
      <c r="AE13" s="128">
        <f t="shared" si="3"/>
        <v>2.2818943599807162</v>
      </c>
      <c r="AF13" s="128">
        <f t="shared" si="3"/>
        <v>2.3501295542889404</v>
      </c>
      <c r="AG13" s="128">
        <f t="shared" si="3"/>
        <v>2.4204051768588482</v>
      </c>
    </row>
    <row r="14" spans="1:33" ht="16" thickBot="1" x14ac:dyDescent="0.4">
      <c r="A14" s="79"/>
      <c r="B14" s="79"/>
      <c r="C14" s="129"/>
      <c r="D14" s="167"/>
      <c r="E14" s="131"/>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row>
    <row r="15" spans="1:33" x14ac:dyDescent="0.35">
      <c r="A15" s="80" t="s">
        <v>191</v>
      </c>
      <c r="B15" s="178" t="s">
        <v>192</v>
      </c>
      <c r="C15" s="133"/>
      <c r="D15" s="134"/>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row>
    <row r="16" spans="1:33" x14ac:dyDescent="0.35">
      <c r="A16" s="77"/>
      <c r="B16" s="77"/>
      <c r="C16" s="126"/>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3" x14ac:dyDescent="0.35">
      <c r="A17" s="77" t="s">
        <v>132</v>
      </c>
      <c r="B17" s="77" t="s">
        <v>169</v>
      </c>
      <c r="C17" s="136">
        <f>AVERAGE(C49:C50)</f>
        <v>438346573.75000006</v>
      </c>
      <c r="D17" s="7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x14ac:dyDescent="0.35">
      <c r="A18" s="77" t="s">
        <v>14</v>
      </c>
      <c r="B18" s="77" t="s">
        <v>124</v>
      </c>
      <c r="C18" s="136">
        <f>C17/2</f>
        <v>219173286.87500003</v>
      </c>
      <c r="D18" s="72"/>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x14ac:dyDescent="0.35">
      <c r="A19" s="77"/>
      <c r="B19" s="77"/>
      <c r="C19" s="136"/>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row>
    <row r="20" spans="1:33" x14ac:dyDescent="0.35">
      <c r="A20" s="77" t="s">
        <v>64</v>
      </c>
      <c r="B20" s="77" t="s">
        <v>136</v>
      </c>
      <c r="C20" s="137">
        <v>50745000</v>
      </c>
      <c r="D20" s="140"/>
      <c r="E20" s="73"/>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row>
    <row r="21" spans="1:33" ht="16" thickBot="1" x14ac:dyDescent="0.4">
      <c r="A21" s="77"/>
      <c r="B21" s="77"/>
      <c r="C21" s="137"/>
      <c r="D21" s="72"/>
      <c r="E21" s="73"/>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138" customFormat="1" x14ac:dyDescent="0.35">
      <c r="A22" s="80" t="s">
        <v>158</v>
      </c>
      <c r="B22" s="178" t="s">
        <v>192</v>
      </c>
      <c r="C22" s="133"/>
      <c r="D22" s="134"/>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row>
    <row r="23" spans="1:33" x14ac:dyDescent="0.35">
      <c r="A23" s="77"/>
      <c r="B23" s="77"/>
      <c r="C23" s="126"/>
      <c r="D23" s="7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x14ac:dyDescent="0.35">
      <c r="A24" s="77" t="s">
        <v>7</v>
      </c>
      <c r="B24" s="77" t="s">
        <v>198</v>
      </c>
      <c r="C24" s="136">
        <v>17040000</v>
      </c>
      <c r="D24" s="140"/>
      <c r="E24" s="168"/>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x14ac:dyDescent="0.35">
      <c r="A25" s="77" t="s">
        <v>1</v>
      </c>
      <c r="B25" s="77" t="s">
        <v>194</v>
      </c>
      <c r="C25" s="136">
        <v>8642000</v>
      </c>
      <c r="D25" s="140"/>
      <c r="E25" s="168"/>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x14ac:dyDescent="0.35">
      <c r="A26" s="77" t="s">
        <v>4</v>
      </c>
      <c r="B26" s="78" t="s">
        <v>128</v>
      </c>
      <c r="C26" s="139">
        <v>3.5000000000000003E-2</v>
      </c>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x14ac:dyDescent="0.35">
      <c r="A27" s="77" t="s">
        <v>46</v>
      </c>
      <c r="B27" s="78" t="s">
        <v>128</v>
      </c>
      <c r="C27" s="139">
        <v>5.0000000000000001E-3</v>
      </c>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6" thickBot="1" x14ac:dyDescent="0.4">
      <c r="A28" s="77"/>
      <c r="B28" s="77"/>
      <c r="C28" s="126"/>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138" customFormat="1" x14ac:dyDescent="0.35">
      <c r="A29" s="80" t="s">
        <v>50</v>
      </c>
      <c r="B29" s="80"/>
      <c r="C29" s="133"/>
      <c r="D29" s="134"/>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row>
    <row r="30" spans="1:33" x14ac:dyDescent="0.35">
      <c r="A30" s="77"/>
      <c r="B30" s="77"/>
      <c r="C30" s="126"/>
      <c r="D30" s="72"/>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1:33" x14ac:dyDescent="0.35">
      <c r="A31" s="69" t="s">
        <v>51</v>
      </c>
      <c r="B31" s="70" t="s">
        <v>131</v>
      </c>
      <c r="C31" s="127">
        <v>0</v>
      </c>
      <c r="D31" s="140"/>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row>
    <row r="32" spans="1:33" x14ac:dyDescent="0.35">
      <c r="A32" s="69" t="s">
        <v>52</v>
      </c>
      <c r="B32" s="70" t="s">
        <v>131</v>
      </c>
      <c r="C32" s="127">
        <v>0</v>
      </c>
      <c r="D32" s="140"/>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1:33" x14ac:dyDescent="0.35">
      <c r="A33" s="81" t="s">
        <v>104</v>
      </c>
      <c r="B33" s="82" t="s">
        <v>126</v>
      </c>
      <c r="C33" s="127">
        <v>0</v>
      </c>
      <c r="D33" s="72"/>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x14ac:dyDescent="0.35">
      <c r="A34" s="69"/>
      <c r="B34" s="69"/>
      <c r="C34" s="127"/>
      <c r="D34" s="72"/>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x14ac:dyDescent="0.35">
      <c r="A35" s="69" t="s">
        <v>53</v>
      </c>
      <c r="B35" s="69" t="s">
        <v>127</v>
      </c>
      <c r="C35" s="127">
        <f>$C$31</f>
        <v>0</v>
      </c>
      <c r="D35" s="72"/>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row>
    <row r="36" spans="1:33" x14ac:dyDescent="0.35">
      <c r="A36" s="69" t="s">
        <v>54</v>
      </c>
      <c r="B36" s="69" t="s">
        <v>127</v>
      </c>
      <c r="C36" s="127">
        <f t="shared" ref="C36:C37" si="4">$C$31</f>
        <v>0</v>
      </c>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row>
    <row r="37" spans="1:33" x14ac:dyDescent="0.35">
      <c r="A37" s="69" t="s">
        <v>55</v>
      </c>
      <c r="B37" s="69" t="s">
        <v>127</v>
      </c>
      <c r="C37" s="127">
        <f t="shared" si="4"/>
        <v>0</v>
      </c>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x14ac:dyDescent="0.35">
      <c r="A38" s="69"/>
      <c r="B38" s="69"/>
      <c r="C38" s="127"/>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x14ac:dyDescent="0.35">
      <c r="A39" s="69" t="s">
        <v>56</v>
      </c>
      <c r="B39" s="69" t="s">
        <v>127</v>
      </c>
      <c r="C39" s="127">
        <f>$C$32</f>
        <v>0</v>
      </c>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row>
    <row r="40" spans="1:33" x14ac:dyDescent="0.35">
      <c r="A40" s="69" t="s">
        <v>57</v>
      </c>
      <c r="B40" s="69" t="s">
        <v>127</v>
      </c>
      <c r="C40" s="127">
        <f t="shared" ref="C40:C41" si="5">$C$32</f>
        <v>0</v>
      </c>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69" t="s">
        <v>58</v>
      </c>
      <c r="B41" s="69" t="s">
        <v>127</v>
      </c>
      <c r="C41" s="127">
        <f t="shared" si="5"/>
        <v>0</v>
      </c>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69"/>
      <c r="B42" s="69"/>
      <c r="C42" s="127"/>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69" t="s">
        <v>59</v>
      </c>
      <c r="B43" s="69" t="s">
        <v>86</v>
      </c>
      <c r="C43" s="141">
        <v>1</v>
      </c>
      <c r="D43" s="142">
        <v>1</v>
      </c>
      <c r="E43" s="142">
        <v>1</v>
      </c>
      <c r="F43" s="142">
        <v>1</v>
      </c>
      <c r="G43" s="142">
        <v>1</v>
      </c>
      <c r="H43" s="142">
        <f>G43*(1+$C$35)</f>
        <v>1</v>
      </c>
      <c r="I43" s="142">
        <f>H43*(1+$C$35)</f>
        <v>1</v>
      </c>
      <c r="J43" s="142">
        <f>I43*(1+$C$35)</f>
        <v>1</v>
      </c>
      <c r="K43" s="142">
        <f>J43*(1+$C$35)</f>
        <v>1</v>
      </c>
      <c r="L43" s="142">
        <f>K43*(1+$C$35)</f>
        <v>1</v>
      </c>
      <c r="M43" s="142">
        <f>L43*(1+$C$36)</f>
        <v>1</v>
      </c>
      <c r="N43" s="142">
        <f>M43*(1+$C$36)</f>
        <v>1</v>
      </c>
      <c r="O43" s="142">
        <f>N43*(1+$C$36)</f>
        <v>1</v>
      </c>
      <c r="P43" s="142">
        <f>O43*(1+$C$36)</f>
        <v>1</v>
      </c>
      <c r="Q43" s="142">
        <f>P43*(1+$C$36)</f>
        <v>1</v>
      </c>
      <c r="R43" s="142">
        <f>Q43*(1+$C$37)</f>
        <v>1</v>
      </c>
      <c r="S43" s="142">
        <f>R43*(1+$C$37)</f>
        <v>1</v>
      </c>
      <c r="T43" s="142">
        <f>S43*(1+$C$37)</f>
        <v>1</v>
      </c>
      <c r="U43" s="142">
        <f>T43*(1+$C$37)</f>
        <v>1</v>
      </c>
      <c r="V43" s="142">
        <f>U43*(1+$C$37)</f>
        <v>1</v>
      </c>
      <c r="W43" s="142">
        <f t="shared" ref="W43:AG43" si="6">V43</f>
        <v>1</v>
      </c>
      <c r="X43" s="142">
        <f t="shared" si="6"/>
        <v>1</v>
      </c>
      <c r="Y43" s="142">
        <f t="shared" si="6"/>
        <v>1</v>
      </c>
      <c r="Z43" s="142">
        <f t="shared" si="6"/>
        <v>1</v>
      </c>
      <c r="AA43" s="142">
        <f t="shared" si="6"/>
        <v>1</v>
      </c>
      <c r="AB43" s="142">
        <f t="shared" si="6"/>
        <v>1</v>
      </c>
      <c r="AC43" s="142">
        <f t="shared" si="6"/>
        <v>1</v>
      </c>
      <c r="AD43" s="142">
        <f t="shared" si="6"/>
        <v>1</v>
      </c>
      <c r="AE43" s="142">
        <f t="shared" si="6"/>
        <v>1</v>
      </c>
      <c r="AF43" s="142">
        <f t="shared" si="6"/>
        <v>1</v>
      </c>
      <c r="AG43" s="142">
        <f t="shared" si="6"/>
        <v>1</v>
      </c>
    </row>
    <row r="44" spans="1:33" x14ac:dyDescent="0.35">
      <c r="A44" s="69" t="s">
        <v>60</v>
      </c>
      <c r="B44" s="69" t="s">
        <v>86</v>
      </c>
      <c r="C44" s="141">
        <v>1</v>
      </c>
      <c r="D44" s="142">
        <v>1</v>
      </c>
      <c r="E44" s="142">
        <v>1</v>
      </c>
      <c r="F44" s="142">
        <v>1</v>
      </c>
      <c r="G44" s="142">
        <v>1</v>
      </c>
      <c r="H44" s="142">
        <f>G44*(1+$C$39)</f>
        <v>1</v>
      </c>
      <c r="I44" s="142">
        <f>H44*(1+$C$39)</f>
        <v>1</v>
      </c>
      <c r="J44" s="142">
        <f>I44*(1+$C$39)</f>
        <v>1</v>
      </c>
      <c r="K44" s="142">
        <f>J44*(1+$C$39)</f>
        <v>1</v>
      </c>
      <c r="L44" s="142">
        <f>K44*(1+$C$39)</f>
        <v>1</v>
      </c>
      <c r="M44" s="142">
        <f>L44*(1+$C$40)</f>
        <v>1</v>
      </c>
      <c r="N44" s="142">
        <f>M44*(1+$C$40)</f>
        <v>1</v>
      </c>
      <c r="O44" s="142">
        <f>N44*(1+$C$40)</f>
        <v>1</v>
      </c>
      <c r="P44" s="142">
        <f>O44*(1+$C$40)</f>
        <v>1</v>
      </c>
      <c r="Q44" s="142">
        <f>P44*(1+$C$40)</f>
        <v>1</v>
      </c>
      <c r="R44" s="142">
        <f>Q44*(1+$C$41)</f>
        <v>1</v>
      </c>
      <c r="S44" s="142">
        <f>R44*(1+$C$41)</f>
        <v>1</v>
      </c>
      <c r="T44" s="142">
        <f>S44*(1+$C$41)</f>
        <v>1</v>
      </c>
      <c r="U44" s="142">
        <f>T44*(1+$C$41)</f>
        <v>1</v>
      </c>
      <c r="V44" s="142">
        <f>U44*(1+$C$41)</f>
        <v>1</v>
      </c>
      <c r="W44" s="142">
        <f t="shared" ref="W44:AG44" si="7">V44</f>
        <v>1</v>
      </c>
      <c r="X44" s="142">
        <f t="shared" si="7"/>
        <v>1</v>
      </c>
      <c r="Y44" s="142">
        <f t="shared" si="7"/>
        <v>1</v>
      </c>
      <c r="Z44" s="142">
        <f t="shared" si="7"/>
        <v>1</v>
      </c>
      <c r="AA44" s="142">
        <f t="shared" si="7"/>
        <v>1</v>
      </c>
      <c r="AB44" s="142">
        <f t="shared" si="7"/>
        <v>1</v>
      </c>
      <c r="AC44" s="142">
        <f t="shared" si="7"/>
        <v>1</v>
      </c>
      <c r="AD44" s="142">
        <f t="shared" si="7"/>
        <v>1</v>
      </c>
      <c r="AE44" s="142">
        <f t="shared" si="7"/>
        <v>1</v>
      </c>
      <c r="AF44" s="142">
        <f t="shared" si="7"/>
        <v>1</v>
      </c>
      <c r="AG44" s="142">
        <f t="shared" si="7"/>
        <v>1</v>
      </c>
    </row>
    <row r="45" spans="1:33" x14ac:dyDescent="0.35">
      <c r="A45" s="69" t="s">
        <v>87</v>
      </c>
      <c r="B45" s="69" t="s">
        <v>86</v>
      </c>
      <c r="C45" s="141">
        <v>1</v>
      </c>
      <c r="D45" s="142">
        <f t="shared" ref="D45:AG45" si="8">C45*(1+$C$33)</f>
        <v>1</v>
      </c>
      <c r="E45" s="142">
        <f t="shared" si="8"/>
        <v>1</v>
      </c>
      <c r="F45" s="142">
        <f t="shared" si="8"/>
        <v>1</v>
      </c>
      <c r="G45" s="142">
        <f t="shared" si="8"/>
        <v>1</v>
      </c>
      <c r="H45" s="142">
        <f t="shared" si="8"/>
        <v>1</v>
      </c>
      <c r="I45" s="142">
        <f t="shared" si="8"/>
        <v>1</v>
      </c>
      <c r="J45" s="142">
        <f t="shared" si="8"/>
        <v>1</v>
      </c>
      <c r="K45" s="142">
        <f t="shared" si="8"/>
        <v>1</v>
      </c>
      <c r="L45" s="142">
        <f t="shared" si="8"/>
        <v>1</v>
      </c>
      <c r="M45" s="142">
        <f t="shared" si="8"/>
        <v>1</v>
      </c>
      <c r="N45" s="142">
        <f t="shared" si="8"/>
        <v>1</v>
      </c>
      <c r="O45" s="142">
        <f t="shared" si="8"/>
        <v>1</v>
      </c>
      <c r="P45" s="142">
        <f t="shared" si="8"/>
        <v>1</v>
      </c>
      <c r="Q45" s="142">
        <f t="shared" si="8"/>
        <v>1</v>
      </c>
      <c r="R45" s="142">
        <f t="shared" si="8"/>
        <v>1</v>
      </c>
      <c r="S45" s="142">
        <f t="shared" si="8"/>
        <v>1</v>
      </c>
      <c r="T45" s="142">
        <f t="shared" si="8"/>
        <v>1</v>
      </c>
      <c r="U45" s="142">
        <f t="shared" si="8"/>
        <v>1</v>
      </c>
      <c r="V45" s="142">
        <f t="shared" si="8"/>
        <v>1</v>
      </c>
      <c r="W45" s="142">
        <f t="shared" si="8"/>
        <v>1</v>
      </c>
      <c r="X45" s="142">
        <f t="shared" si="8"/>
        <v>1</v>
      </c>
      <c r="Y45" s="142">
        <f t="shared" si="8"/>
        <v>1</v>
      </c>
      <c r="Z45" s="142">
        <f t="shared" si="8"/>
        <v>1</v>
      </c>
      <c r="AA45" s="142">
        <f t="shared" si="8"/>
        <v>1</v>
      </c>
      <c r="AB45" s="142">
        <f t="shared" si="8"/>
        <v>1</v>
      </c>
      <c r="AC45" s="142">
        <f t="shared" si="8"/>
        <v>1</v>
      </c>
      <c r="AD45" s="142">
        <f t="shared" si="8"/>
        <v>1</v>
      </c>
      <c r="AE45" s="142">
        <f t="shared" si="8"/>
        <v>1</v>
      </c>
      <c r="AF45" s="142">
        <f t="shared" si="8"/>
        <v>1</v>
      </c>
      <c r="AG45" s="142">
        <f t="shared" si="8"/>
        <v>1</v>
      </c>
    </row>
    <row r="46" spans="1:33" ht="16" thickBot="1" x14ac:dyDescent="0.4">
      <c r="A46" s="83"/>
      <c r="B46" s="83"/>
      <c r="C46" s="143"/>
      <c r="D46" s="130"/>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row>
    <row r="47" spans="1:33" x14ac:dyDescent="0.35">
      <c r="A47" s="84" t="s">
        <v>159</v>
      </c>
      <c r="B47" s="84"/>
      <c r="C47" s="13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row>
    <row r="48" spans="1:33" x14ac:dyDescent="0.35">
      <c r="A48" s="69"/>
      <c r="B48" s="69"/>
      <c r="C48" s="126"/>
      <c r="D48" s="72"/>
      <c r="E48" s="73"/>
      <c r="F48" s="74"/>
      <c r="G48" s="73"/>
      <c r="H48" s="75"/>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row>
    <row r="49" spans="1:33" x14ac:dyDescent="0.35">
      <c r="A49" s="69" t="s">
        <v>106</v>
      </c>
      <c r="B49" s="77" t="s">
        <v>134</v>
      </c>
      <c r="C49" s="71">
        <v>350677259</v>
      </c>
      <c r="D49" s="140"/>
      <c r="E49" s="73"/>
      <c r="F49" s="74"/>
      <c r="G49" s="73"/>
      <c r="H49" s="75"/>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row>
    <row r="50" spans="1:33" x14ac:dyDescent="0.35">
      <c r="A50" s="69" t="s">
        <v>107</v>
      </c>
      <c r="B50" s="77" t="s">
        <v>135</v>
      </c>
      <c r="C50" s="71">
        <v>526015888.50000012</v>
      </c>
      <c r="D50" s="140"/>
      <c r="E50" s="73"/>
      <c r="F50" s="74"/>
      <c r="G50" s="73"/>
      <c r="H50" s="75"/>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69"/>
      <c r="B51" s="69"/>
      <c r="C51" s="126"/>
      <c r="D51" s="72"/>
      <c r="E51" s="73"/>
      <c r="F51" s="74"/>
      <c r="G51" s="73"/>
      <c r="H51" s="75"/>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69" t="s">
        <v>119</v>
      </c>
      <c r="B52" s="77" t="s">
        <v>114</v>
      </c>
      <c r="C52" s="144">
        <v>0.1</v>
      </c>
      <c r="D52" s="72"/>
      <c r="E52" s="73"/>
      <c r="F52" s="74"/>
      <c r="G52" s="73"/>
      <c r="H52" s="75"/>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3" x14ac:dyDescent="0.35">
      <c r="A53" s="69" t="s">
        <v>120</v>
      </c>
      <c r="B53" s="77" t="s">
        <v>114</v>
      </c>
      <c r="C53" s="144">
        <v>0.9</v>
      </c>
      <c r="D53" s="72"/>
      <c r="E53" s="73"/>
      <c r="F53" s="74"/>
      <c r="G53" s="73"/>
      <c r="H53" s="75"/>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69"/>
      <c r="B54" s="69"/>
      <c r="C54" s="144"/>
      <c r="D54" s="72"/>
      <c r="E54" s="73"/>
      <c r="F54" s="74"/>
      <c r="G54" s="73"/>
      <c r="H54" s="75"/>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85" t="s">
        <v>118</v>
      </c>
      <c r="B55" s="85"/>
      <c r="C55" s="144"/>
      <c r="D55" s="72"/>
      <c r="E55" s="73"/>
      <c r="F55" s="74"/>
      <c r="G55" s="73"/>
      <c r="H55" s="75"/>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x14ac:dyDescent="0.35">
      <c r="A56" s="69" t="s">
        <v>108</v>
      </c>
      <c r="B56" s="77" t="s">
        <v>170</v>
      </c>
      <c r="C56" s="71">
        <v>23.939688236227312</v>
      </c>
      <c r="D56" s="72"/>
      <c r="E56" s="73"/>
      <c r="F56" s="74"/>
      <c r="G56" s="73"/>
      <c r="H56" s="75"/>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x14ac:dyDescent="0.35">
      <c r="A57" s="69" t="s">
        <v>109</v>
      </c>
      <c r="B57" s="77" t="s">
        <v>170</v>
      </c>
      <c r="C57" s="71">
        <v>33.857631051616707</v>
      </c>
      <c r="D57" s="72"/>
      <c r="E57" s="73"/>
      <c r="F57" s="74"/>
      <c r="G57" s="73"/>
      <c r="H57" s="75"/>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69" t="s">
        <v>110</v>
      </c>
      <c r="B58" s="69" t="s">
        <v>86</v>
      </c>
      <c r="C58" s="71">
        <f>AVERAGE(C56:C57)</f>
        <v>28.898659643922009</v>
      </c>
      <c r="D58" s="72"/>
      <c r="E58" s="73"/>
      <c r="F58" s="74"/>
      <c r="G58" s="73"/>
      <c r="H58" s="75"/>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69"/>
      <c r="B59" s="69"/>
      <c r="C59" s="71"/>
      <c r="D59" s="72"/>
      <c r="E59" s="73"/>
      <c r="F59" s="74"/>
      <c r="G59" s="73"/>
      <c r="H59" s="75"/>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85" t="s">
        <v>116</v>
      </c>
      <c r="B60" s="85"/>
      <c r="C60" s="71"/>
      <c r="D60" s="72"/>
      <c r="E60" s="73"/>
      <c r="F60" s="74"/>
      <c r="G60" s="73"/>
      <c r="H60" s="75"/>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69" t="s">
        <v>108</v>
      </c>
      <c r="B61" s="77" t="s">
        <v>114</v>
      </c>
      <c r="C61" s="71">
        <v>84.01794006534017</v>
      </c>
      <c r="D61" s="72"/>
      <c r="E61" s="73"/>
      <c r="F61" s="74"/>
      <c r="G61" s="73"/>
      <c r="H61" s="75"/>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69" t="s">
        <v>109</v>
      </c>
      <c r="B62" s="77" t="s">
        <v>114</v>
      </c>
      <c r="C62" s="71">
        <v>111.79379467063849</v>
      </c>
      <c r="D62" s="72"/>
      <c r="E62" s="73"/>
      <c r="F62" s="74"/>
      <c r="G62" s="73"/>
      <c r="H62" s="75"/>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69" t="s">
        <v>110</v>
      </c>
      <c r="B63" s="69" t="s">
        <v>86</v>
      </c>
      <c r="C63" s="71">
        <f>AVERAGE(C61:C62)</f>
        <v>97.90586736798933</v>
      </c>
      <c r="D63" s="72"/>
      <c r="E63" s="73"/>
      <c r="F63" s="74"/>
      <c r="G63" s="73"/>
      <c r="H63" s="75"/>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row>
    <row r="64" spans="1:33" x14ac:dyDescent="0.35">
      <c r="A64" s="69"/>
      <c r="B64" s="69"/>
      <c r="C64" s="126"/>
      <c r="D64" s="72"/>
      <c r="E64" s="73"/>
      <c r="F64" s="74"/>
      <c r="G64" s="73"/>
      <c r="H64" s="75"/>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x14ac:dyDescent="0.35">
      <c r="A65" s="85" t="s">
        <v>115</v>
      </c>
      <c r="B65" s="85"/>
      <c r="C65" s="126"/>
      <c r="D65" s="72"/>
      <c r="E65" s="73"/>
      <c r="F65" s="74"/>
      <c r="G65" s="73"/>
      <c r="H65" s="75"/>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x14ac:dyDescent="0.35">
      <c r="A66" s="86" t="s">
        <v>108</v>
      </c>
      <c r="B66" s="86" t="s">
        <v>86</v>
      </c>
      <c r="C66" s="71">
        <f>C49*C52/C57</f>
        <v>1035740.6826998167</v>
      </c>
      <c r="D66" s="72"/>
      <c r="E66" s="73"/>
      <c r="F66" s="74"/>
      <c r="G66" s="73"/>
      <c r="H66" s="75"/>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x14ac:dyDescent="0.35">
      <c r="A67" s="69" t="s">
        <v>109</v>
      </c>
      <c r="B67" s="86" t="s">
        <v>86</v>
      </c>
      <c r="C67" s="71">
        <f>C50*C52/C56</f>
        <v>2197254.5478014783</v>
      </c>
      <c r="D67" s="72"/>
      <c r="E67" s="73"/>
      <c r="F67" s="74"/>
      <c r="G67" s="73"/>
      <c r="H67" s="75"/>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x14ac:dyDescent="0.35">
      <c r="A68" s="69" t="s">
        <v>110</v>
      </c>
      <c r="B68" s="86" t="s">
        <v>86</v>
      </c>
      <c r="C68" s="145">
        <f>AVERAGE(C66:C67)</f>
        <v>1616497.6152506475</v>
      </c>
      <c r="D68" s="72"/>
      <c r="E68" s="73"/>
      <c r="F68" s="74"/>
      <c r="G68" s="73"/>
      <c r="H68" s="75"/>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69"/>
      <c r="B69" s="69"/>
      <c r="C69" s="126"/>
      <c r="D69" s="72"/>
      <c r="E69" s="73"/>
      <c r="F69" s="74"/>
      <c r="G69" s="73"/>
      <c r="H69" s="75"/>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85" t="s">
        <v>117</v>
      </c>
      <c r="B70" s="85"/>
      <c r="C70" s="126"/>
      <c r="D70" s="72"/>
      <c r="E70" s="73"/>
      <c r="F70" s="74"/>
      <c r="G70" s="73"/>
      <c r="H70" s="75"/>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86" t="s">
        <v>108</v>
      </c>
      <c r="B71" s="86" t="s">
        <v>86</v>
      </c>
      <c r="C71" s="71">
        <f>C49*C53/C62</f>
        <v>2823139.9965430433</v>
      </c>
      <c r="D71" s="72"/>
      <c r="E71" s="73"/>
      <c r="F71" s="74"/>
      <c r="G71" s="73"/>
      <c r="H71" s="75"/>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69" t="s">
        <v>109</v>
      </c>
      <c r="B72" s="86" t="s">
        <v>86</v>
      </c>
      <c r="C72" s="71">
        <f>C50*C53/C61</f>
        <v>5634681.1083660116</v>
      </c>
      <c r="D72" s="72"/>
      <c r="E72" s="73"/>
      <c r="F72" s="74"/>
      <c r="G72" s="73"/>
      <c r="H72" s="75"/>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69" t="s">
        <v>110</v>
      </c>
      <c r="B73" s="86" t="s">
        <v>86</v>
      </c>
      <c r="C73" s="145">
        <f>AVERAGE(C71:C72)</f>
        <v>4228910.5524545275</v>
      </c>
      <c r="D73" s="72"/>
      <c r="E73" s="73"/>
      <c r="F73" s="74"/>
      <c r="G73" s="73"/>
      <c r="H73" s="75"/>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69"/>
      <c r="B74" s="69"/>
      <c r="C74" s="145"/>
      <c r="D74" s="72"/>
      <c r="E74" s="73"/>
      <c r="F74" s="74"/>
      <c r="G74" s="73"/>
      <c r="H74" s="75"/>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ht="31" x14ac:dyDescent="0.35">
      <c r="A75" s="69" t="s">
        <v>111</v>
      </c>
      <c r="B75" s="70" t="s">
        <v>121</v>
      </c>
      <c r="C75" s="71">
        <f>C67+C73</f>
        <v>6426165.1002560053</v>
      </c>
      <c r="D75" s="72"/>
      <c r="E75" s="73"/>
      <c r="F75" s="74"/>
      <c r="G75" s="73"/>
      <c r="H75" s="75"/>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69"/>
      <c r="B76" s="69"/>
      <c r="C76" s="146"/>
      <c r="D76" s="147"/>
      <c r="E76" s="147"/>
      <c r="F76" s="14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ht="62" x14ac:dyDescent="0.35">
      <c r="A77" s="69" t="s">
        <v>140</v>
      </c>
      <c r="B77" s="179" t="s">
        <v>175</v>
      </c>
      <c r="C77" s="87">
        <v>233375244</v>
      </c>
      <c r="D77" s="172"/>
      <c r="E77" s="169"/>
      <c r="F77" s="148"/>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69"/>
      <c r="B78" s="69"/>
      <c r="C78" s="146"/>
      <c r="D78" s="147"/>
      <c r="E78" s="147"/>
      <c r="F78" s="148"/>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69" t="s">
        <v>141</v>
      </c>
      <c r="B79" s="69" t="s">
        <v>154</v>
      </c>
      <c r="C79" s="87">
        <v>600922780.53583503</v>
      </c>
      <c r="D79" s="147"/>
      <c r="E79" s="147"/>
      <c r="F79" s="148"/>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69" t="s">
        <v>142</v>
      </c>
      <c r="B80" s="69" t="s">
        <v>154</v>
      </c>
      <c r="C80" s="87">
        <v>477874694.76840651</v>
      </c>
      <c r="D80" s="147"/>
      <c r="E80" s="147"/>
      <c r="F80" s="148"/>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69"/>
      <c r="B81" s="69"/>
      <c r="C81" s="87"/>
      <c r="D81" s="147"/>
      <c r="E81" s="147"/>
      <c r="F81" s="148"/>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69" t="s">
        <v>143</v>
      </c>
      <c r="B82" s="69" t="s">
        <v>86</v>
      </c>
      <c r="C82" s="87">
        <f>C79+$C$77</f>
        <v>834298024.53583503</v>
      </c>
      <c r="D82" s="147"/>
      <c r="E82" s="149"/>
      <c r="F82" s="148"/>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69" t="s">
        <v>144</v>
      </c>
      <c r="B83" s="69" t="s">
        <v>86</v>
      </c>
      <c r="C83" s="87">
        <f>C80+$C$77</f>
        <v>711249938.76840651</v>
      </c>
      <c r="D83" s="147"/>
      <c r="E83" s="147"/>
      <c r="F83" s="148"/>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A84" s="69"/>
      <c r="B84" s="69"/>
      <c r="C84" s="87"/>
      <c r="D84" s="147"/>
      <c r="E84" s="147"/>
      <c r="F84" s="148"/>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pans="1:33" x14ac:dyDescent="0.35">
      <c r="A85" s="69" t="s">
        <v>149</v>
      </c>
      <c r="B85" s="69" t="s">
        <v>196</v>
      </c>
      <c r="C85" s="150">
        <v>28112</v>
      </c>
      <c r="D85" s="147"/>
      <c r="E85" s="147"/>
      <c r="F85" s="148"/>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row>
    <row r="86" spans="1:33" x14ac:dyDescent="0.35">
      <c r="A86" s="69" t="s">
        <v>150</v>
      </c>
      <c r="B86" s="69" t="s">
        <v>133</v>
      </c>
      <c r="C86" s="150">
        <v>28112</v>
      </c>
      <c r="D86" s="147"/>
      <c r="E86" s="147"/>
      <c r="F86" s="148"/>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row>
    <row r="87" spans="1:33" x14ac:dyDescent="0.35">
      <c r="A87" s="69" t="s">
        <v>113</v>
      </c>
      <c r="B87" s="69" t="s">
        <v>86</v>
      </c>
      <c r="C87" s="150">
        <f>AVERAGE(C85:C86)</f>
        <v>28112</v>
      </c>
      <c r="D87" s="147"/>
      <c r="E87" s="147"/>
      <c r="F87" s="148"/>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x14ac:dyDescent="0.35">
      <c r="A88" s="69"/>
      <c r="B88" s="69"/>
      <c r="C88" s="150"/>
      <c r="D88" s="147"/>
      <c r="E88" s="147"/>
      <c r="F88" s="148"/>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row>
    <row r="89" spans="1:33" x14ac:dyDescent="0.35">
      <c r="A89" s="69" t="s">
        <v>145</v>
      </c>
      <c r="B89" s="69" t="s">
        <v>86</v>
      </c>
      <c r="C89" s="150">
        <f>C82/$C$87</f>
        <v>29677.647429419289</v>
      </c>
      <c r="D89" s="147"/>
      <c r="E89" s="147"/>
      <c r="F89" s="148"/>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row>
    <row r="90" spans="1:33" x14ac:dyDescent="0.35">
      <c r="A90" s="69" t="s">
        <v>145</v>
      </c>
      <c r="B90" s="69" t="s">
        <v>86</v>
      </c>
      <c r="C90" s="150">
        <f>C83/$C$87</f>
        <v>25300.581202632558</v>
      </c>
      <c r="D90" s="147"/>
      <c r="E90" s="147"/>
      <c r="F90" s="148"/>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row>
    <row r="91" spans="1:33" x14ac:dyDescent="0.35">
      <c r="A91" s="69"/>
      <c r="B91" s="69"/>
      <c r="C91" s="150"/>
      <c r="D91" s="147"/>
      <c r="E91" s="147"/>
      <c r="F91" s="148"/>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row>
    <row r="92" spans="1:33" x14ac:dyDescent="0.35">
      <c r="A92" s="69" t="s">
        <v>146</v>
      </c>
      <c r="B92" s="69" t="s">
        <v>153</v>
      </c>
      <c r="C92" s="87">
        <v>70000</v>
      </c>
      <c r="D92" s="147"/>
      <c r="E92" s="147"/>
      <c r="F92" s="148"/>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row>
    <row r="93" spans="1:33" x14ac:dyDescent="0.35">
      <c r="A93" s="69"/>
      <c r="B93" s="69"/>
      <c r="C93" s="87"/>
      <c r="D93" s="147"/>
      <c r="E93" s="147"/>
      <c r="F93" s="148"/>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row>
    <row r="94" spans="1:33" x14ac:dyDescent="0.35">
      <c r="A94" s="69" t="s">
        <v>147</v>
      </c>
      <c r="B94" s="69" t="s">
        <v>86</v>
      </c>
      <c r="C94" s="87">
        <f>IF(C89&lt;$C$92,C89*$C$87,$C$92*$C$87)</f>
        <v>834298024.53583503</v>
      </c>
      <c r="D94" s="147"/>
      <c r="E94" s="147"/>
      <c r="F94" s="148"/>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row>
    <row r="95" spans="1:33" x14ac:dyDescent="0.35">
      <c r="A95" s="69" t="s">
        <v>148</v>
      </c>
      <c r="B95" s="69" t="s">
        <v>86</v>
      </c>
      <c r="C95" s="87">
        <f>IF(C90&lt;$C$92,C90*$C$87,$C$92*$C$87)</f>
        <v>711249938.76840651</v>
      </c>
      <c r="D95" s="147"/>
      <c r="E95" s="74"/>
      <c r="F95" s="148"/>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x14ac:dyDescent="0.35">
      <c r="A96" s="69" t="s">
        <v>152</v>
      </c>
      <c r="B96" s="69" t="s">
        <v>86</v>
      </c>
      <c r="C96" s="87">
        <f>AVERAGE(C94:C95)</f>
        <v>772773981.65212083</v>
      </c>
      <c r="D96" s="147"/>
      <c r="E96" s="74"/>
      <c r="F96" s="148"/>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row>
    <row r="97" spans="1:33" x14ac:dyDescent="0.35">
      <c r="A97" s="69"/>
      <c r="B97" s="69"/>
      <c r="C97" s="87"/>
      <c r="D97" s="147"/>
      <c r="E97" s="74"/>
      <c r="F97" s="148"/>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row>
    <row r="98" spans="1:33" x14ac:dyDescent="0.35">
      <c r="A98" s="69" t="s">
        <v>98</v>
      </c>
      <c r="B98" s="69"/>
      <c r="C98" s="71">
        <v>772773981.65212083</v>
      </c>
      <c r="D98" s="169"/>
      <c r="E98" s="170"/>
      <c r="F98" s="74"/>
      <c r="G98" s="73"/>
      <c r="H98" s="75"/>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row>
    <row r="99" spans="1:33" x14ac:dyDescent="0.35">
      <c r="A99" s="69"/>
      <c r="B99" s="69"/>
      <c r="C99" s="71"/>
      <c r="D99" s="147"/>
      <c r="E99" s="73"/>
      <c r="F99" s="74"/>
      <c r="G99" s="73"/>
      <c r="H99" s="75"/>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row>
    <row r="100" spans="1:33" x14ac:dyDescent="0.35">
      <c r="A100" s="69" t="s">
        <v>48</v>
      </c>
      <c r="B100" s="69"/>
      <c r="C100" s="126">
        <v>30</v>
      </c>
      <c r="D100" s="147"/>
      <c r="E100" s="73"/>
      <c r="F100" s="74"/>
      <c r="G100" s="73"/>
      <c r="H100" s="75"/>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row>
    <row r="101" spans="1:33" ht="13.5" customHeight="1" x14ac:dyDescent="0.35">
      <c r="A101" s="69"/>
      <c r="B101" s="69"/>
      <c r="C101" s="126"/>
      <c r="D101" s="147"/>
      <c r="E101" s="73"/>
      <c r="F101" s="74"/>
      <c r="G101" s="73"/>
      <c r="H101" s="75"/>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row>
    <row r="102" spans="1:33" x14ac:dyDescent="0.35">
      <c r="A102" s="69" t="s">
        <v>49</v>
      </c>
      <c r="B102" s="69" t="s">
        <v>86</v>
      </c>
      <c r="C102" s="71">
        <f>C96/C100</f>
        <v>25759132.721737362</v>
      </c>
      <c r="D102" s="147"/>
      <c r="E102" s="73"/>
      <c r="F102" s="74"/>
      <c r="G102" s="73"/>
      <c r="H102" s="75"/>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row>
    <row r="103" spans="1:33" x14ac:dyDescent="0.35">
      <c r="A103" s="69"/>
      <c r="B103" s="69"/>
      <c r="C103" s="71"/>
      <c r="D103" s="147"/>
      <c r="E103" s="73"/>
      <c r="F103" s="74"/>
      <c r="G103" s="73"/>
      <c r="H103" s="75"/>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row>
    <row r="104" spans="1:33" ht="31" x14ac:dyDescent="0.35">
      <c r="A104" s="69" t="s">
        <v>40</v>
      </c>
      <c r="B104" s="70" t="s">
        <v>130</v>
      </c>
      <c r="C104" s="151">
        <v>0.6</v>
      </c>
      <c r="D104" s="72"/>
      <c r="E104" s="73"/>
      <c r="F104" s="74"/>
      <c r="G104" s="73"/>
      <c r="H104" s="75"/>
      <c r="I104" s="73"/>
      <c r="J104" s="73"/>
      <c r="K104" s="73"/>
      <c r="L104" s="149"/>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ht="31" x14ac:dyDescent="0.35">
      <c r="A105" s="69" t="s">
        <v>41</v>
      </c>
      <c r="B105" s="70" t="s">
        <v>129</v>
      </c>
      <c r="C105" s="151">
        <v>0.4</v>
      </c>
      <c r="D105" s="72"/>
      <c r="E105" s="73"/>
      <c r="F105" s="74"/>
      <c r="G105" s="73"/>
      <c r="H105" s="75"/>
      <c r="I105" s="73"/>
      <c r="J105" s="73"/>
      <c r="K105" s="73"/>
      <c r="L105" s="152"/>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35">
      <c r="A106" s="69" t="s">
        <v>42</v>
      </c>
      <c r="B106" s="69" t="s">
        <v>168</v>
      </c>
      <c r="C106" s="145">
        <f>ROUND(C58/100,1)*100</f>
        <v>30</v>
      </c>
      <c r="D106" s="72"/>
      <c r="E106" s="73"/>
      <c r="F106" s="74"/>
      <c r="G106" s="73"/>
      <c r="H106" s="75"/>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35">
      <c r="A107" s="69" t="s">
        <v>43</v>
      </c>
      <c r="B107" s="69" t="s">
        <v>168</v>
      </c>
      <c r="C107" s="145">
        <f>ROUND(C63/100,1)*100</f>
        <v>100</v>
      </c>
      <c r="D107" s="72"/>
      <c r="E107" s="149"/>
      <c r="F107" s="74"/>
      <c r="G107" s="73"/>
      <c r="H107" s="75"/>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row>
    <row r="108" spans="1:33" x14ac:dyDescent="0.35">
      <c r="A108" s="69"/>
      <c r="B108" s="69"/>
      <c r="C108" s="126"/>
      <c r="D108" s="72"/>
      <c r="E108" s="73"/>
      <c r="F108" s="74"/>
      <c r="G108" s="73"/>
      <c r="H108" s="75"/>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row>
    <row r="109" spans="1:33" x14ac:dyDescent="0.35">
      <c r="A109" s="69" t="s">
        <v>112</v>
      </c>
      <c r="B109" s="69" t="s">
        <v>125</v>
      </c>
      <c r="C109" s="139">
        <v>0.03</v>
      </c>
      <c r="D109" s="72"/>
      <c r="E109" s="73"/>
      <c r="F109" s="74"/>
      <c r="G109" s="73"/>
      <c r="H109" s="75"/>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row>
    <row r="110" spans="1:33" x14ac:dyDescent="0.35">
      <c r="A110" s="69"/>
      <c r="B110" s="69"/>
      <c r="C110" s="151"/>
      <c r="D110" s="72"/>
      <c r="E110" s="73"/>
      <c r="F110" s="74"/>
      <c r="G110" s="73"/>
      <c r="H110" s="75"/>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row>
    <row r="111" spans="1:33" x14ac:dyDescent="0.35">
      <c r="A111" s="69" t="s">
        <v>67</v>
      </c>
      <c r="B111" s="69" t="s">
        <v>127</v>
      </c>
      <c r="C111" s="71"/>
      <c r="D111" s="149">
        <f t="shared" ref="D111:AG111" si="9">$C$75</f>
        <v>6426165.1002560053</v>
      </c>
      <c r="E111" s="149">
        <f t="shared" si="9"/>
        <v>6426165.1002560053</v>
      </c>
      <c r="F111" s="149">
        <f t="shared" si="9"/>
        <v>6426165.1002560053</v>
      </c>
      <c r="G111" s="149">
        <f t="shared" si="9"/>
        <v>6426165.1002560053</v>
      </c>
      <c r="H111" s="149">
        <f t="shared" si="9"/>
        <v>6426165.1002560053</v>
      </c>
      <c r="I111" s="149">
        <f t="shared" si="9"/>
        <v>6426165.1002560053</v>
      </c>
      <c r="J111" s="149">
        <f t="shared" si="9"/>
        <v>6426165.1002560053</v>
      </c>
      <c r="K111" s="149">
        <f t="shared" si="9"/>
        <v>6426165.1002560053</v>
      </c>
      <c r="L111" s="149">
        <f t="shared" si="9"/>
        <v>6426165.1002560053</v>
      </c>
      <c r="M111" s="149">
        <f t="shared" si="9"/>
        <v>6426165.1002560053</v>
      </c>
      <c r="N111" s="149">
        <f t="shared" si="9"/>
        <v>6426165.1002560053</v>
      </c>
      <c r="O111" s="149">
        <f t="shared" si="9"/>
        <v>6426165.1002560053</v>
      </c>
      <c r="P111" s="149">
        <f t="shared" si="9"/>
        <v>6426165.1002560053</v>
      </c>
      <c r="Q111" s="149">
        <f t="shared" si="9"/>
        <v>6426165.1002560053</v>
      </c>
      <c r="R111" s="149">
        <f t="shared" si="9"/>
        <v>6426165.1002560053</v>
      </c>
      <c r="S111" s="149">
        <f t="shared" si="9"/>
        <v>6426165.1002560053</v>
      </c>
      <c r="T111" s="149">
        <f t="shared" si="9"/>
        <v>6426165.1002560053</v>
      </c>
      <c r="U111" s="149">
        <f t="shared" si="9"/>
        <v>6426165.1002560053</v>
      </c>
      <c r="V111" s="149">
        <f t="shared" si="9"/>
        <v>6426165.1002560053</v>
      </c>
      <c r="W111" s="149">
        <f t="shared" si="9"/>
        <v>6426165.1002560053</v>
      </c>
      <c r="X111" s="149">
        <f t="shared" si="9"/>
        <v>6426165.1002560053</v>
      </c>
      <c r="Y111" s="149">
        <f t="shared" si="9"/>
        <v>6426165.1002560053</v>
      </c>
      <c r="Z111" s="149">
        <f t="shared" si="9"/>
        <v>6426165.1002560053</v>
      </c>
      <c r="AA111" s="149">
        <f t="shared" si="9"/>
        <v>6426165.1002560053</v>
      </c>
      <c r="AB111" s="149">
        <f t="shared" si="9"/>
        <v>6426165.1002560053</v>
      </c>
      <c r="AC111" s="149">
        <f t="shared" si="9"/>
        <v>6426165.1002560053</v>
      </c>
      <c r="AD111" s="149">
        <f t="shared" si="9"/>
        <v>6426165.1002560053</v>
      </c>
      <c r="AE111" s="149">
        <f t="shared" si="9"/>
        <v>6426165.1002560053</v>
      </c>
      <c r="AF111" s="149">
        <f t="shared" si="9"/>
        <v>6426165.1002560053</v>
      </c>
      <c r="AG111" s="149">
        <f t="shared" si="9"/>
        <v>6426165.1002560053</v>
      </c>
    </row>
    <row r="112" spans="1:33" x14ac:dyDescent="0.35">
      <c r="A112" s="69"/>
      <c r="B112" s="69"/>
      <c r="C112" s="71"/>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row>
    <row r="113" spans="1:33" s="153" customFormat="1" x14ac:dyDescent="0.35">
      <c r="A113" s="69" t="s">
        <v>68</v>
      </c>
      <c r="B113" s="69" t="s">
        <v>86</v>
      </c>
      <c r="C113" s="71">
        <f>SUM(D113:AG113)</f>
        <v>772773981.65212119</v>
      </c>
      <c r="D113" s="149">
        <f t="shared" ref="D113:AG113" si="10">$C$102</f>
        <v>25759132.721737362</v>
      </c>
      <c r="E113" s="149">
        <f t="shared" si="10"/>
        <v>25759132.721737362</v>
      </c>
      <c r="F113" s="149">
        <f t="shared" si="10"/>
        <v>25759132.721737362</v>
      </c>
      <c r="G113" s="149">
        <f t="shared" si="10"/>
        <v>25759132.721737362</v>
      </c>
      <c r="H113" s="149">
        <f t="shared" si="10"/>
        <v>25759132.721737362</v>
      </c>
      <c r="I113" s="149">
        <f t="shared" si="10"/>
        <v>25759132.721737362</v>
      </c>
      <c r="J113" s="149">
        <f t="shared" si="10"/>
        <v>25759132.721737362</v>
      </c>
      <c r="K113" s="149">
        <f t="shared" si="10"/>
        <v>25759132.721737362</v>
      </c>
      <c r="L113" s="149">
        <f t="shared" si="10"/>
        <v>25759132.721737362</v>
      </c>
      <c r="M113" s="149">
        <f t="shared" si="10"/>
        <v>25759132.721737362</v>
      </c>
      <c r="N113" s="149">
        <f t="shared" si="10"/>
        <v>25759132.721737362</v>
      </c>
      <c r="O113" s="149">
        <f t="shared" si="10"/>
        <v>25759132.721737362</v>
      </c>
      <c r="P113" s="149">
        <f t="shared" si="10"/>
        <v>25759132.721737362</v>
      </c>
      <c r="Q113" s="149">
        <f t="shared" si="10"/>
        <v>25759132.721737362</v>
      </c>
      <c r="R113" s="149">
        <f t="shared" si="10"/>
        <v>25759132.721737362</v>
      </c>
      <c r="S113" s="149">
        <f t="shared" si="10"/>
        <v>25759132.721737362</v>
      </c>
      <c r="T113" s="149">
        <f t="shared" si="10"/>
        <v>25759132.721737362</v>
      </c>
      <c r="U113" s="149">
        <f t="shared" si="10"/>
        <v>25759132.721737362</v>
      </c>
      <c r="V113" s="149">
        <f t="shared" si="10"/>
        <v>25759132.721737362</v>
      </c>
      <c r="W113" s="149">
        <f t="shared" si="10"/>
        <v>25759132.721737362</v>
      </c>
      <c r="X113" s="149">
        <f t="shared" si="10"/>
        <v>25759132.721737362</v>
      </c>
      <c r="Y113" s="149">
        <f t="shared" si="10"/>
        <v>25759132.721737362</v>
      </c>
      <c r="Z113" s="149">
        <f t="shared" si="10"/>
        <v>25759132.721737362</v>
      </c>
      <c r="AA113" s="149">
        <f t="shared" si="10"/>
        <v>25759132.721737362</v>
      </c>
      <c r="AB113" s="149">
        <f t="shared" si="10"/>
        <v>25759132.721737362</v>
      </c>
      <c r="AC113" s="149">
        <f t="shared" si="10"/>
        <v>25759132.721737362</v>
      </c>
      <c r="AD113" s="149">
        <f t="shared" si="10"/>
        <v>25759132.721737362</v>
      </c>
      <c r="AE113" s="149">
        <f t="shared" si="10"/>
        <v>25759132.721737362</v>
      </c>
      <c r="AF113" s="149">
        <f t="shared" si="10"/>
        <v>25759132.721737362</v>
      </c>
      <c r="AG113" s="149">
        <f t="shared" si="10"/>
        <v>25759132.721737362</v>
      </c>
    </row>
    <row r="114" spans="1:33" s="153" customFormat="1" x14ac:dyDescent="0.35">
      <c r="A114" s="69"/>
      <c r="B114" s="69"/>
      <c r="C114" s="154">
        <f>C113-C98</f>
        <v>0</v>
      </c>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row>
    <row r="115" spans="1:33" s="153" customFormat="1" x14ac:dyDescent="0.35">
      <c r="A115" s="69" t="s">
        <v>88</v>
      </c>
      <c r="B115" s="69" t="s">
        <v>86</v>
      </c>
      <c r="C115" s="126"/>
      <c r="D115" s="149">
        <f>(D113*D$44)-D113</f>
        <v>0</v>
      </c>
      <c r="E115" s="149">
        <f t="shared" ref="E115:AG115" si="11">(E113*E$44)-E113</f>
        <v>0</v>
      </c>
      <c r="F115" s="149">
        <f t="shared" si="11"/>
        <v>0</v>
      </c>
      <c r="G115" s="149">
        <f t="shared" si="11"/>
        <v>0</v>
      </c>
      <c r="H115" s="149">
        <f>(H113*H$44)-H113</f>
        <v>0</v>
      </c>
      <c r="I115" s="149">
        <f t="shared" si="11"/>
        <v>0</v>
      </c>
      <c r="J115" s="149">
        <f t="shared" si="11"/>
        <v>0</v>
      </c>
      <c r="K115" s="149">
        <f t="shared" si="11"/>
        <v>0</v>
      </c>
      <c r="L115" s="149">
        <f t="shared" si="11"/>
        <v>0</v>
      </c>
      <c r="M115" s="149">
        <f t="shared" si="11"/>
        <v>0</v>
      </c>
      <c r="N115" s="149">
        <f t="shared" si="11"/>
        <v>0</v>
      </c>
      <c r="O115" s="149">
        <f t="shared" si="11"/>
        <v>0</v>
      </c>
      <c r="P115" s="149">
        <f t="shared" si="11"/>
        <v>0</v>
      </c>
      <c r="Q115" s="149">
        <f t="shared" si="11"/>
        <v>0</v>
      </c>
      <c r="R115" s="149">
        <f t="shared" si="11"/>
        <v>0</v>
      </c>
      <c r="S115" s="149">
        <f t="shared" si="11"/>
        <v>0</v>
      </c>
      <c r="T115" s="149">
        <f t="shared" si="11"/>
        <v>0</v>
      </c>
      <c r="U115" s="149">
        <f t="shared" si="11"/>
        <v>0</v>
      </c>
      <c r="V115" s="149">
        <f t="shared" si="11"/>
        <v>0</v>
      </c>
      <c r="W115" s="149">
        <f t="shared" si="11"/>
        <v>0</v>
      </c>
      <c r="X115" s="149">
        <f t="shared" si="11"/>
        <v>0</v>
      </c>
      <c r="Y115" s="149">
        <f t="shared" si="11"/>
        <v>0</v>
      </c>
      <c r="Z115" s="149">
        <f t="shared" si="11"/>
        <v>0</v>
      </c>
      <c r="AA115" s="149">
        <f t="shared" si="11"/>
        <v>0</v>
      </c>
      <c r="AB115" s="149">
        <f t="shared" si="11"/>
        <v>0</v>
      </c>
      <c r="AC115" s="149">
        <f t="shared" si="11"/>
        <v>0</v>
      </c>
      <c r="AD115" s="149">
        <f t="shared" si="11"/>
        <v>0</v>
      </c>
      <c r="AE115" s="149">
        <f t="shared" si="11"/>
        <v>0</v>
      </c>
      <c r="AF115" s="149">
        <f t="shared" si="11"/>
        <v>0</v>
      </c>
      <c r="AG115" s="149">
        <f t="shared" si="11"/>
        <v>0</v>
      </c>
    </row>
    <row r="116" spans="1:33" s="153" customFormat="1" x14ac:dyDescent="0.35">
      <c r="A116" s="69" t="s">
        <v>89</v>
      </c>
      <c r="B116" s="69" t="s">
        <v>86</v>
      </c>
      <c r="C116" s="126"/>
      <c r="D116" s="149">
        <f t="shared" ref="D116:AG116" si="12">(D113*D$45)-D113</f>
        <v>0</v>
      </c>
      <c r="E116" s="149">
        <f t="shared" si="12"/>
        <v>0</v>
      </c>
      <c r="F116" s="149">
        <f t="shared" si="12"/>
        <v>0</v>
      </c>
      <c r="G116" s="149">
        <f t="shared" si="12"/>
        <v>0</v>
      </c>
      <c r="H116" s="149">
        <f t="shared" si="12"/>
        <v>0</v>
      </c>
      <c r="I116" s="149">
        <f t="shared" si="12"/>
        <v>0</v>
      </c>
      <c r="J116" s="149">
        <f t="shared" si="12"/>
        <v>0</v>
      </c>
      <c r="K116" s="149">
        <f t="shared" si="12"/>
        <v>0</v>
      </c>
      <c r="L116" s="149">
        <f t="shared" si="12"/>
        <v>0</v>
      </c>
      <c r="M116" s="149">
        <f t="shared" si="12"/>
        <v>0</v>
      </c>
      <c r="N116" s="149">
        <f t="shared" si="12"/>
        <v>0</v>
      </c>
      <c r="O116" s="149">
        <f t="shared" si="12"/>
        <v>0</v>
      </c>
      <c r="P116" s="149">
        <f t="shared" si="12"/>
        <v>0</v>
      </c>
      <c r="Q116" s="149">
        <f t="shared" si="12"/>
        <v>0</v>
      </c>
      <c r="R116" s="149">
        <f t="shared" si="12"/>
        <v>0</v>
      </c>
      <c r="S116" s="149">
        <f t="shared" si="12"/>
        <v>0</v>
      </c>
      <c r="T116" s="149">
        <f t="shared" si="12"/>
        <v>0</v>
      </c>
      <c r="U116" s="149">
        <f t="shared" si="12"/>
        <v>0</v>
      </c>
      <c r="V116" s="149">
        <f t="shared" si="12"/>
        <v>0</v>
      </c>
      <c r="W116" s="149">
        <f t="shared" si="12"/>
        <v>0</v>
      </c>
      <c r="X116" s="149">
        <f t="shared" si="12"/>
        <v>0</v>
      </c>
      <c r="Y116" s="149">
        <f t="shared" si="12"/>
        <v>0</v>
      </c>
      <c r="Z116" s="149">
        <f t="shared" si="12"/>
        <v>0</v>
      </c>
      <c r="AA116" s="149">
        <f t="shared" si="12"/>
        <v>0</v>
      </c>
      <c r="AB116" s="149">
        <f t="shared" si="12"/>
        <v>0</v>
      </c>
      <c r="AC116" s="149">
        <f t="shared" si="12"/>
        <v>0</v>
      </c>
      <c r="AD116" s="149">
        <f t="shared" si="12"/>
        <v>0</v>
      </c>
      <c r="AE116" s="149">
        <f t="shared" si="12"/>
        <v>0</v>
      </c>
      <c r="AF116" s="149">
        <f t="shared" si="12"/>
        <v>0</v>
      </c>
      <c r="AG116" s="149">
        <f t="shared" si="12"/>
        <v>0</v>
      </c>
    </row>
    <row r="117" spans="1:33" s="153" customFormat="1" x14ac:dyDescent="0.35">
      <c r="A117" s="69"/>
      <c r="B117" s="69"/>
      <c r="C117" s="126"/>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row>
    <row r="118" spans="1:33" s="153" customFormat="1" x14ac:dyDescent="0.35">
      <c r="A118" s="69" t="s">
        <v>90</v>
      </c>
      <c r="B118" s="69" t="s">
        <v>86</v>
      </c>
      <c r="C118" s="126"/>
      <c r="D118" s="149">
        <f>D113+D115+D116</f>
        <v>25759132.721737362</v>
      </c>
      <c r="E118" s="149">
        <f t="shared" ref="E118:AG118" si="13">E113+E115+E116</f>
        <v>25759132.721737362</v>
      </c>
      <c r="F118" s="149">
        <f>F113+F115+F116</f>
        <v>25759132.721737362</v>
      </c>
      <c r="G118" s="149">
        <f t="shared" si="13"/>
        <v>25759132.721737362</v>
      </c>
      <c r="H118" s="149">
        <f t="shared" si="13"/>
        <v>25759132.721737362</v>
      </c>
      <c r="I118" s="149">
        <f t="shared" si="13"/>
        <v>25759132.721737362</v>
      </c>
      <c r="J118" s="149">
        <f t="shared" si="13"/>
        <v>25759132.721737362</v>
      </c>
      <c r="K118" s="149">
        <f t="shared" si="13"/>
        <v>25759132.721737362</v>
      </c>
      <c r="L118" s="149">
        <f t="shared" si="13"/>
        <v>25759132.721737362</v>
      </c>
      <c r="M118" s="149">
        <f t="shared" si="13"/>
        <v>25759132.721737362</v>
      </c>
      <c r="N118" s="149">
        <f t="shared" si="13"/>
        <v>25759132.721737362</v>
      </c>
      <c r="O118" s="149">
        <f t="shared" si="13"/>
        <v>25759132.721737362</v>
      </c>
      <c r="P118" s="149">
        <f t="shared" si="13"/>
        <v>25759132.721737362</v>
      </c>
      <c r="Q118" s="149">
        <f t="shared" si="13"/>
        <v>25759132.721737362</v>
      </c>
      <c r="R118" s="149">
        <f t="shared" si="13"/>
        <v>25759132.721737362</v>
      </c>
      <c r="S118" s="149">
        <f t="shared" si="13"/>
        <v>25759132.721737362</v>
      </c>
      <c r="T118" s="149">
        <f t="shared" si="13"/>
        <v>25759132.721737362</v>
      </c>
      <c r="U118" s="149">
        <f t="shared" si="13"/>
        <v>25759132.721737362</v>
      </c>
      <c r="V118" s="149">
        <f t="shared" si="13"/>
        <v>25759132.721737362</v>
      </c>
      <c r="W118" s="149">
        <f t="shared" si="13"/>
        <v>25759132.721737362</v>
      </c>
      <c r="X118" s="149">
        <f t="shared" si="13"/>
        <v>25759132.721737362</v>
      </c>
      <c r="Y118" s="149">
        <f t="shared" si="13"/>
        <v>25759132.721737362</v>
      </c>
      <c r="Z118" s="149">
        <f t="shared" si="13"/>
        <v>25759132.721737362</v>
      </c>
      <c r="AA118" s="149">
        <f t="shared" si="13"/>
        <v>25759132.721737362</v>
      </c>
      <c r="AB118" s="149">
        <f t="shared" si="13"/>
        <v>25759132.721737362</v>
      </c>
      <c r="AC118" s="149">
        <f t="shared" si="13"/>
        <v>25759132.721737362</v>
      </c>
      <c r="AD118" s="149">
        <f t="shared" si="13"/>
        <v>25759132.721737362</v>
      </c>
      <c r="AE118" s="149">
        <f t="shared" si="13"/>
        <v>25759132.721737362</v>
      </c>
      <c r="AF118" s="149">
        <f t="shared" si="13"/>
        <v>25759132.721737362</v>
      </c>
      <c r="AG118" s="149">
        <f t="shared" si="13"/>
        <v>25759132.721737362</v>
      </c>
    </row>
    <row r="119" spans="1:33" s="153" customFormat="1" x14ac:dyDescent="0.35">
      <c r="A119" s="69"/>
      <c r="B119" s="69"/>
      <c r="C119" s="126"/>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row>
    <row r="120" spans="1:33" s="153" customFormat="1" x14ac:dyDescent="0.35">
      <c r="A120" s="69" t="s">
        <v>69</v>
      </c>
      <c r="B120" s="69" t="s">
        <v>86</v>
      </c>
      <c r="C120" s="126"/>
      <c r="D120" s="149">
        <f>(SUM($D$118:D118)*$C$104/$C$106)+(SUM($D$118:D118)*$C$105/$C$107)</f>
        <v>618219.18532169668</v>
      </c>
      <c r="E120" s="149">
        <f>(SUM($D$118:E118)*$C$104/$C$106)+(SUM($D$118:E118)*$C$105/$C$107)</f>
        <v>1236438.3706433934</v>
      </c>
      <c r="F120" s="149">
        <f>(SUM($D$118:F118)*$C$104/$C$106)+(SUM($D$118:F118)*$C$105/$C$107)</f>
        <v>1854657.5559650902</v>
      </c>
      <c r="G120" s="149">
        <f>(SUM($D$118:G118)*$C$104/$C$106)+(SUM($D$118:G118)*$C$105/$C$107)</f>
        <v>2472876.7412867867</v>
      </c>
      <c r="H120" s="149">
        <f>(SUM($D$118:H118)*$C$104/$C$106)+(SUM($D$118:H118)*$C$105/$C$107)</f>
        <v>3091095.9266084828</v>
      </c>
      <c r="I120" s="149">
        <f>(SUM($D$118:I118)*$C$104/$C$106)+(SUM($D$118:I118)*$C$105/$C$107)</f>
        <v>3709315.1119301794</v>
      </c>
      <c r="J120" s="149">
        <f>(SUM($D$118:J118)*$C$104/$C$106)+(SUM($D$118:J118)*$C$105/$C$107)</f>
        <v>4327534.2972518764</v>
      </c>
      <c r="K120" s="149">
        <f>(SUM($D$118:K118)*$C$104/$C$106)+(SUM($D$118:K118)*$C$105/$C$107)</f>
        <v>4945753.4825735725</v>
      </c>
      <c r="L120" s="149">
        <f>(SUM($D$118:L118)*$C$104/$C$106)+(SUM($D$118:L118)*$C$105/$C$107)</f>
        <v>5563972.6678952696</v>
      </c>
      <c r="M120" s="149">
        <f>(SUM($D$118:M118)*$C$104/$C$106)+(SUM($D$118:M118)*$C$105/$C$107)</f>
        <v>6182191.8532169648</v>
      </c>
      <c r="N120" s="149">
        <f>(SUM($D$118:N118)*$C$104/$C$106)+(SUM($D$118:N118)*$C$105/$C$107)</f>
        <v>6800411.0385386627</v>
      </c>
      <c r="O120" s="149">
        <f>(SUM($D$118:O118)*$C$104/$C$106)+(SUM($D$118:O118)*$C$105/$C$107)</f>
        <v>7418630.2238603588</v>
      </c>
      <c r="P120" s="149">
        <f>(SUM($D$118:P118)*$C$104/$C$106)+(SUM($D$118:P118)*$C$105/$C$107)</f>
        <v>8036849.4091820568</v>
      </c>
      <c r="Q120" s="149">
        <f>(SUM($D$118:Q118)*$C$104/$C$106)+(SUM($D$118:Q118)*$C$105/$C$107)</f>
        <v>8655068.5945037547</v>
      </c>
      <c r="R120" s="149">
        <f>(SUM($D$118:R118)*$C$104/$C$106)+(SUM($D$118:R118)*$C$105/$C$107)</f>
        <v>9273287.7798254509</v>
      </c>
      <c r="S120" s="149">
        <f>(SUM($D$118:S118)*$C$104/$C$106)+(SUM($D$118:S118)*$C$105/$C$107)</f>
        <v>9891506.9651471488</v>
      </c>
      <c r="T120" s="149">
        <f>(SUM($D$118:T118)*$C$104/$C$106)+(SUM($D$118:T118)*$C$105/$C$107)</f>
        <v>10509726.150468845</v>
      </c>
      <c r="U120" s="149">
        <f>(SUM($D$118:U118)*$C$104/$C$106)+(SUM($D$118:U118)*$C$105/$C$107)</f>
        <v>11127945.335790543</v>
      </c>
      <c r="V120" s="149">
        <f>(SUM($D$118:V118)*$C$104/$C$106)+(SUM($D$118:V118)*$C$105/$C$107)</f>
        <v>11746164.521112239</v>
      </c>
      <c r="W120" s="149">
        <f>(SUM($D$118:W118)*$C$104/$C$106)+(SUM($D$118:W118)*$C$105/$C$107)</f>
        <v>12364383.706433939</v>
      </c>
      <c r="X120" s="149">
        <f>(SUM($D$118:X118)*$C$104/$C$106)+(SUM($D$118:X118)*$C$105/$C$107)</f>
        <v>12982602.891755633</v>
      </c>
      <c r="Y120" s="149">
        <f>(SUM($D$118:Y118)*$C$104/$C$106)+(SUM($D$118:Y118)*$C$105/$C$107)</f>
        <v>13600822.077077329</v>
      </c>
      <c r="Z120" s="149">
        <f>(SUM($D$118:Z118)*$C$104/$C$106)+(SUM($D$118:Z118)*$C$105/$C$107)</f>
        <v>14219041.262399027</v>
      </c>
      <c r="AA120" s="149">
        <f>(SUM($D$118:AA118)*$C$104/$C$106)+(SUM($D$118:AA118)*$C$105/$C$107)</f>
        <v>14837260.447720727</v>
      </c>
      <c r="AB120" s="149">
        <f>(SUM($D$118:AB118)*$C$104/$C$106)+(SUM($D$118:AB118)*$C$105/$C$107)</f>
        <v>15455479.633042421</v>
      </c>
      <c r="AC120" s="149">
        <f>(SUM($D$118:AC118)*$C$104/$C$106)+(SUM($D$118:AC118)*$C$105/$C$107)</f>
        <v>16073698.818364119</v>
      </c>
      <c r="AD120" s="149">
        <f>(SUM($D$118:AD118)*$C$104/$C$106)+(SUM($D$118:AD118)*$C$105/$C$107)</f>
        <v>16691918.003685815</v>
      </c>
      <c r="AE120" s="149">
        <f>(SUM($D$118:AE118)*$C$104/$C$106)+(SUM($D$118:AE118)*$C$105/$C$107)</f>
        <v>17310137.189007513</v>
      </c>
      <c r="AF120" s="149">
        <f>(SUM($D$118:AF118)*$C$104/$C$106)+(SUM($D$118:AF118)*$C$105/$C$107)</f>
        <v>17928356.374329213</v>
      </c>
      <c r="AG120" s="149">
        <f>(SUM($D$118:AG118)*$C$104/$C$106)+(SUM($D$118:AG118)*$C$105/$C$107)</f>
        <v>18546575.559650909</v>
      </c>
    </row>
    <row r="121" spans="1:33" s="153" customFormat="1" x14ac:dyDescent="0.35">
      <c r="A121" s="87"/>
      <c r="B121" s="87"/>
      <c r="C121" s="126"/>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row>
    <row r="122" spans="1:33" x14ac:dyDescent="0.35">
      <c r="A122" s="69" t="s">
        <v>91</v>
      </c>
      <c r="B122" s="69" t="s">
        <v>86</v>
      </c>
      <c r="C122" s="126"/>
      <c r="D122" s="72">
        <f>(SUM($D$118:D118)*$C$109)</f>
        <v>772773.98165212083</v>
      </c>
      <c r="E122" s="72">
        <f>(SUM($D$118:E118)*$C$109)</f>
        <v>1545547.9633042417</v>
      </c>
      <c r="F122" s="72">
        <f>(SUM($D$118:F118)*$C$109)</f>
        <v>2318321.9449563627</v>
      </c>
      <c r="G122" s="72">
        <f>(SUM($D$118:G118)*$C$109)</f>
        <v>3091095.9266084833</v>
      </c>
      <c r="H122" s="72">
        <f>(SUM($D$118:H118)*$C$109)</f>
        <v>3863869.9082606039</v>
      </c>
      <c r="I122" s="72">
        <f>(SUM($D$118:I118)*$C$109)</f>
        <v>4636643.8899127245</v>
      </c>
      <c r="J122" s="72">
        <f>(SUM($D$118:J118)*$C$109)</f>
        <v>5409417.8715648456</v>
      </c>
      <c r="K122" s="72">
        <f>(SUM($D$118:K118)*$C$109)</f>
        <v>6182191.8532169657</v>
      </c>
      <c r="L122" s="72">
        <f>(SUM($D$118:L118)*$C$109)</f>
        <v>6954965.8348690867</v>
      </c>
      <c r="M122" s="72">
        <f>(SUM($D$118:M118)*$C$109)</f>
        <v>7727739.8165212069</v>
      </c>
      <c r="N122" s="72">
        <f>(SUM($D$118:N118)*$C$109)</f>
        <v>8500513.798173327</v>
      </c>
      <c r="O122" s="72">
        <f>(SUM($D$118:O118)*$C$109)</f>
        <v>9273287.779825449</v>
      </c>
      <c r="P122" s="72">
        <f>(SUM($D$118:P118)*$C$109)</f>
        <v>10046061.761477571</v>
      </c>
      <c r="Q122" s="72">
        <f>(SUM($D$118:Q118)*$C$109)</f>
        <v>10818835.743129693</v>
      </c>
      <c r="R122" s="72">
        <f>(SUM($D$118:R118)*$C$109)</f>
        <v>11591609.724781813</v>
      </c>
      <c r="S122" s="72">
        <f>(SUM($D$118:S118)*$C$109)</f>
        <v>12364383.706433935</v>
      </c>
      <c r="T122" s="72">
        <f>(SUM($D$118:T118)*$C$109)</f>
        <v>13137157.688086057</v>
      </c>
      <c r="U122" s="72">
        <f>(SUM($D$118:U118)*$C$109)</f>
        <v>13909931.669738179</v>
      </c>
      <c r="V122" s="72">
        <f>(SUM($D$118:V118)*$C$109)</f>
        <v>14682705.651390299</v>
      </c>
      <c r="W122" s="72">
        <f>(SUM($D$118:W118)*$C$109)</f>
        <v>15455479.633042421</v>
      </c>
      <c r="X122" s="72">
        <f>(SUM($D$118:X118)*$C$109)</f>
        <v>16228253.614694541</v>
      </c>
      <c r="Y122" s="72">
        <f>(SUM($D$118:Y118)*$C$109)</f>
        <v>17001027.596346661</v>
      </c>
      <c r="Z122" s="72">
        <f>(SUM($D$118:Z118)*$C$109)</f>
        <v>17773801.577998783</v>
      </c>
      <c r="AA122" s="72">
        <f>(SUM($D$118:AA118)*$C$109)</f>
        <v>18546575.559650905</v>
      </c>
      <c r="AB122" s="72">
        <f>(SUM($D$118:AB118)*$C$109)</f>
        <v>19319349.541303027</v>
      </c>
      <c r="AC122" s="72">
        <f>(SUM($D$118:AC118)*$C$109)</f>
        <v>20092123.522955149</v>
      </c>
      <c r="AD122" s="72">
        <f>(SUM($D$118:AD118)*$C$109)</f>
        <v>20864897.504607271</v>
      </c>
      <c r="AE122" s="72">
        <f>(SUM($D$118:AE118)*$C$109)</f>
        <v>21637671.486259393</v>
      </c>
      <c r="AF122" s="72">
        <f>(SUM($D$118:AF118)*$C$109)</f>
        <v>22410445.467911512</v>
      </c>
      <c r="AG122" s="72">
        <f>(SUM($D$118:AG118)*$C$109)</f>
        <v>23183219.449563634</v>
      </c>
    </row>
    <row r="123" spans="1:33" ht="16" thickBot="1" x14ac:dyDescent="0.4">
      <c r="A123" s="83"/>
      <c r="B123" s="83"/>
      <c r="C123" s="129"/>
      <c r="D123" s="130"/>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row>
    <row r="124" spans="1:33" s="138" customFormat="1" x14ac:dyDescent="0.35">
      <c r="A124" s="80" t="s">
        <v>47</v>
      </c>
      <c r="B124" s="80"/>
      <c r="C124" s="133"/>
      <c r="D124" s="134"/>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row>
    <row r="125" spans="1:33" s="73" customFormat="1" x14ac:dyDescent="0.35">
      <c r="A125" s="88"/>
      <c r="B125" s="88"/>
      <c r="C125" s="126"/>
      <c r="D125" s="72"/>
    </row>
    <row r="126" spans="1:33" s="73" customFormat="1" x14ac:dyDescent="0.35">
      <c r="A126" s="77" t="s">
        <v>151</v>
      </c>
      <c r="B126" s="77" t="s">
        <v>196</v>
      </c>
      <c r="C126" s="126">
        <v>28112</v>
      </c>
      <c r="D126" s="140"/>
    </row>
    <row r="127" spans="1:33" x14ac:dyDescent="0.35">
      <c r="A127" s="77" t="s">
        <v>150</v>
      </c>
      <c r="B127" s="77" t="s">
        <v>133</v>
      </c>
      <c r="C127" s="126">
        <v>28112</v>
      </c>
      <c r="D127" s="140"/>
      <c r="E127" s="73"/>
      <c r="F127" s="73"/>
      <c r="G127" s="73"/>
      <c r="H127" s="73"/>
      <c r="I127" s="73"/>
      <c r="J127" s="73"/>
      <c r="K127" s="73"/>
      <c r="L127" s="73"/>
      <c r="M127" s="73"/>
      <c r="N127" s="73"/>
      <c r="O127" s="73"/>
      <c r="P127" s="73"/>
      <c r="Q127" s="155"/>
      <c r="R127" s="73"/>
      <c r="S127" s="73"/>
      <c r="T127" s="73"/>
      <c r="U127" s="73"/>
      <c r="V127" s="73"/>
      <c r="W127" s="73"/>
      <c r="X127" s="73"/>
      <c r="Y127" s="73"/>
      <c r="Z127" s="73"/>
      <c r="AA127" s="73"/>
      <c r="AB127" s="73"/>
      <c r="AC127" s="73"/>
      <c r="AD127" s="73"/>
      <c r="AE127" s="73"/>
      <c r="AF127" s="73"/>
      <c r="AG127" s="73"/>
    </row>
    <row r="128" spans="1:33" x14ac:dyDescent="0.35">
      <c r="A128" s="77"/>
      <c r="B128" s="77"/>
      <c r="C128" s="126"/>
      <c r="D128" s="72"/>
      <c r="E128" s="73"/>
      <c r="F128" s="73"/>
      <c r="G128" s="73"/>
      <c r="H128" s="73"/>
      <c r="I128" s="73"/>
      <c r="J128" s="73"/>
      <c r="K128" s="73"/>
      <c r="L128" s="73"/>
      <c r="M128" s="73"/>
      <c r="N128" s="73"/>
      <c r="O128" s="73"/>
      <c r="P128" s="73"/>
      <c r="Q128" s="155"/>
      <c r="R128" s="73"/>
      <c r="S128" s="73"/>
      <c r="T128" s="73"/>
      <c r="U128" s="73"/>
      <c r="V128" s="73"/>
      <c r="W128" s="73"/>
      <c r="X128" s="73"/>
      <c r="Y128" s="73"/>
      <c r="Z128" s="73"/>
      <c r="AA128" s="73"/>
      <c r="AB128" s="73"/>
      <c r="AC128" s="73"/>
      <c r="AD128" s="73"/>
      <c r="AE128" s="73"/>
      <c r="AF128" s="73"/>
      <c r="AG128" s="73"/>
    </row>
    <row r="129" spans="1:33" x14ac:dyDescent="0.35">
      <c r="A129" s="77" t="s">
        <v>113</v>
      </c>
      <c r="B129" s="77" t="s">
        <v>86</v>
      </c>
      <c r="C129" s="126">
        <f>AVERAGE(C126:C127)</f>
        <v>28112</v>
      </c>
      <c r="D129" s="72"/>
      <c r="E129" s="73"/>
      <c r="F129" s="73"/>
      <c r="G129" s="73"/>
      <c r="H129" s="73"/>
      <c r="I129" s="73"/>
      <c r="J129" s="73"/>
      <c r="K129" s="73"/>
      <c r="L129" s="73"/>
      <c r="M129" s="73"/>
      <c r="N129" s="73"/>
      <c r="O129" s="73"/>
      <c r="P129" s="73"/>
      <c r="Q129" s="155"/>
      <c r="R129" s="73"/>
      <c r="S129" s="73"/>
      <c r="T129" s="73"/>
      <c r="U129" s="73"/>
      <c r="V129" s="73"/>
      <c r="W129" s="73"/>
      <c r="X129" s="73"/>
      <c r="Y129" s="73"/>
      <c r="Z129" s="73"/>
      <c r="AA129" s="73"/>
      <c r="AB129" s="73"/>
      <c r="AC129" s="73"/>
      <c r="AD129" s="73"/>
      <c r="AE129" s="73"/>
      <c r="AF129" s="73"/>
      <c r="AG129" s="73"/>
    </row>
    <row r="130" spans="1:33" x14ac:dyDescent="0.35">
      <c r="A130" s="77"/>
      <c r="B130" s="77"/>
      <c r="C130" s="126"/>
      <c r="D130" s="72"/>
      <c r="E130" s="73"/>
      <c r="F130" s="73"/>
      <c r="G130" s="73"/>
      <c r="H130" s="73"/>
      <c r="I130" s="73"/>
      <c r="J130" s="73"/>
      <c r="K130" s="73"/>
      <c r="L130" s="73"/>
      <c r="M130" s="73"/>
      <c r="N130" s="73"/>
      <c r="O130" s="73"/>
      <c r="P130" s="73"/>
      <c r="Q130" s="155"/>
      <c r="R130" s="73"/>
      <c r="S130" s="73"/>
      <c r="T130" s="73"/>
      <c r="U130" s="73"/>
      <c r="V130" s="73"/>
      <c r="W130" s="73"/>
      <c r="X130" s="73"/>
      <c r="Y130" s="73"/>
      <c r="Z130" s="73"/>
      <c r="AA130" s="73"/>
      <c r="AB130" s="73"/>
      <c r="AC130" s="73"/>
      <c r="AD130" s="73"/>
      <c r="AE130" s="73"/>
      <c r="AF130" s="73"/>
      <c r="AG130" s="73"/>
    </row>
    <row r="131" spans="1:33" x14ac:dyDescent="0.35">
      <c r="A131" s="77" t="s">
        <v>123</v>
      </c>
      <c r="B131" s="77" t="s">
        <v>122</v>
      </c>
      <c r="C131" s="126">
        <v>2.7</v>
      </c>
      <c r="D131" s="72"/>
      <c r="E131" s="73"/>
      <c r="F131" s="73"/>
      <c r="G131" s="73"/>
      <c r="H131" s="73"/>
      <c r="I131" s="73"/>
      <c r="J131" s="73"/>
      <c r="K131" s="73"/>
      <c r="L131" s="73"/>
      <c r="M131" s="73"/>
      <c r="N131" s="73"/>
      <c r="O131" s="73"/>
      <c r="P131" s="73"/>
      <c r="Q131" s="155"/>
      <c r="R131" s="73"/>
      <c r="S131" s="73"/>
      <c r="T131" s="73"/>
      <c r="U131" s="73"/>
      <c r="V131" s="73"/>
      <c r="W131" s="73"/>
      <c r="X131" s="73"/>
      <c r="Y131" s="73"/>
      <c r="Z131" s="73"/>
      <c r="AA131" s="73"/>
      <c r="AB131" s="73"/>
      <c r="AC131" s="73"/>
      <c r="AD131" s="73"/>
      <c r="AE131" s="73"/>
      <c r="AF131" s="73"/>
      <c r="AG131" s="73"/>
    </row>
    <row r="132" spans="1:33" x14ac:dyDescent="0.35">
      <c r="A132" s="77"/>
      <c r="B132" s="77"/>
      <c r="C132" s="126"/>
      <c r="D132" s="72"/>
      <c r="E132" s="73"/>
      <c r="F132" s="73"/>
      <c r="G132" s="73"/>
      <c r="H132" s="73"/>
      <c r="I132" s="73"/>
      <c r="J132" s="73"/>
      <c r="K132" s="73"/>
      <c r="L132" s="73"/>
      <c r="M132" s="73"/>
      <c r="N132" s="73"/>
      <c r="O132" s="73"/>
      <c r="P132" s="73"/>
      <c r="Q132" s="155"/>
      <c r="R132" s="73"/>
      <c r="S132" s="73"/>
      <c r="T132" s="73"/>
      <c r="U132" s="73"/>
      <c r="V132" s="73"/>
      <c r="W132" s="73"/>
      <c r="X132" s="73"/>
      <c r="Y132" s="73"/>
      <c r="Z132" s="73"/>
      <c r="AA132" s="73"/>
      <c r="AB132" s="73"/>
      <c r="AC132" s="73"/>
      <c r="AD132" s="73"/>
      <c r="AE132" s="73"/>
      <c r="AF132" s="73"/>
      <c r="AG132" s="73"/>
    </row>
    <row r="133" spans="1:33" x14ac:dyDescent="0.35">
      <c r="A133" s="77" t="s">
        <v>155</v>
      </c>
      <c r="B133" s="77" t="s">
        <v>156</v>
      </c>
      <c r="C133" s="144">
        <v>0.7</v>
      </c>
      <c r="D133" s="72"/>
      <c r="E133" s="73"/>
      <c r="F133" s="73"/>
      <c r="G133" s="73"/>
      <c r="H133" s="73"/>
      <c r="I133" s="73"/>
      <c r="J133" s="73"/>
      <c r="K133" s="73"/>
      <c r="L133" s="73"/>
      <c r="M133" s="73"/>
      <c r="N133" s="73"/>
      <c r="O133" s="73"/>
      <c r="P133" s="73"/>
      <c r="Q133" s="155"/>
      <c r="R133" s="73"/>
      <c r="S133" s="73"/>
      <c r="T133" s="73"/>
      <c r="U133" s="73"/>
      <c r="V133" s="73"/>
      <c r="W133" s="73"/>
      <c r="X133" s="73"/>
      <c r="Y133" s="73"/>
      <c r="Z133" s="73"/>
      <c r="AA133" s="73"/>
      <c r="AB133" s="73"/>
      <c r="AC133" s="73"/>
      <c r="AD133" s="73"/>
      <c r="AE133" s="73"/>
      <c r="AF133" s="73"/>
      <c r="AG133" s="73"/>
    </row>
    <row r="134" spans="1:33" x14ac:dyDescent="0.35">
      <c r="A134" s="77"/>
      <c r="B134" s="77"/>
      <c r="C134" s="126"/>
      <c r="D134" s="72"/>
      <c r="E134" s="73"/>
      <c r="F134" s="73"/>
      <c r="G134" s="73"/>
      <c r="H134" s="73"/>
      <c r="I134" s="73"/>
      <c r="J134" s="73"/>
      <c r="K134" s="73"/>
      <c r="L134" s="73"/>
      <c r="M134" s="73"/>
      <c r="N134" s="73"/>
      <c r="O134" s="73"/>
      <c r="P134" s="73"/>
      <c r="Q134" s="155"/>
      <c r="R134" s="73"/>
      <c r="S134" s="73"/>
      <c r="T134" s="73"/>
      <c r="U134" s="73"/>
      <c r="V134" s="73"/>
      <c r="W134" s="73"/>
      <c r="X134" s="73"/>
      <c r="Y134" s="73"/>
      <c r="Z134" s="73"/>
      <c r="AA134" s="73"/>
      <c r="AB134" s="73"/>
      <c r="AC134" s="73"/>
      <c r="AD134" s="73"/>
      <c r="AE134" s="73"/>
      <c r="AF134" s="73"/>
      <c r="AG134" s="73"/>
    </row>
    <row r="135" spans="1:33" ht="16" thickBot="1" x14ac:dyDescent="0.4">
      <c r="A135" s="79" t="s">
        <v>99</v>
      </c>
      <c r="B135" s="79" t="s">
        <v>86</v>
      </c>
      <c r="C135" s="156">
        <f>C129/C131</f>
        <v>10411.85185185185</v>
      </c>
      <c r="D135" s="157">
        <f t="shared" ref="D135:AG135" si="14">$C$135*D13</f>
        <v>10723.196122068442</v>
      </c>
      <c r="E135" s="157">
        <f t="shared" si="14"/>
        <v>11043.850480055775</v>
      </c>
      <c r="F135" s="157">
        <f t="shared" si="14"/>
        <v>11374.093324174091</v>
      </c>
      <c r="G135" s="157">
        <f t="shared" si="14"/>
        <v>11714.211377694084</v>
      </c>
      <c r="H135" s="157">
        <f t="shared" si="14"/>
        <v>12064.499937735627</v>
      </c>
      <c r="I135" s="157">
        <f t="shared" si="14"/>
        <v>12425.263131650487</v>
      </c>
      <c r="J135" s="157">
        <f t="shared" si="14"/>
        <v>12796.814181071612</v>
      </c>
      <c r="K135" s="157">
        <f t="shared" si="14"/>
        <v>13179.475673858258</v>
      </c>
      <c r="L135" s="157">
        <f t="shared" si="14"/>
        <v>13573.579844173062</v>
      </c>
      <c r="M135" s="157">
        <f t="shared" si="14"/>
        <v>13979.468860934194</v>
      </c>
      <c r="N135" s="157">
        <f t="shared" si="14"/>
        <v>14397.495124893085</v>
      </c>
      <c r="O135" s="157">
        <f t="shared" si="14"/>
        <v>14828.021574595641</v>
      </c>
      <c r="P135" s="157">
        <f t="shared" si="14"/>
        <v>15271.422001492539</v>
      </c>
      <c r="Q135" s="157">
        <f t="shared" si="14"/>
        <v>15728.081374472249</v>
      </c>
      <c r="R135" s="157">
        <f t="shared" si="14"/>
        <v>16198.396174098529</v>
      </c>
      <c r="S135" s="157">
        <f t="shared" si="14"/>
        <v>16682.774736842573</v>
      </c>
      <c r="T135" s="157">
        <f t="shared" si="14"/>
        <v>17181.637609608693</v>
      </c>
      <c r="U135" s="157">
        <f t="shared" si="14"/>
        <v>17695.417914861318</v>
      </c>
      <c r="V135" s="157">
        <f t="shared" si="14"/>
        <v>18224.561726670378</v>
      </c>
      <c r="W135" s="157">
        <f t="shared" si="14"/>
        <v>18769.528458001478</v>
      </c>
      <c r="X135" s="157">
        <f t="shared" si="14"/>
        <v>19330.791259587215</v>
      </c>
      <c r="Y135" s="157">
        <f t="shared" si="14"/>
        <v>19908.837430725831</v>
      </c>
      <c r="Z135" s="157">
        <f t="shared" si="14"/>
        <v>20504.168842363968</v>
      </c>
      <c r="AA135" s="157">
        <f t="shared" si="14"/>
        <v>21117.3023728308</v>
      </c>
      <c r="AB135" s="157">
        <f t="shared" si="14"/>
        <v>21748.770356601879</v>
      </c>
      <c r="AC135" s="157">
        <f t="shared" si="14"/>
        <v>22399.121046482291</v>
      </c>
      <c r="AD135" s="157">
        <f t="shared" si="14"/>
        <v>23068.919089610394</v>
      </c>
      <c r="AE135" s="157">
        <f t="shared" si="14"/>
        <v>23758.746017695514</v>
      </c>
      <c r="AF135" s="157">
        <f t="shared" si="14"/>
        <v>24469.200751915068</v>
      </c>
      <c r="AG135" s="157">
        <f t="shared" si="14"/>
        <v>25200.900122909603</v>
      </c>
    </row>
    <row r="146" spans="4:33" x14ac:dyDescent="0.35">
      <c r="D146" s="158"/>
    </row>
    <row r="153" spans="4:33" x14ac:dyDescent="0.35">
      <c r="E153" s="159"/>
      <c r="F153" s="159"/>
      <c r="G153" s="159"/>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row>
    <row r="156" spans="4:33" x14ac:dyDescent="0.35">
      <c r="D156" s="160"/>
    </row>
    <row r="159" spans="4:33" x14ac:dyDescent="0.35">
      <c r="D159" s="161"/>
    </row>
    <row r="162" spans="4:33" x14ac:dyDescent="0.35">
      <c r="D162" s="158"/>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row>
    <row r="163" spans="4:33" x14ac:dyDescent="0.35">
      <c r="D163" s="158"/>
    </row>
    <row r="166" spans="4:33" x14ac:dyDescent="0.35">
      <c r="M166" s="163"/>
    </row>
    <row r="174" spans="4:33" x14ac:dyDescent="0.35">
      <c r="D174" s="164"/>
    </row>
    <row r="175" spans="4:33" x14ac:dyDescent="0.35">
      <c r="D175" s="164"/>
    </row>
    <row r="176" spans="4:33" x14ac:dyDescent="0.35">
      <c r="D176" s="158"/>
    </row>
    <row r="177" spans="4:4" x14ac:dyDescent="0.35">
      <c r="D177" s="158"/>
    </row>
    <row r="179" spans="4:4" x14ac:dyDescent="0.35">
      <c r="D179" s="165"/>
    </row>
    <row r="180" spans="4:4" x14ac:dyDescent="0.35">
      <c r="D180" s="164"/>
    </row>
    <row r="181" spans="4:4" x14ac:dyDescent="0.35">
      <c r="D181" s="164"/>
    </row>
    <row r="186" spans="4:4" x14ac:dyDescent="0.35">
      <c r="D186" s="166"/>
    </row>
    <row r="195" spans="4:4" x14ac:dyDescent="0.35">
      <c r="D195" s="158"/>
    </row>
  </sheetData>
  <mergeCells count="1">
    <mergeCell ref="D3:A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zoomScaleNormal="100" workbookViewId="0">
      <pane xSplit="1" topLeftCell="B1" activePane="topRight" state="frozen"/>
      <selection sqref="A1:XFD1048576"/>
      <selection pane="topRight" sqref="A1:XFD1048576"/>
    </sheetView>
  </sheetViews>
  <sheetFormatPr defaultColWidth="12.6640625" defaultRowHeight="15.5" x14ac:dyDescent="0.35"/>
  <cols>
    <col min="1" max="1" width="57.5" style="63" bestFit="1" customWidth="1"/>
    <col min="2" max="2" width="24.5" style="63" bestFit="1" customWidth="1"/>
    <col min="3" max="3" width="22" style="63" bestFit="1" customWidth="1"/>
    <col min="4" max="4" width="5.4140625" style="63" customWidth="1"/>
    <col min="5" max="5" width="14.08203125" style="63" bestFit="1" customWidth="1"/>
    <col min="6" max="8" width="19.75" style="63" bestFit="1" customWidth="1"/>
    <col min="9" max="9" width="17.9140625" style="63" bestFit="1" customWidth="1"/>
    <col min="10" max="12" width="17.4140625" style="63" bestFit="1" customWidth="1"/>
    <col min="13" max="13" width="13.25" style="63" bestFit="1" customWidth="1"/>
    <col min="14" max="15" width="17.4140625" style="63" bestFit="1" customWidth="1"/>
    <col min="16" max="16" width="13" style="63" customWidth="1"/>
    <col min="17" max="24" width="17.4140625" style="63" bestFit="1" customWidth="1"/>
    <col min="25" max="33" width="16.58203125" style="63" bestFit="1" customWidth="1"/>
    <col min="34" max="34" width="19.83203125" style="63" bestFit="1" customWidth="1"/>
    <col min="35" max="35" width="12.6640625" style="63" customWidth="1"/>
    <col min="36" max="16384" width="12.6640625" style="63"/>
  </cols>
  <sheetData>
    <row r="1" spans="1:35" ht="26" x14ac:dyDescent="0.6">
      <c r="A1" s="13" t="s">
        <v>30</v>
      </c>
    </row>
    <row r="2" spans="1:35" ht="16" thickBot="1" x14ac:dyDescent="0.4"/>
    <row r="3" spans="1:35" s="15" customFormat="1" ht="21.5" thickBot="1" x14ac:dyDescent="0.55000000000000004">
      <c r="A3" s="49" t="s">
        <v>25</v>
      </c>
      <c r="B3" s="50" t="s">
        <v>34</v>
      </c>
      <c r="C3" s="33"/>
      <c r="D3" s="51"/>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7"/>
    </row>
    <row r="4" spans="1:35" s="16" customFormat="1" ht="21.5" thickBot="1" x14ac:dyDescent="0.55000000000000004">
      <c r="A4" s="52" t="s">
        <v>105</v>
      </c>
      <c r="B4" s="35"/>
      <c r="C4" s="34"/>
      <c r="D4" s="53"/>
      <c r="E4" s="65">
        <v>0.3</v>
      </c>
      <c r="F4" s="65">
        <v>0.3</v>
      </c>
      <c r="G4" s="65">
        <v>0.2</v>
      </c>
      <c r="H4" s="65">
        <v>0.15</v>
      </c>
      <c r="I4" s="65">
        <v>0.09</v>
      </c>
      <c r="J4" s="65">
        <v>0.06</v>
      </c>
      <c r="K4" s="65">
        <v>0.06</v>
      </c>
      <c r="L4" s="65">
        <v>0.05</v>
      </c>
      <c r="M4" s="65">
        <v>0.03</v>
      </c>
      <c r="N4" s="65">
        <v>0.03</v>
      </c>
      <c r="O4" s="65">
        <v>0.03</v>
      </c>
      <c r="P4" s="65">
        <v>0.03</v>
      </c>
      <c r="Q4" s="65">
        <v>0.03</v>
      </c>
      <c r="R4" s="65">
        <v>0.03</v>
      </c>
      <c r="S4" s="65">
        <v>2.1999999999999999E-2</v>
      </c>
      <c r="T4" s="65">
        <v>2.1999999999999999E-2</v>
      </c>
      <c r="U4" s="65">
        <v>2.1999999999999999E-2</v>
      </c>
      <c r="V4" s="65">
        <v>2.1999999999999999E-2</v>
      </c>
      <c r="W4" s="65">
        <v>2.1999999999999999E-2</v>
      </c>
      <c r="X4" s="65">
        <v>2.1999999999999999E-2</v>
      </c>
      <c r="Y4" s="65">
        <v>2.1999999999999999E-2</v>
      </c>
      <c r="Z4" s="65">
        <v>2.1999999999999999E-2</v>
      </c>
      <c r="AA4" s="65">
        <v>2.1999999999999999E-2</v>
      </c>
      <c r="AB4" s="65">
        <v>2.1999999999999999E-2</v>
      </c>
      <c r="AC4" s="65">
        <v>2.1999999999999999E-2</v>
      </c>
      <c r="AD4" s="65">
        <v>2.1999999999999999E-2</v>
      </c>
      <c r="AE4" s="65">
        <v>2.1999999999999999E-2</v>
      </c>
      <c r="AF4" s="65">
        <v>2.1999999999999999E-2</v>
      </c>
      <c r="AG4" s="65">
        <v>2.1999999999999999E-2</v>
      </c>
      <c r="AH4" s="65">
        <v>2.1999999999999999E-2</v>
      </c>
      <c r="AI4" s="58"/>
    </row>
    <row r="5" spans="1:35" s="16" customFormat="1" ht="21.5" thickBot="1" x14ac:dyDescent="0.55000000000000004">
      <c r="A5" s="54"/>
      <c r="B5" s="36"/>
      <c r="C5" s="62"/>
      <c r="D5" s="55"/>
      <c r="E5" s="4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7"/>
    </row>
    <row r="6" spans="1:35" s="64" customFormat="1" ht="21" x14ac:dyDescent="0.5">
      <c r="A6" s="24" t="s">
        <v>39</v>
      </c>
      <c r="B6" s="68">
        <f ca="1">MAX(E6:AH6)</f>
        <v>2.4844461011849095</v>
      </c>
      <c r="C6" s="25"/>
      <c r="D6" s="25"/>
      <c r="E6" s="27">
        <f>'Debt worksheet'!C5/'Profit and Loss'!C5</f>
        <v>2.2242522829768094</v>
      </c>
      <c r="F6" s="28">
        <f ca="1">'Debt worksheet'!D5/'Profit and Loss'!D5</f>
        <v>2.4314212253567331</v>
      </c>
      <c r="G6" s="28">
        <f ca="1">'Debt worksheet'!E5/'Profit and Loss'!E5</f>
        <v>2.4844461011849095</v>
      </c>
      <c r="H6" s="28">
        <f ca="1">'Debt worksheet'!F5/'Profit and Loss'!F5</f>
        <v>2.4568454740019567</v>
      </c>
      <c r="I6" s="28">
        <f ca="1">'Debt worksheet'!G5/'Profit and Loss'!G5</f>
        <v>2.4450558388748616</v>
      </c>
      <c r="J6" s="28">
        <f ca="1">'Debt worksheet'!H5/'Profit and Loss'!H5</f>
        <v>2.4452282928228875</v>
      </c>
      <c r="K6" s="28">
        <f ca="1">'Debt worksheet'!I5/'Profit and Loss'!I5</f>
        <v>2.4181094610061353</v>
      </c>
      <c r="L6" s="28">
        <f ca="1">'Debt worksheet'!J5/'Profit and Loss'!J5</f>
        <v>2.3871814919020027</v>
      </c>
      <c r="M6" s="28">
        <f ca="1">'Debt worksheet'!K5/'Profit and Loss'!K5</f>
        <v>2.3842286378845743</v>
      </c>
      <c r="N6" s="28">
        <f ca="1">'Debt worksheet'!L5/'Profit and Loss'!L5</f>
        <v>2.3812332520045816</v>
      </c>
      <c r="O6" s="28">
        <f ca="1">'Debt worksheet'!M5/'Profit and Loss'!M5</f>
        <v>2.3772752392201637</v>
      </c>
      <c r="P6" s="28">
        <f ca="1">'Debt worksheet'!N5/'Profit and Loss'!N5</f>
        <v>2.3715153578401975</v>
      </c>
      <c r="Q6" s="28">
        <f ca="1">'Debt worksheet'!O5/'Profit and Loss'!O5</f>
        <v>2.363190386995595</v>
      </c>
      <c r="R6" s="28">
        <f ca="1">'Debt worksheet'!P5/'Profit and Loss'!P5</f>
        <v>2.3516085394243342</v>
      </c>
      <c r="S6" s="28">
        <f ca="1">'Debt worksheet'!Q5/'Profit and Loss'!Q5</f>
        <v>2.354431958324414</v>
      </c>
      <c r="T6" s="28">
        <f ca="1">'Debt worksheet'!R5/'Profit and Loss'!R5</f>
        <v>2.3603489422292712</v>
      </c>
      <c r="U6" s="28">
        <f ca="1">'Debt worksheet'!S5/'Profit and Loss'!S5</f>
        <v>2.3686781910165249</v>
      </c>
      <c r="V6" s="28">
        <f ca="1">'Debt worksheet'!T5/'Profit and Loss'!T5</f>
        <v>2.3787790651654781</v>
      </c>
      <c r="W6" s="28">
        <f ca="1">'Debt worksheet'!U5/'Profit and Loss'!U5</f>
        <v>2.3900498024305055</v>
      </c>
      <c r="X6" s="28">
        <f ca="1">'Debt worksheet'!V5/'Profit and Loss'!V5</f>
        <v>2.4019258028985155</v>
      </c>
      <c r="Y6" s="28">
        <f ca="1">'Debt worksheet'!W5/'Profit and Loss'!W5</f>
        <v>2.4138779799863483</v>
      </c>
      <c r="Z6" s="28">
        <f ca="1">'Debt worksheet'!X5/'Profit and Loss'!X5</f>
        <v>2.4254111750178482</v>
      </c>
      <c r="AA6" s="28">
        <f ca="1">'Debt worksheet'!Y5/'Profit and Loss'!Y5</f>
        <v>2.4360626331013933</v>
      </c>
      <c r="AB6" s="28">
        <f ca="1">'Debt worksheet'!Z5/'Profit and Loss'!Z5</f>
        <v>2.4454005381070196</v>
      </c>
      <c r="AC6" s="28">
        <f ca="1">'Debt worksheet'!AA5/'Profit and Loss'!AA5</f>
        <v>2.4530226046179826</v>
      </c>
      <c r="AD6" s="28">
        <f ca="1">'Debt worksheet'!AB5/'Profit and Loss'!AB5</f>
        <v>2.4585547248047934</v>
      </c>
      <c r="AE6" s="28">
        <f ca="1">'Debt worksheet'!AC5/'Profit and Loss'!AC5</f>
        <v>2.4616496682405016</v>
      </c>
      <c r="AF6" s="28">
        <f ca="1">'Debt worksheet'!AD5/'Profit and Loss'!AD5</f>
        <v>2.4619858327443351</v>
      </c>
      <c r="AG6" s="28">
        <f ca="1">'Debt worksheet'!AE5/'Profit and Loss'!AE5</f>
        <v>2.4592660444068972</v>
      </c>
      <c r="AH6" s="28">
        <f ca="1">'Debt worksheet'!AF5/'Profit and Loss'!AF5</f>
        <v>2.4532164050139422</v>
      </c>
      <c r="AI6" s="31"/>
    </row>
    <row r="7" spans="1:35" ht="21" x14ac:dyDescent="0.5">
      <c r="A7" s="19" t="s">
        <v>38</v>
      </c>
      <c r="B7" s="26">
        <f ca="1">MIN('Price and Financial ratios'!E7:AH7)</f>
        <v>0.20354674928443178</v>
      </c>
      <c r="C7" s="26"/>
      <c r="D7" s="26"/>
      <c r="E7" s="56">
        <f ca="1">'Cash Flow'!C7/'Debt worksheet'!C5</f>
        <v>0.20354674928443178</v>
      </c>
      <c r="F7" s="32">
        <f ca="1">'Cash Flow'!D7/'Debt worksheet'!D5</f>
        <v>0.21643321154518844</v>
      </c>
      <c r="G7" s="32">
        <f ca="1">'Cash Flow'!E7/'Debt worksheet'!E5</f>
        <v>0.22767695260141149</v>
      </c>
      <c r="H7" s="32">
        <f ca="1">'Cash Flow'!F7/'Debt worksheet'!F5</f>
        <v>0.24066357480074388</v>
      </c>
      <c r="I7" s="32">
        <f ca="1">'Cash Flow'!G7/'Debt worksheet'!G5</f>
        <v>0.24469929833116724</v>
      </c>
      <c r="J7" s="32">
        <f ca="1">'Cash Flow'!H7/'Debt worksheet'!H5</f>
        <v>0.24403589879692586</v>
      </c>
      <c r="K7" s="32">
        <f ca="1">'Cash Flow'!I7/'Debt worksheet'!I5</f>
        <v>0.24712105418614161</v>
      </c>
      <c r="L7" s="32">
        <f ca="1">'Cash Flow'!J7/'Debt worksheet'!J5</f>
        <v>0.24986663052646976</v>
      </c>
      <c r="M7" s="17">
        <f ca="1">'Cash Flow'!K7/'Debt worksheet'!K5</f>
        <v>0.2468781743017564</v>
      </c>
      <c r="N7" s="17">
        <f ca="1">'Cash Flow'!L7/'Debt worksheet'!L5</f>
        <v>0.24425346594318209</v>
      </c>
      <c r="O7" s="17">
        <f ca="1">'Cash Flow'!M7/'Debt worksheet'!M5</f>
        <v>0.24207976278586288</v>
      </c>
      <c r="P7" s="17">
        <f ca="1">'Cash Flow'!N7/'Debt worksheet'!N5</f>
        <v>0.24043393320520395</v>
      </c>
      <c r="Q7" s="17">
        <f ca="1">'Cash Flow'!O7/'Debt worksheet'!O5</f>
        <v>0.23938541050127962</v>
      </c>
      <c r="R7" s="17">
        <f ca="1">'Cash Flow'!P7/'Debt worksheet'!P5</f>
        <v>0.23899930332434102</v>
      </c>
      <c r="S7" s="17">
        <f ca="1">'Cash Flow'!Q7/'Debt worksheet'!Q5</f>
        <v>0.23589431685274689</v>
      </c>
      <c r="T7" s="17">
        <f ca="1">'Cash Flow'!R7/'Debt worksheet'!R5</f>
        <v>0.23266874250729203</v>
      </c>
      <c r="U7" s="17">
        <f ca="1">'Cash Flow'!S7/'Debt worksheet'!S5</f>
        <v>0.22940190391084059</v>
      </c>
      <c r="V7" s="17">
        <f ca="1">'Cash Flow'!T7/'Debt worksheet'!T5</f>
        <v>0.22616469084769211</v>
      </c>
      <c r="W7" s="17">
        <f ca="1">'Cash Flow'!U7/'Debt worksheet'!U5</f>
        <v>0.2230195084968806</v>
      </c>
      <c r="X7" s="17">
        <f ca="1">'Cash Flow'!V7/'Debt worksheet'!V5</f>
        <v>0.22002064036645866</v>
      </c>
      <c r="Y7" s="17">
        <f ca="1">'Cash Flow'!W7/'Debt worksheet'!W5</f>
        <v>0.21721490420147463</v>
      </c>
      <c r="Z7" s="17">
        <f ca="1">'Cash Flow'!X7/'Debt worksheet'!X5</f>
        <v>0.21464249736912197</v>
      </c>
      <c r="AA7" s="17">
        <f ca="1">'Cash Flow'!Y7/'Debt worksheet'!Y5</f>
        <v>0.21233794905513925</v>
      </c>
      <c r="AB7" s="17">
        <f ca="1">'Cash Flow'!Z7/'Debt worksheet'!Z5</f>
        <v>0.21033111770150401</v>
      </c>
      <c r="AC7" s="17">
        <f ca="1">'Cash Flow'!AA7/'Debt worksheet'!AA5</f>
        <v>0.20864819144804619</v>
      </c>
      <c r="AD7" s="17">
        <f ca="1">'Cash Flow'!AB7/'Debt worksheet'!AB5</f>
        <v>0.20731266592622374</v>
      </c>
      <c r="AE7" s="17">
        <f ca="1">'Cash Flow'!AC7/'Debt worksheet'!AC5</f>
        <v>0.20634628735203295</v>
      </c>
      <c r="AF7" s="17">
        <f ca="1">'Cash Flow'!AD7/'Debt worksheet'!AD5</f>
        <v>0.20576995971101172</v>
      </c>
      <c r="AG7" s="17">
        <f ca="1">'Cash Flow'!AE7/'Debt worksheet'!AE5</f>
        <v>0.20560462342307775</v>
      </c>
      <c r="AH7" s="17">
        <f ca="1">'Cash Flow'!AF7/'Debt worksheet'!AF5</f>
        <v>0.20587211984922055</v>
      </c>
      <c r="AI7" s="29"/>
    </row>
    <row r="8" spans="1:35" ht="21" x14ac:dyDescent="0.5">
      <c r="A8" s="19" t="s">
        <v>33</v>
      </c>
      <c r="B8" s="26">
        <f ca="1">MAX('Price and Financial ratios'!E8:AH8)</f>
        <v>0.41453226608632732</v>
      </c>
      <c r="C8" s="26"/>
      <c r="D8" s="176"/>
      <c r="E8" s="17">
        <f>'Balance Sheet'!B11/'Balance Sheet'!B8</f>
        <v>0.23947223259883069</v>
      </c>
      <c r="F8" s="17">
        <f ca="1">'Balance Sheet'!C11/'Balance Sheet'!C8</f>
        <v>0.34693648226065665</v>
      </c>
      <c r="G8" s="17">
        <f ca="1">'Balance Sheet'!D11/'Balance Sheet'!D8</f>
        <v>0.38987318747277028</v>
      </c>
      <c r="H8" s="17">
        <f ca="1">'Balance Sheet'!E11/'Balance Sheet'!E8</f>
        <v>0.41006301259446204</v>
      </c>
      <c r="I8" s="17">
        <f ca="1">'Balance Sheet'!F11/'Balance Sheet'!F8</f>
        <v>0.41453226608632732</v>
      </c>
      <c r="J8" s="17">
        <f ca="1">'Balance Sheet'!G11/'Balance Sheet'!G8</f>
        <v>0.41213593547907618</v>
      </c>
      <c r="K8" s="17">
        <f ca="1">'Balance Sheet'!H11/'Balance Sheet'!H8</f>
        <v>0.40739973648402733</v>
      </c>
      <c r="L8" s="17">
        <f ca="1">'Balance Sheet'!I11/'Balance Sheet'!I8</f>
        <v>0.40011742235093345</v>
      </c>
      <c r="M8" s="17">
        <f ca="1">'Balance Sheet'!J11/'Balance Sheet'!J8</f>
        <v>0.39160094042555404</v>
      </c>
      <c r="N8" s="17">
        <f ca="1">'Balance Sheet'!K11/'Balance Sheet'!K8</f>
        <v>0.38464943160820392</v>
      </c>
      <c r="O8" s="17">
        <f ca="1">'Balance Sheet'!L11/'Balance Sheet'!L8</f>
        <v>0.37888234320701203</v>
      </c>
      <c r="P8" s="17">
        <f ca="1">'Balance Sheet'!M11/'Balance Sheet'!M8</f>
        <v>0.37398679809348012</v>
      </c>
      <c r="Q8" s="17">
        <f ca="1">'Balance Sheet'!N11/'Balance Sheet'!N8</f>
        <v>0.3697005762939633</v>
      </c>
      <c r="R8" s="17">
        <f ca="1">'Balance Sheet'!O11/'Balance Sheet'!O8</f>
        <v>0.36579984037266655</v>
      </c>
      <c r="S8" s="17">
        <f ca="1">'Balance Sheet'!P11/'Balance Sheet'!P8</f>
        <v>0.36209012527183704</v>
      </c>
      <c r="T8" s="17">
        <f ca="1">'Balance Sheet'!Q11/'Balance Sheet'!Q8</f>
        <v>0.35957363988335433</v>
      </c>
      <c r="U8" s="17">
        <f ca="1">'Balance Sheet'!R11/'Balance Sheet'!R8</f>
        <v>0.35806006578462118</v>
      </c>
      <c r="V8" s="17">
        <f ca="1">'Balance Sheet'!S11/'Balance Sheet'!S8</f>
        <v>0.35738468177959043</v>
      </c>
      <c r="W8" s="17">
        <f ca="1">'Balance Sheet'!T11/'Balance Sheet'!T8</f>
        <v>0.35740336155925917</v>
      </c>
      <c r="X8" s="17">
        <f ca="1">'Balance Sheet'!U11/'Balance Sheet'!U8</f>
        <v>0.35798866094348103</v>
      </c>
      <c r="Y8" s="17">
        <f ca="1">'Balance Sheet'!V11/'Balance Sheet'!V8</f>
        <v>0.35902672659411811</v>
      </c>
      <c r="Z8" s="17">
        <f ca="1">'Balance Sheet'!W11/'Balance Sheet'!W8</f>
        <v>0.36041483090883081</v>
      </c>
      <c r="AA8" s="17">
        <f ca="1">'Balance Sheet'!X11/'Balance Sheet'!X8</f>
        <v>0.36205938910390539</v>
      </c>
      <c r="AB8" s="17">
        <f ca="1">'Balance Sheet'!Y11/'Balance Sheet'!Y8</f>
        <v>0.3638743511152433</v>
      </c>
      <c r="AC8" s="17">
        <f ca="1">'Balance Sheet'!Z11/'Balance Sheet'!Z8</f>
        <v>0.36577988741179418</v>
      </c>
      <c r="AD8" s="17">
        <f ca="1">'Balance Sheet'!AA11/'Balance Sheet'!AA8</f>
        <v>0.36770130716099214</v>
      </c>
      <c r="AE8" s="17">
        <f ca="1">'Balance Sheet'!AB11/'Balance Sheet'!AB8</f>
        <v>0.36956816147763416</v>
      </c>
      <c r="AF8" s="17">
        <f ca="1">'Balance Sheet'!AC11/'Balance Sheet'!AC8</f>
        <v>0.37131349515145839</v>
      </c>
      <c r="AG8" s="17">
        <f ca="1">'Balance Sheet'!AD11/'Balance Sheet'!AD8</f>
        <v>0.3728732182796855</v>
      </c>
      <c r="AH8" s="17">
        <f ca="1">'Balance Sheet'!AE11/'Balance Sheet'!AE8</f>
        <v>0.37418557533191854</v>
      </c>
      <c r="AI8" s="29"/>
    </row>
    <row r="9" spans="1:35" ht="21.5" thickBot="1" x14ac:dyDescent="0.55000000000000004">
      <c r="A9" s="20" t="s">
        <v>32</v>
      </c>
      <c r="B9" s="21">
        <f ca="1">MIN('Price and Financial ratios'!E9:AH9)</f>
        <v>4.973565228039531</v>
      </c>
      <c r="C9" s="21"/>
      <c r="D9" s="177"/>
      <c r="E9" s="21">
        <f ca="1">('Cash Flow'!C7+'Profit and Loss'!C8)/('Profit and Loss'!C8)</f>
        <v>4.973565228039531</v>
      </c>
      <c r="F9" s="21">
        <f ca="1">('Cash Flow'!D7+'Profit and Loss'!D8)/('Profit and Loss'!D8)</f>
        <v>5.8967616866407768</v>
      </c>
      <c r="G9" s="21">
        <f ca="1">('Cash Flow'!E7+'Profit and Loss'!E8)/('Profit and Loss'!E8)</f>
        <v>6.5540355280850155</v>
      </c>
      <c r="H9" s="21">
        <f ca="1">('Cash Flow'!F7+'Profit and Loss'!F8)/('Profit and Loss'!F8)</f>
        <v>7.1547244219872068</v>
      </c>
      <c r="I9" s="21">
        <f ca="1">('Cash Flow'!G7+'Profit and Loss'!G8)/('Profit and Loss'!G8)</f>
        <v>7.4037138150294606</v>
      </c>
      <c r="J9" s="21">
        <f ca="1">('Cash Flow'!H7+'Profit and Loss'!H8)/('Profit and Loss'!H8)</f>
        <v>7.4584305673794873</v>
      </c>
      <c r="K9" s="21">
        <f ca="1">('Cash Flow'!I7+'Profit and Loss'!I8)/('Profit and Loss'!I8)</f>
        <v>7.6137329204624544</v>
      </c>
      <c r="L9" s="21">
        <f ca="1">('Cash Flow'!J7+'Profit and Loss'!J8)/('Profit and Loss'!J8)</f>
        <v>7.7382056374552199</v>
      </c>
      <c r="M9" s="21">
        <f ca="1">('Cash Flow'!K7+'Profit and Loss'!K8)/('Profit and Loss'!K8)</f>
        <v>7.6577444395812932</v>
      </c>
      <c r="N9" s="21">
        <f ca="1">('Cash Flow'!L7+'Profit and Loss'!L8)/('Profit and Loss'!L8)</f>
        <v>7.5896396848771088</v>
      </c>
      <c r="O9" s="21">
        <f ca="1">('Cash Flow'!M7+'Profit and Loss'!M8)/('Profit and Loss'!M8)</f>
        <v>7.535976355474431</v>
      </c>
      <c r="P9" s="21">
        <f ca="1">('Cash Flow'!N7+'Profit and Loss'!N8)/('Profit and Loss'!N8)</f>
        <v>7.4986246415420323</v>
      </c>
      <c r="Q9" s="21">
        <f ca="1">('Cash Flow'!O7+'Profit and Loss'!O8)/('Profit and Loss'!O8)</f>
        <v>7.479325874547941</v>
      </c>
      <c r="R9" s="21">
        <f ca="1">('Cash Flow'!P7+'Profit and Loss'!P8)/('Profit and Loss'!P8)</f>
        <v>7.4797807334165922</v>
      </c>
      <c r="S9" s="21">
        <f ca="1">('Cash Flow'!Q7+'Profit and Loss'!Q8)/('Profit and Loss'!Q8)</f>
        <v>7.3872247955576551</v>
      </c>
      <c r="T9" s="21">
        <f ca="1">('Cash Flow'!R7+'Profit and Loss'!R8)/('Profit and Loss'!R8)</f>
        <v>7.2935108262889186</v>
      </c>
      <c r="U9" s="21">
        <f ca="1">('Cash Flow'!S7+'Profit and Loss'!S8)/('Profit and Loss'!S8)</f>
        <v>7.2006006627849102</v>
      </c>
      <c r="V9" s="21">
        <f ca="1">('Cash Flow'!T7+'Profit and Loss'!T8)/('Profit and Loss'!T8)</f>
        <v>7.1102186451908151</v>
      </c>
      <c r="W9" s="21">
        <f ca="1">('Cash Flow'!U7+'Profit and Loss'!U8)/('Profit and Loss'!U8)</f>
        <v>7.0238619166070464</v>
      </c>
      <c r="X9" s="21">
        <f ca="1">('Cash Flow'!V7+'Profit and Loss'!V8)/('Profit and Loss'!V8)</f>
        <v>6.942818815775297</v>
      </c>
      <c r="Y9" s="21">
        <f ca="1">('Cash Flow'!W7+'Profit and Loss'!W8)/('Profit and Loss'!W8)</f>
        <v>6.8681924808110546</v>
      </c>
      <c r="Z9" s="21">
        <f ca="1">('Cash Flow'!X7+'Profit and Loss'!X8)/('Profit and Loss'!X8)</f>
        <v>6.8009273644756707</v>
      </c>
      <c r="AA9" s="21">
        <f ca="1">('Cash Flow'!Y7+'Profit and Loss'!Y8)/('Profit and Loss'!Y8)</f>
        <v>6.7418369496041111</v>
      </c>
      <c r="AB9" s="21">
        <f ca="1">('Cash Flow'!Z7+'Profit and Loss'!Z8)/('Profit and Loss'!Z8)</f>
        <v>6.6916314912255199</v>
      </c>
      <c r="AC9" s="21">
        <f ca="1">('Cash Flow'!AA7+'Profit and Loss'!AA8)/('Profit and Loss'!AA8)</f>
        <v>6.6509450725156611</v>
      </c>
      <c r="AD9" s="21">
        <f ca="1">('Cash Flow'!AB7+'Profit and Loss'!AB8)/('Profit and Loss'!AB8)</f>
        <v>6.6203616385226649</v>
      </c>
      <c r="AE9" s="21">
        <f ca="1">('Cash Flow'!AC7+'Profit and Loss'!AC8)/('Profit and Loss'!AC8)</f>
        <v>6.6004399712424053</v>
      </c>
      <c r="AF9" s="21">
        <f ca="1">('Cash Flow'!AD7+'Profit and Loss'!AD8)/('Profit and Loss'!AD8)</f>
        <v>6.5917378060779246</v>
      </c>
      <c r="AG9" s="21">
        <f ca="1">('Cash Flow'!AE7+'Profit and Loss'!AE8)/('Profit and Loss'!AE8)</f>
        <v>6.5948354804970819</v>
      </c>
      <c r="AH9" s="21">
        <f ca="1">('Cash Flow'!AF7+'Profit and Loss'!AF8)/('Profit and Loss'!AF8)</f>
        <v>6.6103596696498261</v>
      </c>
      <c r="AI9" s="30"/>
    </row>
    <row r="11" spans="1:35" ht="26" x14ac:dyDescent="0.6">
      <c r="A11" s="13"/>
      <c r="E11" s="39"/>
    </row>
    <row r="12" spans="1:35" x14ac:dyDescent="0.35">
      <c r="A12" s="14"/>
      <c r="E12" s="39"/>
    </row>
    <row r="13" spans="1:35" ht="18.5" x14ac:dyDescent="0.45">
      <c r="A13" s="89"/>
      <c r="B13" s="90"/>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8"/>
      <c r="AG13" s="48"/>
      <c r="AH13" s="48"/>
    </row>
    <row r="14" spans="1:35" ht="18.5" x14ac:dyDescent="0.45">
      <c r="A14" s="90"/>
      <c r="B14" s="90"/>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5" ht="18.5" x14ac:dyDescent="0.45">
      <c r="A15" s="90"/>
      <c r="B15" s="91"/>
      <c r="E15" s="39"/>
    </row>
    <row r="16" spans="1:35" ht="18.5" x14ac:dyDescent="0.45">
      <c r="A16" s="90"/>
      <c r="B16" s="92"/>
      <c r="E16" s="39"/>
    </row>
    <row r="17" spans="1:5" ht="18.5" x14ac:dyDescent="0.45">
      <c r="A17" s="90"/>
      <c r="B17" s="93"/>
      <c r="E17" s="39"/>
    </row>
    <row r="18" spans="1:5" ht="18.5" x14ac:dyDescent="0.45">
      <c r="A18" s="94"/>
      <c r="B18" s="95"/>
      <c r="E18" s="39"/>
    </row>
    <row r="19" spans="1:5" ht="18.5" x14ac:dyDescent="0.45">
      <c r="A19" s="94"/>
      <c r="B19" s="94"/>
    </row>
    <row r="20" spans="1:5" ht="18.5" x14ac:dyDescent="0.45">
      <c r="A20" s="94"/>
      <c r="B20" s="91"/>
    </row>
    <row r="21" spans="1:5" ht="18.5" x14ac:dyDescent="0.45">
      <c r="A21" s="96"/>
      <c r="B21" s="97"/>
    </row>
    <row r="22" spans="1:5" ht="18.5" x14ac:dyDescent="0.45">
      <c r="A22" s="94"/>
      <c r="B22" s="98"/>
    </row>
    <row r="23" spans="1:5" ht="18.5" x14ac:dyDescent="0.45">
      <c r="A23" s="96"/>
      <c r="B23" s="99"/>
    </row>
    <row r="24" spans="1:5" ht="18.5" x14ac:dyDescent="0.45">
      <c r="A24" s="96"/>
      <c r="B24" s="100"/>
    </row>
    <row r="25" spans="1:5" ht="18.5" x14ac:dyDescent="0.45">
      <c r="A25" s="94"/>
      <c r="B25" s="101"/>
    </row>
    <row r="26" spans="1:5" ht="18.5" x14ac:dyDescent="0.45">
      <c r="A26" s="102"/>
      <c r="B26" s="101"/>
    </row>
    <row r="27" spans="1:5" ht="18.5" x14ac:dyDescent="0.45">
      <c r="A27" s="94"/>
      <c r="B27" s="101"/>
    </row>
    <row r="28" spans="1:5" ht="18.5" x14ac:dyDescent="0.45">
      <c r="A28" s="94"/>
      <c r="B28" s="91"/>
    </row>
    <row r="29" spans="1:5" ht="18.5" x14ac:dyDescent="0.45">
      <c r="A29" s="94"/>
      <c r="B29" s="92"/>
    </row>
    <row r="30" spans="1:5" ht="18.5" x14ac:dyDescent="0.45">
      <c r="A30" s="94"/>
      <c r="B30" s="94"/>
    </row>
    <row r="31" spans="1:5" ht="18.5" x14ac:dyDescent="0.45">
      <c r="A31" s="94"/>
      <c r="B31" s="95"/>
    </row>
    <row r="32" spans="1:5" ht="18.5" x14ac:dyDescent="0.45">
      <c r="A32" s="94"/>
      <c r="B32" s="94"/>
    </row>
    <row r="33" spans="1:5" ht="18.5" x14ac:dyDescent="0.45">
      <c r="A33" s="94"/>
      <c r="B33" s="91"/>
    </row>
    <row r="34" spans="1:5" ht="18.5" x14ac:dyDescent="0.45">
      <c r="A34" s="94"/>
      <c r="B34" s="91"/>
    </row>
    <row r="35" spans="1:5" ht="18.5" x14ac:dyDescent="0.45">
      <c r="A35" s="94"/>
      <c r="B35" s="103"/>
    </row>
    <row r="36" spans="1:5" ht="18.5" x14ac:dyDescent="0.45">
      <c r="A36" s="96"/>
      <c r="B36" s="97"/>
    </row>
    <row r="37" spans="1:5" ht="18.5" x14ac:dyDescent="0.45">
      <c r="A37" s="96"/>
      <c r="B37" s="91"/>
    </row>
    <row r="38" spans="1:5" ht="18.5" x14ac:dyDescent="0.45">
      <c r="A38" s="96"/>
      <c r="B38" s="97"/>
    </row>
    <row r="39" spans="1:5" ht="18.5" x14ac:dyDescent="0.45">
      <c r="A39" s="102"/>
      <c r="B39" s="96"/>
    </row>
    <row r="40" spans="1:5" ht="18.5" x14ac:dyDescent="0.45">
      <c r="A40" s="94"/>
      <c r="B40" s="91"/>
      <c r="D40" s="67"/>
    </row>
    <row r="41" spans="1:5" ht="18.5" x14ac:dyDescent="0.45">
      <c r="A41" s="94"/>
      <c r="B41" s="91"/>
      <c r="D41" s="5"/>
    </row>
    <row r="42" spans="1:5" ht="18.5" x14ac:dyDescent="0.45">
      <c r="A42" s="94"/>
      <c r="B42" s="92"/>
      <c r="D42" s="3"/>
    </row>
    <row r="43" spans="1:5" ht="18.5" x14ac:dyDescent="0.45">
      <c r="A43" s="94"/>
      <c r="B43" s="94"/>
    </row>
    <row r="44" spans="1:5" ht="18.5" x14ac:dyDescent="0.45">
      <c r="A44" s="94"/>
      <c r="B44" s="95"/>
      <c r="D44" s="5"/>
    </row>
    <row r="45" spans="1:5" ht="18.5" x14ac:dyDescent="0.45">
      <c r="A45" s="94"/>
      <c r="B45" s="94"/>
      <c r="E45" s="1"/>
    </row>
    <row r="46" spans="1:5" ht="18.5" x14ac:dyDescent="0.45">
      <c r="A46" s="94"/>
      <c r="B46" s="91"/>
      <c r="D46" s="41"/>
      <c r="E46" s="1"/>
    </row>
    <row r="47" spans="1:5" ht="18.5" x14ac:dyDescent="0.45">
      <c r="A47" s="94"/>
      <c r="B47" s="94"/>
    </row>
    <row r="48" spans="1:5" ht="18.5" x14ac:dyDescent="0.45">
      <c r="A48" s="94"/>
      <c r="B48" s="103"/>
      <c r="D48" s="8"/>
    </row>
    <row r="49" spans="1:3" ht="18.5" x14ac:dyDescent="0.45">
      <c r="A49" s="96"/>
      <c r="B49" s="97"/>
    </row>
    <row r="50" spans="1:3" ht="18.5" x14ac:dyDescent="0.45">
      <c r="A50" s="96"/>
      <c r="B50" s="91"/>
    </row>
    <row r="51" spans="1:3" x14ac:dyDescent="0.35">
      <c r="A51" s="64"/>
      <c r="B51" s="64"/>
    </row>
    <row r="52" spans="1:3" x14ac:dyDescent="0.35">
      <c r="A52" s="64"/>
      <c r="B52" s="64"/>
    </row>
    <row r="53" spans="1:3" x14ac:dyDescent="0.35">
      <c r="A53" s="64"/>
      <c r="B53" s="64"/>
    </row>
    <row r="54" spans="1:3" x14ac:dyDescent="0.35">
      <c r="C54" s="9"/>
    </row>
    <row r="56" spans="1:3" x14ac:dyDescent="0.35">
      <c r="C56" s="66"/>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zoomScaleNormal="100" workbookViewId="0">
      <selection sqref="A1:XFD1048576"/>
    </sheetView>
  </sheetViews>
  <sheetFormatPr defaultRowHeight="15.5" x14ac:dyDescent="0.35"/>
  <cols>
    <col min="1" max="16384" width="8.6640625" style="174"/>
  </cols>
  <sheetData>
    <row r="1" spans="1:1" x14ac:dyDescent="0.35">
      <c r="A1" s="175"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Normal="100" workbookViewId="0">
      <pane xSplit="1" topLeftCell="B1" activePane="topRight" state="frozen"/>
      <selection sqref="A1:XFD1048576"/>
      <selection pane="topRight"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3" customFormat="1" ht="26" x14ac:dyDescent="0.6">
      <c r="A1" s="13" t="s">
        <v>161</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72</v>
      </c>
      <c r="C5" s="1">
        <f>Assumptions!D111</f>
        <v>6426165.1002560053</v>
      </c>
      <c r="D5" s="1">
        <f>Assumptions!E111</f>
        <v>6426165.1002560053</v>
      </c>
      <c r="E5" s="1">
        <f>Assumptions!F111</f>
        <v>6426165.1002560053</v>
      </c>
      <c r="F5" s="1">
        <f>Assumptions!G111</f>
        <v>6426165.1002560053</v>
      </c>
      <c r="G5" s="1">
        <f>Assumptions!H111</f>
        <v>6426165.1002560053</v>
      </c>
      <c r="H5" s="1">
        <f>Assumptions!I111</f>
        <v>6426165.1002560053</v>
      </c>
      <c r="I5" s="1">
        <f>Assumptions!J111</f>
        <v>6426165.1002560053</v>
      </c>
      <c r="J5" s="1">
        <f>Assumptions!K111</f>
        <v>6426165.1002560053</v>
      </c>
      <c r="K5" s="1">
        <f>Assumptions!L111</f>
        <v>6426165.1002560053</v>
      </c>
      <c r="L5" s="1">
        <f>Assumptions!M111</f>
        <v>6426165.1002560053</v>
      </c>
      <c r="M5" s="1">
        <f>Assumptions!N111</f>
        <v>6426165.1002560053</v>
      </c>
      <c r="N5" s="1">
        <f>Assumptions!O111</f>
        <v>6426165.1002560053</v>
      </c>
      <c r="O5" s="1">
        <f>Assumptions!P111</f>
        <v>6426165.1002560053</v>
      </c>
      <c r="P5" s="1">
        <f>Assumptions!Q111</f>
        <v>6426165.1002560053</v>
      </c>
      <c r="Q5" s="1">
        <f>Assumptions!R111</f>
        <v>6426165.1002560053</v>
      </c>
      <c r="R5" s="1">
        <f>Assumptions!S111</f>
        <v>6426165.1002560053</v>
      </c>
      <c r="S5" s="1">
        <f>Assumptions!T111</f>
        <v>6426165.1002560053</v>
      </c>
      <c r="T5" s="1">
        <f>Assumptions!U111</f>
        <v>6426165.1002560053</v>
      </c>
      <c r="U5" s="1">
        <f>Assumptions!V111</f>
        <v>6426165.1002560053</v>
      </c>
      <c r="V5" s="1">
        <f>Assumptions!W111</f>
        <v>6426165.1002560053</v>
      </c>
      <c r="W5" s="1">
        <f>Assumptions!X111</f>
        <v>6426165.1002560053</v>
      </c>
      <c r="X5" s="1">
        <f>Assumptions!Y111</f>
        <v>6426165.1002560053</v>
      </c>
      <c r="Y5" s="1">
        <f>Assumptions!Z111</f>
        <v>6426165.1002560053</v>
      </c>
      <c r="Z5" s="1">
        <f>Assumptions!AA111</f>
        <v>6426165.1002560053</v>
      </c>
      <c r="AA5" s="1">
        <f>Assumptions!AB111</f>
        <v>6426165.1002560053</v>
      </c>
      <c r="AB5" s="1">
        <f>Assumptions!AC111</f>
        <v>6426165.1002560053</v>
      </c>
      <c r="AC5" s="1">
        <f>Assumptions!AD111</f>
        <v>6426165.1002560053</v>
      </c>
      <c r="AD5" s="1">
        <f>Assumptions!AE111</f>
        <v>6426165.1002560053</v>
      </c>
      <c r="AE5" s="1">
        <f>Assumptions!AF111</f>
        <v>6426165.1002560053</v>
      </c>
      <c r="AF5" s="1">
        <f>Assumptions!AG111</f>
        <v>6426165.1002560053</v>
      </c>
    </row>
    <row r="6" spans="1:32" x14ac:dyDescent="0.35">
      <c r="A6" t="s">
        <v>68</v>
      </c>
      <c r="C6" s="1">
        <f>Assumptions!D113</f>
        <v>25759132.721737362</v>
      </c>
      <c r="D6" s="1">
        <f>Assumptions!E113</f>
        <v>25759132.721737362</v>
      </c>
      <c r="E6" s="1">
        <f>Assumptions!F113</f>
        <v>25759132.721737362</v>
      </c>
      <c r="F6" s="1">
        <f>Assumptions!G113</f>
        <v>25759132.721737362</v>
      </c>
      <c r="G6" s="1">
        <f>Assumptions!H113</f>
        <v>25759132.721737362</v>
      </c>
      <c r="H6" s="1">
        <f>Assumptions!I113</f>
        <v>25759132.721737362</v>
      </c>
      <c r="I6" s="1">
        <f>Assumptions!J113</f>
        <v>25759132.721737362</v>
      </c>
      <c r="J6" s="1">
        <f>Assumptions!K113</f>
        <v>25759132.721737362</v>
      </c>
      <c r="K6" s="1">
        <f>Assumptions!L113</f>
        <v>25759132.721737362</v>
      </c>
      <c r="L6" s="1">
        <f>Assumptions!M113</f>
        <v>25759132.721737362</v>
      </c>
      <c r="M6" s="1">
        <f>Assumptions!N113</f>
        <v>25759132.721737362</v>
      </c>
      <c r="N6" s="1">
        <f>Assumptions!O113</f>
        <v>25759132.721737362</v>
      </c>
      <c r="O6" s="1">
        <f>Assumptions!P113</f>
        <v>25759132.721737362</v>
      </c>
      <c r="P6" s="1">
        <f>Assumptions!Q113</f>
        <v>25759132.721737362</v>
      </c>
      <c r="Q6" s="1">
        <f>Assumptions!R113</f>
        <v>25759132.721737362</v>
      </c>
      <c r="R6" s="1">
        <f>Assumptions!S113</f>
        <v>25759132.721737362</v>
      </c>
      <c r="S6" s="1">
        <f>Assumptions!T113</f>
        <v>25759132.721737362</v>
      </c>
      <c r="T6" s="1">
        <f>Assumptions!U113</f>
        <v>25759132.721737362</v>
      </c>
      <c r="U6" s="1">
        <f>Assumptions!V113</f>
        <v>25759132.721737362</v>
      </c>
      <c r="V6" s="1">
        <f>Assumptions!W113</f>
        <v>25759132.721737362</v>
      </c>
      <c r="W6" s="1">
        <f>Assumptions!X113</f>
        <v>25759132.721737362</v>
      </c>
      <c r="X6" s="1">
        <f>Assumptions!Y113</f>
        <v>25759132.721737362</v>
      </c>
      <c r="Y6" s="1">
        <f>Assumptions!Z113</f>
        <v>25759132.721737362</v>
      </c>
      <c r="Z6" s="1">
        <f>Assumptions!AA113</f>
        <v>25759132.721737362</v>
      </c>
      <c r="AA6" s="1">
        <f>Assumptions!AB113</f>
        <v>25759132.721737362</v>
      </c>
      <c r="AB6" s="1">
        <f>Assumptions!AC113</f>
        <v>25759132.721737362</v>
      </c>
      <c r="AC6" s="1">
        <f>Assumptions!AD113</f>
        <v>25759132.721737362</v>
      </c>
      <c r="AD6" s="1">
        <f>Assumptions!AE113</f>
        <v>25759132.721737362</v>
      </c>
      <c r="AE6" s="1">
        <f>Assumptions!AF113</f>
        <v>25759132.721737362</v>
      </c>
      <c r="AF6" s="1">
        <f>Assumptions!AG113</f>
        <v>25759132.721737362</v>
      </c>
    </row>
    <row r="7" spans="1:32" x14ac:dyDescent="0.35">
      <c r="A7" t="s">
        <v>73</v>
      </c>
      <c r="C7" s="1">
        <f>Assumptions!D120</f>
        <v>618219.18532169668</v>
      </c>
      <c r="D7" s="1">
        <f>Assumptions!E120</f>
        <v>1236438.3706433934</v>
      </c>
      <c r="E7" s="1">
        <f>Assumptions!F120</f>
        <v>1854657.5559650902</v>
      </c>
      <c r="F7" s="1">
        <f>Assumptions!G120</f>
        <v>2472876.7412867867</v>
      </c>
      <c r="G7" s="1">
        <f>Assumptions!H120</f>
        <v>3091095.9266084828</v>
      </c>
      <c r="H7" s="1">
        <f>Assumptions!I120</f>
        <v>3709315.1119301794</v>
      </c>
      <c r="I7" s="1">
        <f>Assumptions!J120</f>
        <v>4327534.2972518764</v>
      </c>
      <c r="J7" s="1">
        <f>Assumptions!K120</f>
        <v>4945753.4825735725</v>
      </c>
      <c r="K7" s="1">
        <f>Assumptions!L120</f>
        <v>5563972.6678952696</v>
      </c>
      <c r="L7" s="1">
        <f>Assumptions!M120</f>
        <v>6182191.8532169648</v>
      </c>
      <c r="M7" s="1">
        <f>Assumptions!N120</f>
        <v>6800411.0385386627</v>
      </c>
      <c r="N7" s="1">
        <f>Assumptions!O120</f>
        <v>7418630.2238603588</v>
      </c>
      <c r="O7" s="1">
        <f>Assumptions!P120</f>
        <v>8036849.4091820568</v>
      </c>
      <c r="P7" s="1">
        <f>Assumptions!Q120</f>
        <v>8655068.5945037547</v>
      </c>
      <c r="Q7" s="1">
        <f>Assumptions!R120</f>
        <v>9273287.7798254509</v>
      </c>
      <c r="R7" s="1">
        <f>Assumptions!S120</f>
        <v>9891506.9651471488</v>
      </c>
      <c r="S7" s="1">
        <f>Assumptions!T120</f>
        <v>10509726.150468845</v>
      </c>
      <c r="T7" s="1">
        <f>Assumptions!U120</f>
        <v>11127945.335790543</v>
      </c>
      <c r="U7" s="1">
        <f>Assumptions!V120</f>
        <v>11746164.521112239</v>
      </c>
      <c r="V7" s="1">
        <f>Assumptions!W120</f>
        <v>12364383.706433939</v>
      </c>
      <c r="W7" s="1">
        <f>Assumptions!X120</f>
        <v>12982602.891755633</v>
      </c>
      <c r="X7" s="1">
        <f>Assumptions!Y120</f>
        <v>13600822.077077329</v>
      </c>
      <c r="Y7" s="1">
        <f>Assumptions!Z120</f>
        <v>14219041.262399027</v>
      </c>
      <c r="Z7" s="1">
        <f>Assumptions!AA120</f>
        <v>14837260.447720727</v>
      </c>
      <c r="AA7" s="1">
        <f>Assumptions!AB120</f>
        <v>15455479.633042421</v>
      </c>
      <c r="AB7" s="1">
        <f>Assumptions!AC120</f>
        <v>16073698.818364119</v>
      </c>
      <c r="AC7" s="1">
        <f>Assumptions!AD120</f>
        <v>16691918.003685815</v>
      </c>
      <c r="AD7" s="1">
        <f>Assumptions!AE120</f>
        <v>17310137.189007513</v>
      </c>
      <c r="AE7" s="1">
        <f>Assumptions!AF120</f>
        <v>17928356.374329213</v>
      </c>
      <c r="AF7" s="1">
        <f>Assumptions!AG120</f>
        <v>18546575.559650909</v>
      </c>
    </row>
    <row r="9" spans="1:32" x14ac:dyDescent="0.35">
      <c r="A9" t="s">
        <v>92</v>
      </c>
      <c r="C9" s="42">
        <f>Assumptions!D11</f>
        <v>1.032</v>
      </c>
      <c r="D9" s="42">
        <f>Assumptions!E11</f>
        <v>1.065024</v>
      </c>
      <c r="E9" s="42">
        <f>Assumptions!F11</f>
        <v>1.0991047679999999</v>
      </c>
      <c r="F9" s="42">
        <f>Assumptions!G11</f>
        <v>1.1342761205759999</v>
      </c>
      <c r="G9" s="42">
        <f>Assumptions!H11</f>
        <v>1.170572956434432</v>
      </c>
      <c r="H9" s="42">
        <f>Assumptions!I11</f>
        <v>1.2080312910403337</v>
      </c>
      <c r="I9" s="42">
        <f>Assumptions!J11</f>
        <v>1.2466882923536242</v>
      </c>
      <c r="J9" s="42">
        <f>Assumptions!K11</f>
        <v>1.2865823177089404</v>
      </c>
      <c r="K9" s="42">
        <f>Assumptions!L11</f>
        <v>1.3277529518756266</v>
      </c>
      <c r="L9" s="42">
        <f>Assumptions!M11</f>
        <v>1.3702410463356465</v>
      </c>
      <c r="M9" s="42">
        <f>Assumptions!N11</f>
        <v>1.4140887598183871</v>
      </c>
      <c r="N9" s="42">
        <f>Assumptions!O11</f>
        <v>1.4593396001325756</v>
      </c>
      <c r="O9" s="42">
        <f>Assumptions!P11</f>
        <v>1.5060384673368181</v>
      </c>
      <c r="P9" s="42">
        <f>Assumptions!Q11</f>
        <v>1.554231698291596</v>
      </c>
      <c r="Q9" s="42">
        <f>Assumptions!R11</f>
        <v>1.6039671126369268</v>
      </c>
      <c r="R9" s="42">
        <f>Assumptions!S11</f>
        <v>1.6552940602413089</v>
      </c>
      <c r="S9" s="42">
        <f>Assumptions!T11</f>
        <v>1.7082634701690309</v>
      </c>
      <c r="T9" s="42">
        <f>Assumptions!U11</f>
        <v>1.7629279012144397</v>
      </c>
      <c r="U9" s="42">
        <f>Assumptions!V11</f>
        <v>1.8193415940533015</v>
      </c>
      <c r="V9" s="42">
        <f>Assumptions!W11</f>
        <v>1.8775605250630074</v>
      </c>
      <c r="W9" s="42">
        <f>Assumptions!X11</f>
        <v>1.9376424618650239</v>
      </c>
      <c r="X9" s="42">
        <f>Assumptions!Y11</f>
        <v>1.9996470206447043</v>
      </c>
      <c r="Y9" s="42">
        <f>Assumptions!Z11</f>
        <v>2.0636357253053346</v>
      </c>
      <c r="Z9" s="42">
        <f>Assumptions!AA11</f>
        <v>2.1296720685151054</v>
      </c>
      <c r="AA9" s="42">
        <f>Assumptions!AB11</f>
        <v>2.1978215747075893</v>
      </c>
      <c r="AB9" s="42">
        <f>Assumptions!AC11</f>
        <v>2.2681518650982317</v>
      </c>
      <c r="AC9" s="42">
        <f>Assumptions!AD11</f>
        <v>2.340732724781375</v>
      </c>
      <c r="AD9" s="42">
        <f>Assumptions!AE11</f>
        <v>2.4156361719743793</v>
      </c>
      <c r="AE9" s="42">
        <f>Assumptions!AF11</f>
        <v>2.4929365294775594</v>
      </c>
      <c r="AF9" s="42">
        <f>Assumptions!AG11</f>
        <v>2.5727104984208409</v>
      </c>
    </row>
    <row r="11" spans="1:32" x14ac:dyDescent="0.35">
      <c r="A11" t="s">
        <v>70</v>
      </c>
      <c r="C11" s="1">
        <f>C5*C$9</f>
        <v>6631802.3834641976</v>
      </c>
      <c r="D11" s="1">
        <f>D5*D$9</f>
        <v>6844020.0597350514</v>
      </c>
      <c r="E11" s="1">
        <f t="shared" ref="D11:AF13" si="1">E5*E$9</f>
        <v>7063028.7016465729</v>
      </c>
      <c r="F11" s="1">
        <f t="shared" si="1"/>
        <v>7289045.6200992633</v>
      </c>
      <c r="G11" s="1">
        <f t="shared" si="1"/>
        <v>7522295.0799424406</v>
      </c>
      <c r="H11" s="1">
        <f t="shared" si="1"/>
        <v>7763008.5225005979</v>
      </c>
      <c r="I11" s="1">
        <f t="shared" si="1"/>
        <v>8011424.7952206153</v>
      </c>
      <c r="J11" s="1">
        <f t="shared" si="1"/>
        <v>8267790.3886676766</v>
      </c>
      <c r="K11" s="1">
        <f t="shared" si="1"/>
        <v>8532359.6811050437</v>
      </c>
      <c r="L11" s="1">
        <f t="shared" si="1"/>
        <v>8805395.190900404</v>
      </c>
      <c r="M11" s="1">
        <f t="shared" si="1"/>
        <v>9087167.8370092157</v>
      </c>
      <c r="N11" s="1">
        <f t="shared" si="1"/>
        <v>9377957.2077935115</v>
      </c>
      <c r="O11" s="1">
        <f t="shared" si="1"/>
        <v>9678051.8384429049</v>
      </c>
      <c r="P11" s="1">
        <f t="shared" si="1"/>
        <v>9987749.4972730763</v>
      </c>
      <c r="Q11" s="1">
        <f t="shared" si="1"/>
        <v>10307357.481185813</v>
      </c>
      <c r="R11" s="1">
        <f t="shared" si="1"/>
        <v>10637192.92058376</v>
      </c>
      <c r="S11" s="1">
        <f t="shared" si="1"/>
        <v>10977583.094042443</v>
      </c>
      <c r="T11" s="1">
        <f t="shared" si="1"/>
        <v>11328865.753051799</v>
      </c>
      <c r="U11" s="1">
        <f t="shared" si="1"/>
        <v>11691389.457149455</v>
      </c>
      <c r="V11" s="1">
        <f t="shared" si="1"/>
        <v>12065513.919778239</v>
      </c>
      <c r="W11" s="1">
        <f t="shared" si="1"/>
        <v>12451610.365211144</v>
      </c>
      <c r="X11" s="1">
        <f t="shared" si="1"/>
        <v>12850061.896897899</v>
      </c>
      <c r="Y11" s="1">
        <f t="shared" si="1"/>
        <v>13261263.87759863</v>
      </c>
      <c r="Z11" s="1">
        <f t="shared" si="1"/>
        <v>13685624.321681786</v>
      </c>
      <c r="AA11" s="1">
        <f t="shared" si="1"/>
        <v>14123564.299975608</v>
      </c>
      <c r="AB11" s="1">
        <f t="shared" si="1"/>
        <v>14575518.357574824</v>
      </c>
      <c r="AC11" s="1">
        <f t="shared" si="1"/>
        <v>15041934.945017217</v>
      </c>
      <c r="AD11" s="1">
        <f t="shared" si="1"/>
        <v>15523276.863257769</v>
      </c>
      <c r="AE11" s="1">
        <f t="shared" si="1"/>
        <v>16020021.722882017</v>
      </c>
      <c r="AF11" s="1">
        <f t="shared" si="1"/>
        <v>16532662.41801424</v>
      </c>
    </row>
    <row r="12" spans="1:32" x14ac:dyDescent="0.35">
      <c r="A12" t="s">
        <v>71</v>
      </c>
      <c r="C12" s="1">
        <f t="shared" ref="C12:R12" si="2">C6*C$9</f>
        <v>26583424.968832958</v>
      </c>
      <c r="D12" s="1">
        <f t="shared" si="2"/>
        <v>27434094.56783561</v>
      </c>
      <c r="E12" s="1">
        <f t="shared" si="2"/>
        <v>28311985.594006348</v>
      </c>
      <c r="F12" s="1">
        <f t="shared" si="2"/>
        <v>29217969.133014552</v>
      </c>
      <c r="G12" s="1">
        <f t="shared" si="2"/>
        <v>30152944.145271022</v>
      </c>
      <c r="H12" s="1">
        <f t="shared" si="2"/>
        <v>31117838.357919689</v>
      </c>
      <c r="I12" s="1">
        <f t="shared" si="2"/>
        <v>32113609.185373116</v>
      </c>
      <c r="J12" s="1">
        <f t="shared" si="2"/>
        <v>33141244.679305062</v>
      </c>
      <c r="K12" s="1">
        <f t="shared" si="2"/>
        <v>34201764.509042829</v>
      </c>
      <c r="L12" s="1">
        <f t="shared" si="2"/>
        <v>35296220.973332189</v>
      </c>
      <c r="M12" s="1">
        <f t="shared" si="2"/>
        <v>36425700.044478819</v>
      </c>
      <c r="N12" s="1">
        <f t="shared" si="2"/>
        <v>37591322.445902146</v>
      </c>
      <c r="O12" s="1">
        <f t="shared" si="2"/>
        <v>38794244.764171019</v>
      </c>
      <c r="P12" s="1">
        <f t="shared" si="2"/>
        <v>40035660.596624486</v>
      </c>
      <c r="Q12" s="1">
        <f t="shared" si="2"/>
        <v>41316801.735716462</v>
      </c>
      <c r="R12" s="1">
        <f t="shared" si="2"/>
        <v>42638939.391259395</v>
      </c>
      <c r="S12" s="1">
        <f t="shared" si="1"/>
        <v>44003385.451779701</v>
      </c>
      <c r="T12" s="1">
        <f t="shared" si="1"/>
        <v>45411493.786236644</v>
      </c>
      <c r="U12" s="1">
        <f t="shared" si="1"/>
        <v>46864661.587396212</v>
      </c>
      <c r="V12" s="1">
        <f t="shared" si="1"/>
        <v>48364330.758192897</v>
      </c>
      <c r="W12" s="1">
        <f t="shared" si="1"/>
        <v>49911989.342455074</v>
      </c>
      <c r="X12" s="1">
        <f t="shared" si="1"/>
        <v>51509173.001413628</v>
      </c>
      <c r="Y12" s="1">
        <f t="shared" si="1"/>
        <v>53157466.537458859</v>
      </c>
      <c r="Z12" s="1">
        <f t="shared" si="1"/>
        <v>54858505.466657542</v>
      </c>
      <c r="AA12" s="1">
        <f t="shared" si="1"/>
        <v>56613977.641590603</v>
      </c>
      <c r="AB12" s="1">
        <f t="shared" si="1"/>
        <v>58425624.926121488</v>
      </c>
      <c r="AC12" s="1">
        <f t="shared" si="1"/>
        <v>60295244.923757374</v>
      </c>
      <c r="AD12" s="1">
        <f t="shared" si="1"/>
        <v>62224692.761317618</v>
      </c>
      <c r="AE12" s="1">
        <f t="shared" si="1"/>
        <v>64215882.929679781</v>
      </c>
      <c r="AF12" s="1">
        <f t="shared" si="1"/>
        <v>66270791.183429524</v>
      </c>
    </row>
    <row r="13" spans="1:32" x14ac:dyDescent="0.35">
      <c r="A13" t="s">
        <v>74</v>
      </c>
      <c r="C13" s="1">
        <f>C7*C$9</f>
        <v>638002.199251991</v>
      </c>
      <c r="D13" s="1">
        <f t="shared" si="1"/>
        <v>1316836.5392561094</v>
      </c>
      <c r="E13" s="1">
        <f t="shared" si="1"/>
        <v>2038462.9627684574</v>
      </c>
      <c r="F13" s="1">
        <f t="shared" si="1"/>
        <v>2804925.0367693971</v>
      </c>
      <c r="G13" s="1">
        <f t="shared" si="1"/>
        <v>3618353.2974325218</v>
      </c>
      <c r="H13" s="1">
        <f t="shared" si="1"/>
        <v>4480968.7235404346</v>
      </c>
      <c r="I13" s="1">
        <f t="shared" si="1"/>
        <v>5395086.3431426827</v>
      </c>
      <c r="J13" s="1">
        <f t="shared" si="1"/>
        <v>6363118.9784265701</v>
      </c>
      <c r="K13" s="1">
        <f t="shared" si="1"/>
        <v>7387581.1339532491</v>
      </c>
      <c r="L13" s="1">
        <f t="shared" si="1"/>
        <v>8471093.0335997231</v>
      </c>
      <c r="M13" s="1">
        <f t="shared" si="1"/>
        <v>9616384.8117424082</v>
      </c>
      <c r="N13" s="1">
        <f t="shared" si="1"/>
        <v>10826300.864419816</v>
      </c>
      <c r="O13" s="1">
        <f t="shared" si="1"/>
        <v>12103804.366421357</v>
      </c>
      <c r="P13" s="1">
        <f t="shared" si="1"/>
        <v>13451981.960465828</v>
      </c>
      <c r="Q13" s="1">
        <f t="shared" si="1"/>
        <v>14874048.624857927</v>
      </c>
      <c r="R13" s="1">
        <f t="shared" si="1"/>
        <v>16373352.726243611</v>
      </c>
      <c r="S13" s="1">
        <f t="shared" si="1"/>
        <v>17953381.264326118</v>
      </c>
      <c r="T13" s="1">
        <f t="shared" si="1"/>
        <v>19617765.315654233</v>
      </c>
      <c r="U13" s="1">
        <f t="shared" si="1"/>
        <v>21370285.683852676</v>
      </c>
      <c r="V13" s="1">
        <f t="shared" si="1"/>
        <v>23214878.763932601</v>
      </c>
      <c r="W13" s="1">
        <f t="shared" si="1"/>
        <v>25155642.628597364</v>
      </c>
      <c r="X13" s="1">
        <f t="shared" si="1"/>
        <v>27196843.3447464</v>
      </c>
      <c r="Y13" s="1">
        <f t="shared" si="1"/>
        <v>29342921.528677296</v>
      </c>
      <c r="Z13" s="1">
        <f t="shared" si="1"/>
        <v>31598499.148794759</v>
      </c>
      <c r="AA13" s="1">
        <f t="shared" si="1"/>
        <v>33968386.584954366</v>
      </c>
      <c r="AB13" s="1">
        <f t="shared" si="1"/>
        <v>36457589.953899823</v>
      </c>
      <c r="AC13" s="1">
        <f t="shared" si="1"/>
        <v>39071318.710594788</v>
      </c>
      <c r="AD13" s="1">
        <f t="shared" si="1"/>
        <v>41814993.535605453</v>
      </c>
      <c r="AE13" s="1">
        <f t="shared" si="1"/>
        <v>44694254.519057147</v>
      </c>
      <c r="AF13" s="1">
        <f t="shared" si="1"/>
        <v>47714969.652069278</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81</v>
      </c>
      <c r="C15" s="38">
        <f>Assumptions!D44</f>
        <v>1</v>
      </c>
      <c r="D15" s="38">
        <f>Assumptions!E44</f>
        <v>1</v>
      </c>
      <c r="E15" s="38">
        <f>Assumptions!F44</f>
        <v>1</v>
      </c>
      <c r="F15" s="38">
        <f>Assumptions!G44</f>
        <v>1</v>
      </c>
      <c r="G15" s="38">
        <f>Assumptions!H44</f>
        <v>1</v>
      </c>
      <c r="H15" s="38">
        <f>Assumptions!I44</f>
        <v>1</v>
      </c>
      <c r="I15" s="38">
        <f>Assumptions!J44</f>
        <v>1</v>
      </c>
      <c r="J15" s="38">
        <f>Assumptions!K44</f>
        <v>1</v>
      </c>
      <c r="K15" s="38">
        <f>Assumptions!L44</f>
        <v>1</v>
      </c>
      <c r="L15" s="38">
        <f>Assumptions!M44</f>
        <v>1</v>
      </c>
      <c r="M15" s="38">
        <f>Assumptions!N44</f>
        <v>1</v>
      </c>
      <c r="N15" s="38">
        <f>Assumptions!O44</f>
        <v>1</v>
      </c>
      <c r="O15" s="38">
        <f>Assumptions!P44</f>
        <v>1</v>
      </c>
      <c r="P15" s="38">
        <f>Assumptions!Q44</f>
        <v>1</v>
      </c>
      <c r="Q15" s="38">
        <f>Assumptions!R44</f>
        <v>1</v>
      </c>
      <c r="R15" s="38">
        <f>Assumptions!S44</f>
        <v>1</v>
      </c>
      <c r="S15" s="38">
        <f>Assumptions!T44</f>
        <v>1</v>
      </c>
      <c r="T15" s="38">
        <f>Assumptions!U44</f>
        <v>1</v>
      </c>
      <c r="U15" s="38">
        <f>Assumptions!V44</f>
        <v>1</v>
      </c>
      <c r="V15" s="38">
        <f>Assumptions!W44</f>
        <v>1</v>
      </c>
      <c r="W15" s="38">
        <f>Assumptions!X44</f>
        <v>1</v>
      </c>
      <c r="X15" s="38">
        <f>Assumptions!Y44</f>
        <v>1</v>
      </c>
      <c r="Y15" s="38">
        <f>Assumptions!Z44</f>
        <v>1</v>
      </c>
      <c r="Z15" s="38">
        <f>Assumptions!AA44</f>
        <v>1</v>
      </c>
      <c r="AA15" s="38">
        <f>Assumptions!AB44</f>
        <v>1</v>
      </c>
      <c r="AB15" s="38">
        <f>Assumptions!AC44</f>
        <v>1</v>
      </c>
      <c r="AC15" s="38">
        <f>Assumptions!AD44</f>
        <v>1</v>
      </c>
      <c r="AD15" s="38">
        <f>Assumptions!AE44</f>
        <v>1</v>
      </c>
      <c r="AE15" s="38">
        <f>Assumptions!AF44</f>
        <v>1</v>
      </c>
      <c r="AF15" s="38">
        <f>Assumptions!AG44</f>
        <v>1</v>
      </c>
    </row>
    <row r="16" spans="1:32" x14ac:dyDescent="0.35">
      <c r="A16" t="s">
        <v>61</v>
      </c>
      <c r="C16" s="45">
        <f>Assumptions!D45</f>
        <v>1</v>
      </c>
      <c r="D16" s="45">
        <f>Assumptions!E45</f>
        <v>1</v>
      </c>
      <c r="E16" s="45">
        <f>Assumptions!F45</f>
        <v>1</v>
      </c>
      <c r="F16" s="45">
        <f>Assumptions!G45</f>
        <v>1</v>
      </c>
      <c r="G16" s="45">
        <f>Assumptions!H45</f>
        <v>1</v>
      </c>
      <c r="H16" s="45">
        <f>Assumptions!I45</f>
        <v>1</v>
      </c>
      <c r="I16" s="45">
        <f>Assumptions!J45</f>
        <v>1</v>
      </c>
      <c r="J16" s="45">
        <f>Assumptions!K45</f>
        <v>1</v>
      </c>
      <c r="K16" s="45">
        <f>Assumptions!L45</f>
        <v>1</v>
      </c>
      <c r="L16" s="45">
        <f>Assumptions!M45</f>
        <v>1</v>
      </c>
      <c r="M16" s="45">
        <f>Assumptions!N45</f>
        <v>1</v>
      </c>
      <c r="N16" s="45">
        <f>Assumptions!O45</f>
        <v>1</v>
      </c>
      <c r="O16" s="45">
        <f>Assumptions!P45</f>
        <v>1</v>
      </c>
      <c r="P16" s="45">
        <f>Assumptions!Q45</f>
        <v>1</v>
      </c>
      <c r="Q16" s="45">
        <f>Assumptions!R45</f>
        <v>1</v>
      </c>
      <c r="R16" s="45">
        <f>Assumptions!S45</f>
        <v>1</v>
      </c>
      <c r="S16" s="45">
        <f>Assumptions!T45</f>
        <v>1</v>
      </c>
      <c r="T16" s="45">
        <f>Assumptions!U45</f>
        <v>1</v>
      </c>
      <c r="U16" s="45">
        <f>Assumptions!V45</f>
        <v>1</v>
      </c>
      <c r="V16" s="45">
        <f>Assumptions!W45</f>
        <v>1</v>
      </c>
      <c r="W16" s="45">
        <f>Assumptions!X45</f>
        <v>1</v>
      </c>
      <c r="X16" s="45">
        <f>Assumptions!Y45</f>
        <v>1</v>
      </c>
      <c r="Y16" s="45">
        <f>Assumptions!Z45</f>
        <v>1</v>
      </c>
      <c r="Z16" s="45">
        <f>Assumptions!AA45</f>
        <v>1</v>
      </c>
      <c r="AA16" s="45">
        <f>Assumptions!AB45</f>
        <v>1</v>
      </c>
      <c r="AB16" s="45">
        <f>Assumptions!AC45</f>
        <v>1</v>
      </c>
      <c r="AC16" s="45">
        <f>Assumptions!AD45</f>
        <v>1</v>
      </c>
      <c r="AD16" s="45">
        <f>Assumptions!AE45</f>
        <v>1</v>
      </c>
      <c r="AE16" s="45">
        <f>Assumptions!AF45</f>
        <v>1</v>
      </c>
      <c r="AF16" s="45">
        <f>Assumptions!AG45</f>
        <v>1</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78</v>
      </c>
      <c r="C18" s="1">
        <f>(C11*C16)-C11</f>
        <v>0</v>
      </c>
      <c r="D18" s="1">
        <f t="shared" ref="D18:AF18" si="3">(D11*D16)-D11</f>
        <v>0</v>
      </c>
      <c r="E18" s="1">
        <f t="shared" si="3"/>
        <v>0</v>
      </c>
      <c r="F18" s="1">
        <f t="shared" si="3"/>
        <v>0</v>
      </c>
      <c r="G18" s="1">
        <f t="shared" si="3"/>
        <v>0</v>
      </c>
      <c r="H18" s="1">
        <f t="shared" si="3"/>
        <v>0</v>
      </c>
      <c r="I18" s="1">
        <f t="shared" si="3"/>
        <v>0</v>
      </c>
      <c r="J18" s="1">
        <f t="shared" si="3"/>
        <v>0</v>
      </c>
      <c r="K18" s="1">
        <f t="shared" si="3"/>
        <v>0</v>
      </c>
      <c r="L18" s="1">
        <f t="shared" si="3"/>
        <v>0</v>
      </c>
      <c r="M18" s="1">
        <f t="shared" si="3"/>
        <v>0</v>
      </c>
      <c r="N18" s="1">
        <f t="shared" si="3"/>
        <v>0</v>
      </c>
      <c r="O18" s="1">
        <f t="shared" si="3"/>
        <v>0</v>
      </c>
      <c r="P18" s="1">
        <f t="shared" si="3"/>
        <v>0</v>
      </c>
      <c r="Q18" s="1">
        <f t="shared" si="3"/>
        <v>0</v>
      </c>
      <c r="R18" s="1">
        <f t="shared" si="3"/>
        <v>0</v>
      </c>
      <c r="S18" s="1">
        <f t="shared" si="3"/>
        <v>0</v>
      </c>
      <c r="T18" s="1">
        <f t="shared" si="3"/>
        <v>0</v>
      </c>
      <c r="U18" s="1">
        <f t="shared" si="3"/>
        <v>0</v>
      </c>
      <c r="V18" s="1">
        <f t="shared" si="3"/>
        <v>0</v>
      </c>
      <c r="W18" s="1">
        <f t="shared" si="3"/>
        <v>0</v>
      </c>
      <c r="X18" s="1">
        <f t="shared" si="3"/>
        <v>0</v>
      </c>
      <c r="Y18" s="1">
        <f t="shared" si="3"/>
        <v>0</v>
      </c>
      <c r="Z18" s="1">
        <f t="shared" si="3"/>
        <v>0</v>
      </c>
      <c r="AA18" s="1">
        <f t="shared" si="3"/>
        <v>0</v>
      </c>
      <c r="AB18" s="1">
        <f t="shared" si="3"/>
        <v>0</v>
      </c>
      <c r="AC18" s="1">
        <f t="shared" si="3"/>
        <v>0</v>
      </c>
      <c r="AD18" s="1">
        <f t="shared" si="3"/>
        <v>0</v>
      </c>
      <c r="AE18" s="1">
        <f t="shared" si="3"/>
        <v>0</v>
      </c>
      <c r="AF18" s="1">
        <f t="shared" si="3"/>
        <v>0</v>
      </c>
    </row>
    <row r="20" spans="1:32" x14ac:dyDescent="0.35">
      <c r="A20" t="s">
        <v>75</v>
      </c>
      <c r="C20" s="1">
        <f>(C12*C15)-C12</f>
        <v>0</v>
      </c>
      <c r="D20" s="1">
        <f t="shared" ref="D20:AF20" si="4">(D12*D15)-D12</f>
        <v>0</v>
      </c>
      <c r="E20" s="1">
        <f t="shared" si="4"/>
        <v>0</v>
      </c>
      <c r="F20" s="1">
        <f t="shared" si="4"/>
        <v>0</v>
      </c>
      <c r="G20" s="1">
        <f t="shared" si="4"/>
        <v>0</v>
      </c>
      <c r="H20" s="1">
        <f t="shared" si="4"/>
        <v>0</v>
      </c>
      <c r="I20" s="1">
        <f t="shared" si="4"/>
        <v>0</v>
      </c>
      <c r="J20" s="1">
        <f t="shared" si="4"/>
        <v>0</v>
      </c>
      <c r="K20" s="1">
        <f t="shared" si="4"/>
        <v>0</v>
      </c>
      <c r="L20" s="1">
        <f t="shared" si="4"/>
        <v>0</v>
      </c>
      <c r="M20" s="1">
        <f t="shared" si="4"/>
        <v>0</v>
      </c>
      <c r="N20" s="1">
        <f t="shared" si="4"/>
        <v>0</v>
      </c>
      <c r="O20" s="1">
        <f t="shared" si="4"/>
        <v>0</v>
      </c>
      <c r="P20" s="1">
        <f t="shared" si="4"/>
        <v>0</v>
      </c>
      <c r="Q20" s="1">
        <f t="shared" si="4"/>
        <v>0</v>
      </c>
      <c r="R20" s="1">
        <f t="shared" si="4"/>
        <v>0</v>
      </c>
      <c r="S20" s="1">
        <f t="shared" si="4"/>
        <v>0</v>
      </c>
      <c r="T20" s="1">
        <f t="shared" si="4"/>
        <v>0</v>
      </c>
      <c r="U20" s="1">
        <f t="shared" si="4"/>
        <v>0</v>
      </c>
      <c r="V20" s="1">
        <f t="shared" si="4"/>
        <v>0</v>
      </c>
      <c r="W20" s="1">
        <f t="shared" si="4"/>
        <v>0</v>
      </c>
      <c r="X20" s="1">
        <f t="shared" si="4"/>
        <v>0</v>
      </c>
      <c r="Y20" s="1">
        <f t="shared" si="4"/>
        <v>0</v>
      </c>
      <c r="Z20" s="1">
        <f t="shared" si="4"/>
        <v>0</v>
      </c>
      <c r="AA20" s="1">
        <f t="shared" si="4"/>
        <v>0</v>
      </c>
      <c r="AB20" s="1">
        <f t="shared" si="4"/>
        <v>0</v>
      </c>
      <c r="AC20" s="1">
        <f t="shared" si="4"/>
        <v>0</v>
      </c>
      <c r="AD20" s="1">
        <f t="shared" si="4"/>
        <v>0</v>
      </c>
      <c r="AE20" s="1">
        <f t="shared" si="4"/>
        <v>0</v>
      </c>
      <c r="AF20" s="1">
        <f t="shared" si="4"/>
        <v>0</v>
      </c>
    </row>
    <row r="21" spans="1:32" x14ac:dyDescent="0.35">
      <c r="A21" t="s">
        <v>76</v>
      </c>
      <c r="C21" s="1">
        <f>(C12*C16)-C12</f>
        <v>0</v>
      </c>
      <c r="D21" s="1">
        <f t="shared" ref="D21:AF21" si="5">(D12*D16)-D12</f>
        <v>0</v>
      </c>
      <c r="E21" s="1">
        <f t="shared" si="5"/>
        <v>0</v>
      </c>
      <c r="F21" s="1">
        <f t="shared" si="5"/>
        <v>0</v>
      </c>
      <c r="G21" s="1">
        <f t="shared" si="5"/>
        <v>0</v>
      </c>
      <c r="H21" s="1">
        <f t="shared" si="5"/>
        <v>0</v>
      </c>
      <c r="I21" s="1">
        <f t="shared" si="5"/>
        <v>0</v>
      </c>
      <c r="J21" s="1">
        <f t="shared" si="5"/>
        <v>0</v>
      </c>
      <c r="K21" s="1">
        <f t="shared" si="5"/>
        <v>0</v>
      </c>
      <c r="L21" s="1">
        <f t="shared" si="5"/>
        <v>0</v>
      </c>
      <c r="M21" s="1">
        <f t="shared" si="5"/>
        <v>0</v>
      </c>
      <c r="N21" s="1">
        <f t="shared" si="5"/>
        <v>0</v>
      </c>
      <c r="O21" s="1">
        <f t="shared" si="5"/>
        <v>0</v>
      </c>
      <c r="P21" s="1">
        <f t="shared" si="5"/>
        <v>0</v>
      </c>
      <c r="Q21" s="1">
        <f t="shared" si="5"/>
        <v>0</v>
      </c>
      <c r="R21" s="1">
        <f t="shared" si="5"/>
        <v>0</v>
      </c>
      <c r="S21" s="1">
        <f t="shared" si="5"/>
        <v>0</v>
      </c>
      <c r="T21" s="1">
        <f t="shared" si="5"/>
        <v>0</v>
      </c>
      <c r="U21" s="1">
        <f t="shared" si="5"/>
        <v>0</v>
      </c>
      <c r="V21" s="1">
        <f t="shared" si="5"/>
        <v>0</v>
      </c>
      <c r="W21" s="1">
        <f t="shared" si="5"/>
        <v>0</v>
      </c>
      <c r="X21" s="1">
        <f t="shared" si="5"/>
        <v>0</v>
      </c>
      <c r="Y21" s="1">
        <f t="shared" si="5"/>
        <v>0</v>
      </c>
      <c r="Z21" s="1">
        <f t="shared" si="5"/>
        <v>0</v>
      </c>
      <c r="AA21" s="1">
        <f t="shared" si="5"/>
        <v>0</v>
      </c>
      <c r="AB21" s="1">
        <f t="shared" si="5"/>
        <v>0</v>
      </c>
      <c r="AC21" s="1">
        <f t="shared" si="5"/>
        <v>0</v>
      </c>
      <c r="AD21" s="1">
        <f t="shared" si="5"/>
        <v>0</v>
      </c>
      <c r="AE21" s="1">
        <f t="shared" si="5"/>
        <v>0</v>
      </c>
      <c r="AF21" s="1">
        <f t="shared" si="5"/>
        <v>0</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77</v>
      </c>
      <c r="C23" s="1">
        <f>(C13*C16)-C13</f>
        <v>0</v>
      </c>
      <c r="D23" s="1">
        <f t="shared" ref="D23:AF23" si="6">(D13*D16)-D13</f>
        <v>0</v>
      </c>
      <c r="E23" s="1">
        <f t="shared" si="6"/>
        <v>0</v>
      </c>
      <c r="F23" s="1">
        <f t="shared" si="6"/>
        <v>0</v>
      </c>
      <c r="G23" s="1">
        <f t="shared" si="6"/>
        <v>0</v>
      </c>
      <c r="H23" s="1">
        <f t="shared" si="6"/>
        <v>0</v>
      </c>
      <c r="I23" s="1">
        <f t="shared" si="6"/>
        <v>0</v>
      </c>
      <c r="J23" s="1">
        <f t="shared" si="6"/>
        <v>0</v>
      </c>
      <c r="K23" s="1">
        <f t="shared" si="6"/>
        <v>0</v>
      </c>
      <c r="L23" s="1">
        <f t="shared" si="6"/>
        <v>0</v>
      </c>
      <c r="M23" s="1">
        <f t="shared" si="6"/>
        <v>0</v>
      </c>
      <c r="N23" s="1">
        <f t="shared" si="6"/>
        <v>0</v>
      </c>
      <c r="O23" s="1">
        <f t="shared" si="6"/>
        <v>0</v>
      </c>
      <c r="P23" s="1">
        <f t="shared" si="6"/>
        <v>0</v>
      </c>
      <c r="Q23" s="1">
        <f t="shared" si="6"/>
        <v>0</v>
      </c>
      <c r="R23" s="1">
        <f t="shared" si="6"/>
        <v>0</v>
      </c>
      <c r="S23" s="1">
        <f t="shared" si="6"/>
        <v>0</v>
      </c>
      <c r="T23" s="1">
        <f t="shared" si="6"/>
        <v>0</v>
      </c>
      <c r="U23" s="1">
        <f t="shared" si="6"/>
        <v>0</v>
      </c>
      <c r="V23" s="1">
        <f t="shared" si="6"/>
        <v>0</v>
      </c>
      <c r="W23" s="1">
        <f t="shared" si="6"/>
        <v>0</v>
      </c>
      <c r="X23" s="1">
        <f t="shared" si="6"/>
        <v>0</v>
      </c>
      <c r="Y23" s="1">
        <f t="shared" si="6"/>
        <v>0</v>
      </c>
      <c r="Z23" s="1">
        <f t="shared" si="6"/>
        <v>0</v>
      </c>
      <c r="AA23" s="1">
        <f t="shared" si="6"/>
        <v>0</v>
      </c>
      <c r="AB23" s="1">
        <f t="shared" si="6"/>
        <v>0</v>
      </c>
      <c r="AC23" s="1">
        <f t="shared" si="6"/>
        <v>0</v>
      </c>
      <c r="AD23" s="1">
        <f t="shared" si="6"/>
        <v>0</v>
      </c>
      <c r="AE23" s="1">
        <f t="shared" si="6"/>
        <v>0</v>
      </c>
      <c r="AF23" s="1">
        <f t="shared" si="6"/>
        <v>0</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97</v>
      </c>
      <c r="C25" s="40">
        <f>SUM(C11:C13,C18:C23)</f>
        <v>33853229.551549152</v>
      </c>
      <c r="D25" s="40">
        <f>SUM(D11:D13,D18:D23)</f>
        <v>35594951.16682677</v>
      </c>
      <c r="E25" s="40">
        <f t="shared" ref="E25:AF25" si="7">SUM(E11:E13,E18:E23)</f>
        <v>37413477.258421376</v>
      </c>
      <c r="F25" s="40">
        <f t="shared" si="7"/>
        <v>39311939.789883211</v>
      </c>
      <c r="G25" s="40">
        <f t="shared" si="7"/>
        <v>41293592.52264598</v>
      </c>
      <c r="H25" s="40">
        <f t="shared" si="7"/>
        <v>43361815.603960723</v>
      </c>
      <c r="I25" s="40">
        <f t="shared" si="7"/>
        <v>45520120.323736414</v>
      </c>
      <c r="J25" s="40">
        <f t="shared" si="7"/>
        <v>47772154.046399303</v>
      </c>
      <c r="K25" s="40">
        <f t="shared" si="7"/>
        <v>50121705.324101128</v>
      </c>
      <c r="L25" s="40">
        <f t="shared" si="7"/>
        <v>52572709.197832316</v>
      </c>
      <c r="M25" s="40">
        <f t="shared" si="7"/>
        <v>55129252.693230443</v>
      </c>
      <c r="N25" s="40">
        <f t="shared" si="7"/>
        <v>57795580.518115476</v>
      </c>
      <c r="O25" s="40">
        <f t="shared" si="7"/>
        <v>60576100.969035283</v>
      </c>
      <c r="P25" s="40">
        <f t="shared" si="7"/>
        <v>63475392.054363392</v>
      </c>
      <c r="Q25" s="40">
        <f t="shared" si="7"/>
        <v>66498207.841760196</v>
      </c>
      <c r="R25" s="40">
        <f t="shared" si="7"/>
        <v>69649485.038086772</v>
      </c>
      <c r="S25" s="40">
        <f t="shared" si="7"/>
        <v>72934349.810148269</v>
      </c>
      <c r="T25" s="40">
        <f t="shared" si="7"/>
        <v>76358124.854942679</v>
      </c>
      <c r="U25" s="40">
        <f t="shared" si="7"/>
        <v>79926336.728398338</v>
      </c>
      <c r="V25" s="40">
        <f t="shared" si="7"/>
        <v>83644723.44190374</v>
      </c>
      <c r="W25" s="40">
        <f t="shared" si="7"/>
        <v>87519242.336263582</v>
      </c>
      <c r="X25" s="40">
        <f t="shared" si="7"/>
        <v>91556078.243057922</v>
      </c>
      <c r="Y25" s="40">
        <f t="shared" si="7"/>
        <v>95761651.94373478</v>
      </c>
      <c r="Z25" s="40">
        <f t="shared" si="7"/>
        <v>100142628.93713409</v>
      </c>
      <c r="AA25" s="40">
        <f t="shared" si="7"/>
        <v>104705928.52652058</v>
      </c>
      <c r="AB25" s="40">
        <f t="shared" si="7"/>
        <v>109458733.23759612</v>
      </c>
      <c r="AC25" s="40">
        <f t="shared" si="7"/>
        <v>114408498.57936938</v>
      </c>
      <c r="AD25" s="40">
        <f t="shared" si="7"/>
        <v>119562963.16018084</v>
      </c>
      <c r="AE25" s="40">
        <f t="shared" si="7"/>
        <v>124930159.17161894</v>
      </c>
      <c r="AF25" s="40">
        <f t="shared" si="7"/>
        <v>130518423.25351304</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zoomScaleNormal="100" workbookViewId="0">
      <pane xSplit="1" topLeftCell="B1" activePane="topRight" state="frozen"/>
      <selection sqref="A1:XFD1048576"/>
      <selection pane="topRight" sqref="A1:XFD1048576"/>
    </sheetView>
  </sheetViews>
  <sheetFormatPr defaultColWidth="10.83203125" defaultRowHeight="15.5" x14ac:dyDescent="0.35"/>
  <cols>
    <col min="1" max="1" width="62.83203125" bestFit="1" customWidth="1"/>
    <col min="3" max="32" width="16.25" bestFit="1" customWidth="1"/>
  </cols>
  <sheetData>
    <row r="1" spans="1:32" s="63" customFormat="1" ht="21" x14ac:dyDescent="0.5">
      <c r="A1" s="15" t="s">
        <v>162</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59">
        <f>Assumptions!$C$24*('Price and Financial ratios'!E4+1)*(1+Assumptions!$C$13)</f>
        <v>22814408.414177664</v>
      </c>
      <c r="D5" s="59">
        <f>C5*('Price and Financial ratios'!F4+1)*(1+Assumptions!$C$13)</f>
        <v>30545612.164841585</v>
      </c>
      <c r="E5" s="59">
        <f>D5*('Price and Financial ratios'!G4+1)*(1+Assumptions!$C$13)</f>
        <v>37750816.424147859</v>
      </c>
      <c r="F5" s="59">
        <f>E5*('Price and Financial ratios'!H4+1)*(1+Assumptions!$C$13)</f>
        <v>44711625.381434113</v>
      </c>
      <c r="G5" s="59">
        <f>F5*('Price and Financial ratios'!I4+1)*(1+Assumptions!$C$13)</f>
        <v>50193008.20341222</v>
      </c>
      <c r="H5" s="59">
        <f>G5*('Price and Financial ratios'!J4+1)*(1+Assumptions!$C$13)</f>
        <v>54795558.685903989</v>
      </c>
      <c r="I5" s="59">
        <f>H5*('Price and Financial ratios'!K4+1)*(1+Assumptions!$C$13)</f>
        <v>59820149.442571737</v>
      </c>
      <c r="J5" s="59">
        <f>I5*('Price and Financial ratios'!L4+1)*(1+Assumptions!$C$13)</f>
        <v>64689390.882041022</v>
      </c>
      <c r="K5" s="59">
        <f>J5*('Price and Financial ratios'!M4+1)*(1+Assumptions!$C$13)</f>
        <v>68622503.121915966</v>
      </c>
      <c r="L5" s="59">
        <f>K5*('Price and Financial ratios'!N4+1)*(1+Assumptions!$C$13)</f>
        <v>72794748.420249626</v>
      </c>
      <c r="M5" s="59">
        <f>L5*('Price and Financial ratios'!O4+1)*(1+Assumptions!$C$13)</f>
        <v>77220666.056920186</v>
      </c>
      <c r="N5" s="59">
        <f>M5*('Price and Financial ratios'!P4+1)*(1+Assumptions!$C$13)</f>
        <v>81915679.299409777</v>
      </c>
      <c r="O5" s="59">
        <f>N5*('Price and Financial ratios'!Q4+1)*(1+Assumptions!$C$13)</f>
        <v>86896149.149213582</v>
      </c>
      <c r="P5" s="59">
        <f>O5*('Price and Financial ratios'!R4+1)*(1+Assumptions!$C$13)</f>
        <v>92179431.356028318</v>
      </c>
      <c r="Q5" s="59">
        <f>P5*('Price and Financial ratios'!S4+1)*(1+Assumptions!$C$13)</f>
        <v>97024450.00986965</v>
      </c>
      <c r="R5" s="59">
        <f>Q5*('Price and Financial ratios'!T4+1)*(1+Assumptions!$C$13)</f>
        <v>102124126.40471402</v>
      </c>
      <c r="S5" s="59">
        <f>R5*('Price and Financial ratios'!U4+1)*(1+Assumptions!$C$13)</f>
        <v>107491845.53857404</v>
      </c>
      <c r="T5" s="59">
        <f>S5*('Price and Financial ratios'!V4+1)*(1+Assumptions!$C$13)</f>
        <v>113141695.93479438</v>
      </c>
      <c r="U5" s="59">
        <f>T5*('Price and Financial ratios'!W4+1)*(1+Assumptions!$C$13)</f>
        <v>119088506.61986023</v>
      </c>
      <c r="V5" s="59">
        <f>U5*('Price and Financial ratios'!X4+1)*(1+Assumptions!$C$13)</f>
        <v>125347886.04478654</v>
      </c>
      <c r="W5" s="59">
        <f>V5*('Price and Financial ratios'!Y4+1)*(1+Assumptions!$C$13)</f>
        <v>131936263.0522441</v>
      </c>
      <c r="X5" s="59">
        <f>W5*('Price and Financial ratios'!Z4+1)*(1+Assumptions!$C$13)</f>
        <v>138870929.99694785</v>
      </c>
      <c r="Y5" s="59">
        <f>X5*('Price and Financial ratios'!AA4+1)*(1+Assumptions!$C$13)</f>
        <v>146170088.13248461</v>
      </c>
      <c r="Z5" s="59">
        <f>Y5*('Price and Financial ratios'!AB4+1)*(1+Assumptions!$C$13)</f>
        <v>153852895.38370559</v>
      </c>
      <c r="AA5" s="59">
        <f>Z5*('Price and Financial ratios'!AC4+1)*(1+Assumptions!$C$13)</f>
        <v>161939516.63007113</v>
      </c>
      <c r="AB5" s="59">
        <f>AA5*('Price and Financial ratios'!AD4+1)*(1+Assumptions!$C$13)</f>
        <v>170451176.63192505</v>
      </c>
      <c r="AC5" s="59">
        <f>AB5*('Price and Financial ratios'!AE4+1)*(1+Assumptions!$C$13)</f>
        <v>179410215.73861262</v>
      </c>
      <c r="AD5" s="59">
        <f>AC5*('Price and Financial ratios'!AF4+1)*(1+Assumptions!$C$13)</f>
        <v>188840148.52465847</v>
      </c>
      <c r="AE5" s="59">
        <f>AD5*('Price and Financial ratios'!AG4+1)*(1+Assumptions!$C$13)</f>
        <v>198765725.50790489</v>
      </c>
      <c r="AF5" s="59">
        <f>AE5*('Price and Financial ratios'!AH4+1)*(1+Assumptions!$C$13)</f>
        <v>209212998.11160085</v>
      </c>
    </row>
    <row r="6" spans="1:32" s="11" customFormat="1" x14ac:dyDescent="0.35">
      <c r="A6" s="11" t="s">
        <v>20</v>
      </c>
      <c r="C6" s="59">
        <f>C27</f>
        <v>9886004.8801703006</v>
      </c>
      <c r="D6" s="59">
        <f t="shared" ref="D6:AF6" si="1">D27</f>
        <v>11188634.516572306</v>
      </c>
      <c r="E6" s="59">
        <f>E27</f>
        <v>12552290.531974845</v>
      </c>
      <c r="F6" s="59">
        <f t="shared" si="1"/>
        <v>13979474.14410471</v>
      </c>
      <c r="G6" s="59">
        <f t="shared" si="1"/>
        <v>15472790.557435401</v>
      </c>
      <c r="H6" s="59">
        <f t="shared" si="1"/>
        <v>17034953.561611589</v>
      </c>
      <c r="I6" s="59">
        <f t="shared" si="1"/>
        <v>18668790.346713431</v>
      </c>
      <c r="J6" s="59">
        <f t="shared" si="1"/>
        <v>20377246.546084031</v>
      </c>
      <c r="K6" s="59">
        <f t="shared" si="1"/>
        <v>22163391.517989352</v>
      </c>
      <c r="L6" s="59">
        <f t="shared" si="1"/>
        <v>24030423.877954051</v>
      </c>
      <c r="M6" s="59">
        <f t="shared" si="1"/>
        <v>25981677.294220868</v>
      </c>
      <c r="N6" s="59">
        <f t="shared" si="1"/>
        <v>28020626.559416175</v>
      </c>
      <c r="O6" s="59">
        <f t="shared" si="1"/>
        <v>30150893.952172697</v>
      </c>
      <c r="P6" s="59">
        <f t="shared" si="1"/>
        <v>32376255.903163061</v>
      </c>
      <c r="Q6" s="59">
        <f t="shared" si="1"/>
        <v>34700649.980736993</v>
      </c>
      <c r="R6" s="59">
        <f t="shared" si="1"/>
        <v>37128182.212132618</v>
      </c>
      <c r="S6" s="59">
        <f t="shared" si="1"/>
        <v>39663134.757050209</v>
      </c>
      <c r="T6" s="59">
        <f t="shared" si="1"/>
        <v>42309973.951236717</v>
      </c>
      <c r="U6" s="59">
        <f t="shared" si="1"/>
        <v>45073358.738635086</v>
      </c>
      <c r="V6" s="59">
        <f t="shared" si="1"/>
        <v>47958149.511603281</v>
      </c>
      <c r="W6" s="59">
        <f t="shared" si="1"/>
        <v>50969417.379710518</v>
      </c>
      <c r="X6" s="59">
        <f t="shared" si="1"/>
        <v>54112453.888670564</v>
      </c>
      <c r="Y6" s="59">
        <f t="shared" si="1"/>
        <v>57392781.212080978</v>
      </c>
      <c r="Z6" s="59">
        <f t="shared" si="1"/>
        <v>60816162.839802384</v>
      </c>
      <c r="AA6" s="59">
        <f t="shared" si="1"/>
        <v>64388614.788038626</v>
      </c>
      <c r="AB6" s="59">
        <f t="shared" si="1"/>
        <v>68116417.357468829</v>
      </c>
      <c r="AC6" s="59">
        <f t="shared" si="1"/>
        <v>72006127.467139333</v>
      </c>
      <c r="AD6" s="59">
        <f t="shared" si="1"/>
        <v>76064591.593252525</v>
      </c>
      <c r="AE6" s="59">
        <f t="shared" si="1"/>
        <v>80298959.343490124</v>
      </c>
      <c r="AF6" s="59">
        <f t="shared" si="1"/>
        <v>84716697.699091166</v>
      </c>
    </row>
    <row r="7" spans="1:32" x14ac:dyDescent="0.35">
      <c r="A7" t="s">
        <v>21</v>
      </c>
      <c r="C7" s="4">
        <f>Depreciation!C8+Depreciation!C9</f>
        <v>7269804.5827161884</v>
      </c>
      <c r="D7" s="4">
        <f>Depreciation!D8+Depreciation!D9</f>
        <v>8160856.5989911612</v>
      </c>
      <c r="E7" s="4">
        <f>Depreciation!E8+Depreciation!E9</f>
        <v>9101491.6644150298</v>
      </c>
      <c r="F7" s="4">
        <f>Depreciation!F8+Depreciation!F9</f>
        <v>10093970.656868661</v>
      </c>
      <c r="G7" s="4">
        <f>Depreciation!G8+Depreciation!G9</f>
        <v>11140648.377374962</v>
      </c>
      <c r="H7" s="4">
        <f>Depreciation!H8+Depreciation!H9</f>
        <v>12243977.246041033</v>
      </c>
      <c r="I7" s="4">
        <f>Depreciation!I8+Depreciation!I9</f>
        <v>13406511.138363298</v>
      </c>
      <c r="J7" s="4">
        <f>Depreciation!J8+Depreciation!J9</f>
        <v>14630909.367094247</v>
      </c>
      <c r="K7" s="4">
        <f>Depreciation!K8+Depreciation!K9</f>
        <v>15919940.815058293</v>
      </c>
      <c r="L7" s="4">
        <f>Depreciation!L8+Depreciation!L9</f>
        <v>17276488.224500127</v>
      </c>
      <c r="M7" s="4">
        <f>Depreciation!M8+Depreciation!M9</f>
        <v>18703552.648751624</v>
      </c>
      <c r="N7" s="4">
        <f>Depreciation!N8+Depreciation!N9</f>
        <v>20204258.072213329</v>
      </c>
      <c r="O7" s="4">
        <f>Depreciation!O8+Depreciation!O9</f>
        <v>21781856.204864264</v>
      </c>
      <c r="P7" s="4">
        <f>Depreciation!P8+Depreciation!P9</f>
        <v>23439731.457738906</v>
      </c>
      <c r="Q7" s="4">
        <f>Depreciation!Q8+Depreciation!Q9</f>
        <v>25181406.106043741</v>
      </c>
      <c r="R7" s="4">
        <f>Depreciation!R8+Depreciation!R9</f>
        <v>27010545.64682737</v>
      </c>
      <c r="S7" s="4">
        <f>Depreciation!S8+Depreciation!S9</f>
        <v>28930964.358368561</v>
      </c>
      <c r="T7" s="4">
        <f>Depreciation!T8+Depreciation!T9</f>
        <v>30946631.068706032</v>
      </c>
      <c r="U7" s="4">
        <f>Depreciation!U8+Depreciation!U9</f>
        <v>33061675.141002133</v>
      </c>
      <c r="V7" s="4">
        <f>Depreciation!V8+Depreciation!V9</f>
        <v>35280392.683710843</v>
      </c>
      <c r="W7" s="4">
        <f>Depreciation!W8+Depreciation!W9</f>
        <v>37607252.993808508</v>
      </c>
      <c r="X7" s="4">
        <f>Depreciation!X8+Depreciation!X9</f>
        <v>40046905.241644301</v>
      </c>
      <c r="Y7" s="4">
        <f>Depreciation!Y8+Depreciation!Y9</f>
        <v>42604185.406275928</v>
      </c>
      <c r="Z7" s="4">
        <f>Depreciation!Z8+Depreciation!Z9</f>
        <v>45284123.470476545</v>
      </c>
      <c r="AA7" s="4">
        <f>Depreciation!AA8+Depreciation!AA9</f>
        <v>48091950.88492997</v>
      </c>
      <c r="AB7" s="4">
        <f>Depreciation!AB8+Depreciation!AB9</f>
        <v>51033108.311474651</v>
      </c>
      <c r="AC7" s="4">
        <f>Depreciation!AC8+Depreciation!AC9</f>
        <v>54113253.655612007</v>
      </c>
      <c r="AD7" s="4">
        <f>Depreciation!AD8+Depreciation!AD9</f>
        <v>57338270.398863226</v>
      </c>
      <c r="AE7" s="4">
        <f>Depreciation!AE8+Depreciation!AE9</f>
        <v>60714276.241939165</v>
      </c>
      <c r="AF7" s="4">
        <f>Depreciation!AF8+Depreciation!AF9</f>
        <v>64247632.070083514</v>
      </c>
    </row>
    <row r="8" spans="1:32" x14ac:dyDescent="0.35">
      <c r="A8" t="s">
        <v>6</v>
      </c>
      <c r="C8" s="4">
        <f ca="1">'Debt worksheet'!C8</f>
        <v>2599423.7415688732</v>
      </c>
      <c r="D8" s="4">
        <f ca="1">'Debt worksheet'!D8</f>
        <v>3282645.4038532493</v>
      </c>
      <c r="E8" s="4">
        <f ca="1">'Debt worksheet'!E8</f>
        <v>3844734.40587766</v>
      </c>
      <c r="F8" s="4">
        <f ca="1">'Debt worksheet'!F8</f>
        <v>4295364.7722456409</v>
      </c>
      <c r="G8" s="4">
        <f ca="1">'Debt worksheet'!G8</f>
        <v>4689567.7646933282</v>
      </c>
      <c r="H8" s="4">
        <f ca="1">'Debt worksheet'!H8</f>
        <v>5062808.4264059262</v>
      </c>
      <c r="I8" s="4">
        <f ca="1">'Debt worksheet'!I8</f>
        <v>5404886.0822607884</v>
      </c>
      <c r="J8" s="4">
        <f ca="1">'Debt worksheet'!J8</f>
        <v>5726410.8001308488</v>
      </c>
      <c r="K8" s="4">
        <f ca="1">'Debt worksheet'!K8</f>
        <v>6066944.6428362243</v>
      </c>
      <c r="L8" s="4">
        <f ca="1">'Debt worksheet'!L8</f>
        <v>6425117.2080621859</v>
      </c>
      <c r="M8" s="4">
        <f ca="1">'Debt worksheet'!M8</f>
        <v>6799250.2027261928</v>
      </c>
      <c r="N8" s="4">
        <f ca="1">'Debt worksheet'!N8</f>
        <v>7187325.0517724957</v>
      </c>
      <c r="O8" s="4">
        <f ca="1">'Debt worksheet'!O8</f>
        <v>7586947.8277640408</v>
      </c>
      <c r="P8" s="4">
        <f ca="1">'Debt worksheet'!P8</f>
        <v>7995311.3044730322</v>
      </c>
      <c r="Q8" s="4">
        <f ca="1">'Debt worksheet'!Q8</f>
        <v>8436700.0807409286</v>
      </c>
      <c r="R8" s="4">
        <f ca="1">'Debt worksheet'!R8</f>
        <v>8911475.6583768055</v>
      </c>
      <c r="S8" s="4">
        <f ca="1">'Debt worksheet'!S8</f>
        <v>9419868.4190452434</v>
      </c>
      <c r="T8" s="4">
        <f ca="1">'Debt worksheet'!T8</f>
        <v>9961961.1601489335</v>
      </c>
      <c r="U8" s="4">
        <f ca="1">'Debt worksheet'!U8</f>
        <v>10537671.264041444</v>
      </c>
      <c r="V8" s="4">
        <f ca="1">'Debt worksheet'!V8</f>
        <v>11146731.405022448</v>
      </c>
      <c r="W8" s="4">
        <f ca="1">'Debt worksheet'!W8</f>
        <v>11788668.692490155</v>
      </c>
      <c r="X8" s="4">
        <f ca="1">'Debt worksheet'!X8</f>
        <v>12462782.142183913</v>
      </c>
      <c r="Y8" s="4">
        <f ca="1">'Debt worksheet'!Y8</f>
        <v>13168118.360622285</v>
      </c>
      <c r="Z8" s="4">
        <f ca="1">'Debt worksheet'!Z8</f>
        <v>13903445.320606597</v>
      </c>
      <c r="AA8" s="4">
        <f ca="1">'Debt worksheet'!AA8</f>
        <v>14667224.097993452</v>
      </c>
      <c r="AB8" s="4">
        <f ca="1">'Debt worksheet'!AB8</f>
        <v>15457578.431816941</v>
      </c>
      <c r="AC8" s="4">
        <f ca="1">'Debt worksheet'!AC8</f>
        <v>16272261.961236585</v>
      </c>
      <c r="AD8" s="4">
        <f ca="1">'Debt worksheet'!AD8</f>
        <v>17108622.983672231</v>
      </c>
      <c r="AE8" s="4">
        <f ca="1">'Debt worksheet'!AE8</f>
        <v>17963566.568833556</v>
      </c>
      <c r="AF8" s="4">
        <f ca="1">'Debt worksheet'!AF8</f>
        <v>18833513.853128158</v>
      </c>
    </row>
    <row r="9" spans="1:32" x14ac:dyDescent="0.35">
      <c r="A9" t="s">
        <v>22</v>
      </c>
      <c r="C9" s="4">
        <f ca="1">C5-C6-C7-C8</f>
        <v>3059175.2097223015</v>
      </c>
      <c r="D9" s="4">
        <f t="shared" ref="D9:AF9" ca="1" si="2">D5-D6-D7-D8</f>
        <v>7913475.6454248708</v>
      </c>
      <c r="E9" s="4">
        <f t="shared" ca="1" si="2"/>
        <v>12252299.821880326</v>
      </c>
      <c r="F9" s="4">
        <f t="shared" ca="1" si="2"/>
        <v>16342815.8082151</v>
      </c>
      <c r="G9" s="4">
        <f t="shared" ca="1" si="2"/>
        <v>18890001.50390853</v>
      </c>
      <c r="H9" s="4">
        <f t="shared" ca="1" si="2"/>
        <v>20453819.451845445</v>
      </c>
      <c r="I9" s="4">
        <f t="shared" ca="1" si="2"/>
        <v>22339961.87523422</v>
      </c>
      <c r="J9" s="4">
        <f t="shared" ca="1" si="2"/>
        <v>23954824.168731894</v>
      </c>
      <c r="K9" s="4">
        <f t="shared" ca="1" si="2"/>
        <v>24472226.146032099</v>
      </c>
      <c r="L9" s="4">
        <f t="shared" ca="1" si="2"/>
        <v>25062719.109733261</v>
      </c>
      <c r="M9" s="4">
        <f t="shared" ca="1" si="2"/>
        <v>25736185.911221504</v>
      </c>
      <c r="N9" s="4">
        <f t="shared" ca="1" si="2"/>
        <v>26503469.616007775</v>
      </c>
      <c r="O9" s="4">
        <f t="shared" ca="1" si="2"/>
        <v>27376451.16441258</v>
      </c>
      <c r="P9" s="4">
        <f t="shared" ca="1" si="2"/>
        <v>28368132.69065332</v>
      </c>
      <c r="Q9" s="4">
        <f t="shared" ca="1" si="2"/>
        <v>28705693.842347987</v>
      </c>
      <c r="R9" s="4">
        <f t="shared" ca="1" si="2"/>
        <v>29073922.887377225</v>
      </c>
      <c r="S9" s="4">
        <f t="shared" ca="1" si="2"/>
        <v>29477878.00411002</v>
      </c>
      <c r="T9" s="4">
        <f t="shared" ca="1" si="2"/>
        <v>29923129.754702702</v>
      </c>
      <c r="U9" s="4">
        <f t="shared" ca="1" si="2"/>
        <v>30415801.476181559</v>
      </c>
      <c r="V9" s="4">
        <f t="shared" ca="1" si="2"/>
        <v>30962612.444449969</v>
      </c>
      <c r="W9" s="4">
        <f t="shared" ca="1" si="2"/>
        <v>31570923.986234911</v>
      </c>
      <c r="X9" s="4">
        <f t="shared" ca="1" si="2"/>
        <v>32248788.724449076</v>
      </c>
      <c r="Y9" s="4">
        <f t="shared" ca="1" si="2"/>
        <v>33005003.153505415</v>
      </c>
      <c r="Z9" s="4">
        <f t="shared" ca="1" si="2"/>
        <v>33849163.75282006</v>
      </c>
      <c r="AA9" s="4">
        <f t="shared" ca="1" si="2"/>
        <v>34791726.859109089</v>
      </c>
      <c r="AB9" s="4">
        <f t="shared" ca="1" si="2"/>
        <v>35844072.531164624</v>
      </c>
      <c r="AC9" s="4">
        <f t="shared" ca="1" si="2"/>
        <v>37018572.654624701</v>
      </c>
      <c r="AD9" s="4">
        <f t="shared" ca="1" si="2"/>
        <v>38328663.548870489</v>
      </c>
      <c r="AE9" s="4">
        <f t="shared" ca="1" si="2"/>
        <v>39788923.353642046</v>
      </c>
      <c r="AF9" s="4">
        <f t="shared" ca="1" si="2"/>
        <v>41415154.489298008</v>
      </c>
    </row>
    <row r="12" spans="1:32" x14ac:dyDescent="0.35">
      <c r="A12" t="s">
        <v>79</v>
      </c>
      <c r="C12" s="2">
        <f>Assumptions!$C$25*Assumptions!D9*Assumptions!D13</f>
        <v>9096229.8709218334</v>
      </c>
      <c r="D12" s="2">
        <f>Assumptions!$C$25*Assumptions!E9*Assumptions!E13</f>
        <v>9574334.397668438</v>
      </c>
      <c r="E12" s="2">
        <f>Assumptions!$C$25*Assumptions!F9*Assumptions!F13</f>
        <v>10077568.449695215</v>
      </c>
      <c r="F12" s="2">
        <f>Assumptions!$C$25*Assumptions!G9*Assumptions!G13</f>
        <v>10607252.853318335</v>
      </c>
      <c r="G12" s="2">
        <f>Assumptions!$C$25*Assumptions!H9*Assumptions!H13</f>
        <v>11164777.858455809</v>
      </c>
      <c r="H12" s="2">
        <f>Assumptions!$C$25*Assumptions!I9*Assumptions!I13</f>
        <v>11751606.787583016</v>
      </c>
      <c r="I12" s="2">
        <f>Assumptions!$C$25*Assumptions!J9*Assumptions!J13</f>
        <v>12369279.876480028</v>
      </c>
      <c r="J12" s="2">
        <f>Assumptions!$C$25*Assumptions!K9*Assumptions!K13</f>
        <v>13019418.31685142</v>
      </c>
      <c r="K12" s="2">
        <f>Assumptions!$C$25*Assumptions!L9*Assumptions!L13</f>
        <v>13703728.511429153</v>
      </c>
      <c r="L12" s="2">
        <f>Assumptions!$C$25*Assumptions!M9*Assumptions!M13</f>
        <v>14424006.552726807</v>
      </c>
      <c r="M12" s="2">
        <f>Assumptions!$C$25*Assumptions!N9*Assumptions!N13</f>
        <v>15182142.937200399</v>
      </c>
      <c r="N12" s="2">
        <f>Assumptions!$C$25*Assumptions!O9*Assumptions!O13</f>
        <v>15980127.527188987</v>
      </c>
      <c r="O12" s="2">
        <f>Assumptions!$C$25*Assumptions!P9*Assumptions!P13</f>
        <v>16820054.773658495</v>
      </c>
      <c r="P12" s="2">
        <f>Assumptions!$C$25*Assumptions!Q9*Assumptions!Q13</f>
        <v>17704129.213456813</v>
      </c>
      <c r="Q12" s="2">
        <f>Assumptions!$C$25*Assumptions!R9*Assumptions!R13</f>
        <v>18634671.25550865</v>
      </c>
      <c r="R12" s="2">
        <f>Assumptions!$C$25*Assumptions!S9*Assumptions!S13</f>
        <v>19614123.271137033</v>
      </c>
      <c r="S12" s="2">
        <f>Assumptions!$C$25*Assumptions!T9*Assumptions!T13</f>
        <v>20645056.004496619</v>
      </c>
      <c r="T12" s="2">
        <f>Assumptions!$C$25*Assumptions!U9*Assumptions!U13</f>
        <v>21730175.319944024</v>
      </c>
      <c r="U12" s="2">
        <f>Assumptions!$C$25*Assumptions!V9*Assumptions!V13</f>
        <v>22872329.304054998</v>
      </c>
      <c r="V12" s="2">
        <f>Assumptions!$C$25*Assumptions!W9*Assumptions!W13</f>
        <v>24074515.740928706</v>
      </c>
      <c r="W12" s="2">
        <f>Assumptions!$C$25*Assumptions!X9*Assumptions!X13</f>
        <v>25339889.980399627</v>
      </c>
      <c r="X12" s="2">
        <f>Assumptions!$C$25*Assumptions!Y9*Assumptions!Y13</f>
        <v>26671773.21980837</v>
      </c>
      <c r="Y12" s="2">
        <f>Assumptions!$C$25*Assumptions!Z9*Assumptions!Z13</f>
        <v>28073661.221068494</v>
      </c>
      <c r="Z12" s="2">
        <f>Assumptions!$C$25*Assumptions!AA9*Assumptions!AA13</f>
        <v>29549233.485908721</v>
      </c>
      <c r="AA12" s="2">
        <f>Assumptions!$C$25*Assumptions!AB9*Assumptions!AB13</f>
        <v>31102362.913372666</v>
      </c>
      <c r="AB12" s="2">
        <f>Assumptions!$C$25*Assumptions!AC9*Assumptions!AC13</f>
        <v>32737125.964923855</v>
      </c>
      <c r="AC12" s="2">
        <f>Assumptions!$C$25*Assumptions!AD9*Assumptions!AD13</f>
        <v>34457813.363836043</v>
      </c>
      <c r="AD12" s="2">
        <f>Assumptions!$C$25*Assumptions!AE9*Assumptions!AE13</f>
        <v>36268941.356951512</v>
      </c>
      <c r="AE12" s="2">
        <f>Assumptions!$C$25*Assumptions!AF9*Assumptions!AF13</f>
        <v>38175263.568365499</v>
      </c>
      <c r="AF12" s="2">
        <f>Assumptions!$C$25*Assumptions!AG9*Assumptions!AG13</f>
        <v>40181783.476149075</v>
      </c>
    </row>
    <row r="13" spans="1:32" x14ac:dyDescent="0.3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x14ac:dyDescent="0.35">
      <c r="A14" t="s">
        <v>80</v>
      </c>
      <c r="C14" s="5">
        <f>Assumptions!D122*Assumptions!D9</f>
        <v>789775.00924846751</v>
      </c>
      <c r="D14" s="5">
        <f>Assumptions!E122*Assumptions!E9</f>
        <v>1614300.1189038674</v>
      </c>
      <c r="E14" s="5">
        <f>Assumptions!F122*Assumptions!F9</f>
        <v>2474722.0822796291</v>
      </c>
      <c r="F14" s="5">
        <f>Assumptions!G122*Assumptions!G9</f>
        <v>3372221.2907863744</v>
      </c>
      <c r="G14" s="5">
        <f>Assumptions!H122*Assumptions!H9</f>
        <v>4308012.6989795929</v>
      </c>
      <c r="H14" s="5">
        <f>Assumptions!I122*Assumptions!I9</f>
        <v>5283346.7740285723</v>
      </c>
      <c r="I14" s="5">
        <f>Assumptions!J122*Assumptions!J9</f>
        <v>6299510.4702334013</v>
      </c>
      <c r="J14" s="5">
        <f>Assumptions!K122*Assumptions!K9</f>
        <v>7357828.229232613</v>
      </c>
      <c r="K14" s="5">
        <f>Assumptions!L122*Assumptions!L9</f>
        <v>8459663.0065601971</v>
      </c>
      <c r="L14" s="5">
        <f>Assumptions!M122*Assumptions!M9</f>
        <v>9606417.3252272457</v>
      </c>
      <c r="M14" s="5">
        <f>Assumptions!N122*Assumptions!N9</f>
        <v>10799534.357020469</v>
      </c>
      <c r="N14" s="5">
        <f>Assumptions!O122*Assumptions!O9</f>
        <v>12040499.032227186</v>
      </c>
      <c r="O14" s="5">
        <f>Assumptions!P122*Assumptions!P9</f>
        <v>13330839.178514203</v>
      </c>
      <c r="P14" s="5">
        <f>Assumptions!Q122*Assumptions!Q9</f>
        <v>14672126.689706247</v>
      </c>
      <c r="Q14" s="5">
        <f>Assumptions!R122*Assumptions!R9</f>
        <v>16065978.725228341</v>
      </c>
      <c r="R14" s="5">
        <f>Assumptions!S122*Assumptions!S9</f>
        <v>17514058.940995589</v>
      </c>
      <c r="S14" s="5">
        <f>Assumptions!T122*Assumptions!T9</f>
        <v>19018078.75255359</v>
      </c>
      <c r="T14" s="5">
        <f>Assumptions!U122*Assumptions!U9</f>
        <v>20579798.631292693</v>
      </c>
      <c r="U14" s="5">
        <f>Assumptions!V122*Assumptions!V9</f>
        <v>22201029.434580088</v>
      </c>
      <c r="V14" s="5">
        <f>Assumptions!W122*Assumptions!W9</f>
        <v>23883633.770674579</v>
      </c>
      <c r="W14" s="5">
        <f>Assumptions!X122*Assumptions!X9</f>
        <v>25629527.399310891</v>
      </c>
      <c r="X14" s="5">
        <f>Assumptions!Y122*Assumptions!Y9</f>
        <v>27440680.66886219</v>
      </c>
      <c r="Y14" s="5">
        <f>Assumptions!Z122*Assumptions!Z9</f>
        <v>29319119.991012484</v>
      </c>
      <c r="Z14" s="5">
        <f>Assumptions!AA122*Assumptions!AA9</f>
        <v>31266929.353893667</v>
      </c>
      <c r="AA14" s="5">
        <f>Assumptions!AB122*Assumptions!AB9</f>
        <v>33286251.874665964</v>
      </c>
      <c r="AB14" s="5">
        <f>Assumptions!AC122*Assumptions!AC9</f>
        <v>35379291.39254497</v>
      </c>
      <c r="AC14" s="5">
        <f>Assumptions!AD122*Assumptions!AD9</f>
        <v>37548314.103303298</v>
      </c>
      <c r="AD14" s="5">
        <f>Assumptions!AE122*Assumptions!AE9</f>
        <v>39795650.236301012</v>
      </c>
      <c r="AE14" s="5">
        <f>Assumptions!AF122*Assumptions!AF9</f>
        <v>42123695.775124617</v>
      </c>
      <c r="AF14" s="5">
        <f>Assumptions!AG122*Assumptions!AG9</f>
        <v>44534914.222942092</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193</v>
      </c>
      <c r="C16" s="37">
        <f>Assumptions!D43</f>
        <v>1</v>
      </c>
      <c r="D16" s="37">
        <f>Assumptions!E43</f>
        <v>1</v>
      </c>
      <c r="E16" s="37">
        <f>Assumptions!F43</f>
        <v>1</v>
      </c>
      <c r="F16" s="37">
        <f>Assumptions!G43</f>
        <v>1</v>
      </c>
      <c r="G16" s="37">
        <f>Assumptions!H43</f>
        <v>1</v>
      </c>
      <c r="H16" s="37">
        <f>Assumptions!I43</f>
        <v>1</v>
      </c>
      <c r="I16" s="37">
        <f>Assumptions!J43</f>
        <v>1</v>
      </c>
      <c r="J16" s="37">
        <f>Assumptions!K43</f>
        <v>1</v>
      </c>
      <c r="K16" s="37">
        <f>Assumptions!L43</f>
        <v>1</v>
      </c>
      <c r="L16" s="37">
        <f>Assumptions!M43</f>
        <v>1</v>
      </c>
      <c r="M16" s="37">
        <f>Assumptions!N43</f>
        <v>1</v>
      </c>
      <c r="N16" s="37">
        <f>Assumptions!O43</f>
        <v>1</v>
      </c>
      <c r="O16" s="37">
        <f>Assumptions!P43</f>
        <v>1</v>
      </c>
      <c r="P16" s="37">
        <f>Assumptions!Q43</f>
        <v>1</v>
      </c>
      <c r="Q16" s="37">
        <f>Assumptions!R43</f>
        <v>1</v>
      </c>
      <c r="R16" s="37">
        <f>Assumptions!S43</f>
        <v>1</v>
      </c>
      <c r="S16" s="37">
        <f>Assumptions!T43</f>
        <v>1</v>
      </c>
      <c r="T16" s="37">
        <f>Assumptions!U43</f>
        <v>1</v>
      </c>
      <c r="U16" s="37">
        <f>Assumptions!V43</f>
        <v>1</v>
      </c>
      <c r="V16" s="37">
        <f>Assumptions!W43</f>
        <v>1</v>
      </c>
      <c r="W16" s="37">
        <f>Assumptions!X43</f>
        <v>1</v>
      </c>
      <c r="X16" s="37">
        <f>Assumptions!Y43</f>
        <v>1</v>
      </c>
      <c r="Y16" s="37">
        <f>Assumptions!Z43</f>
        <v>1</v>
      </c>
      <c r="Z16" s="37">
        <f>Assumptions!AA43</f>
        <v>1</v>
      </c>
      <c r="AA16" s="37">
        <f>Assumptions!AB43</f>
        <v>1</v>
      </c>
      <c r="AB16" s="37">
        <f>Assumptions!AC43</f>
        <v>1</v>
      </c>
      <c r="AC16" s="37">
        <f>Assumptions!AD43</f>
        <v>1</v>
      </c>
      <c r="AD16" s="37">
        <f>Assumptions!AE43</f>
        <v>1</v>
      </c>
      <c r="AE16" s="37">
        <f>Assumptions!AF43</f>
        <v>1</v>
      </c>
      <c r="AF16" s="37">
        <f>Assumptions!AG43</f>
        <v>1</v>
      </c>
    </row>
    <row r="17" spans="1:32" x14ac:dyDescent="0.35">
      <c r="A17" t="s">
        <v>61</v>
      </c>
      <c r="C17" s="37">
        <f>Assumptions!D45</f>
        <v>1</v>
      </c>
      <c r="D17" s="37">
        <f>Assumptions!E45</f>
        <v>1</v>
      </c>
      <c r="E17" s="37">
        <f>Assumptions!F45</f>
        <v>1</v>
      </c>
      <c r="F17" s="37">
        <f>Assumptions!G45</f>
        <v>1</v>
      </c>
      <c r="G17" s="37">
        <f>Assumptions!H45</f>
        <v>1</v>
      </c>
      <c r="H17" s="37">
        <f>Assumptions!I45</f>
        <v>1</v>
      </c>
      <c r="I17" s="37">
        <f>Assumptions!J45</f>
        <v>1</v>
      </c>
      <c r="J17" s="37">
        <f>Assumptions!K45</f>
        <v>1</v>
      </c>
      <c r="K17" s="37">
        <f>Assumptions!L45</f>
        <v>1</v>
      </c>
      <c r="L17" s="37">
        <f>Assumptions!M45</f>
        <v>1</v>
      </c>
      <c r="M17" s="37">
        <f>Assumptions!N45</f>
        <v>1</v>
      </c>
      <c r="N17" s="37">
        <f>Assumptions!O45</f>
        <v>1</v>
      </c>
      <c r="O17" s="37">
        <f>Assumptions!P45</f>
        <v>1</v>
      </c>
      <c r="P17" s="37">
        <f>Assumptions!Q45</f>
        <v>1</v>
      </c>
      <c r="Q17" s="37">
        <f>Assumptions!R45</f>
        <v>1</v>
      </c>
      <c r="R17" s="37">
        <f>Assumptions!S45</f>
        <v>1</v>
      </c>
      <c r="S17" s="37">
        <f>Assumptions!T45</f>
        <v>1</v>
      </c>
      <c r="T17" s="37">
        <f>Assumptions!U45</f>
        <v>1</v>
      </c>
      <c r="U17" s="37">
        <f>Assumptions!V45</f>
        <v>1</v>
      </c>
      <c r="V17" s="37">
        <f>Assumptions!W45</f>
        <v>1</v>
      </c>
      <c r="W17" s="37">
        <f>Assumptions!X45</f>
        <v>1</v>
      </c>
      <c r="X17" s="37">
        <f>Assumptions!Y45</f>
        <v>1</v>
      </c>
      <c r="Y17" s="37">
        <f>Assumptions!Z45</f>
        <v>1</v>
      </c>
      <c r="Z17" s="37">
        <f>Assumptions!AA45</f>
        <v>1</v>
      </c>
      <c r="AA17" s="37">
        <f>Assumptions!AB45</f>
        <v>1</v>
      </c>
      <c r="AB17" s="37">
        <f>Assumptions!AC45</f>
        <v>1</v>
      </c>
      <c r="AC17" s="37">
        <f>Assumptions!AD45</f>
        <v>1</v>
      </c>
      <c r="AD17" s="37">
        <f>Assumptions!AE45</f>
        <v>1</v>
      </c>
      <c r="AE17" s="37">
        <f>Assumptions!AF45</f>
        <v>1</v>
      </c>
      <c r="AF17" s="37">
        <f>Assumptions!AG45</f>
        <v>1</v>
      </c>
    </row>
    <row r="18" spans="1:32" x14ac:dyDescent="0.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35">
      <c r="A19" t="s">
        <v>82</v>
      </c>
      <c r="C19" s="44">
        <f>(C12*C16)-C12</f>
        <v>0</v>
      </c>
      <c r="D19" s="44">
        <f t="shared" ref="D19:AF19" si="3">(D12*D16)-D12</f>
        <v>0</v>
      </c>
      <c r="E19" s="44">
        <f t="shared" si="3"/>
        <v>0</v>
      </c>
      <c r="F19" s="44">
        <f t="shared" si="3"/>
        <v>0</v>
      </c>
      <c r="G19" s="44">
        <f t="shared" si="3"/>
        <v>0</v>
      </c>
      <c r="H19" s="44">
        <f t="shared" si="3"/>
        <v>0</v>
      </c>
      <c r="I19" s="44">
        <f t="shared" si="3"/>
        <v>0</v>
      </c>
      <c r="J19" s="44">
        <f t="shared" si="3"/>
        <v>0</v>
      </c>
      <c r="K19" s="44">
        <f t="shared" si="3"/>
        <v>0</v>
      </c>
      <c r="L19" s="44">
        <f t="shared" si="3"/>
        <v>0</v>
      </c>
      <c r="M19" s="44">
        <f t="shared" si="3"/>
        <v>0</v>
      </c>
      <c r="N19" s="44">
        <f t="shared" si="3"/>
        <v>0</v>
      </c>
      <c r="O19" s="44">
        <f t="shared" si="3"/>
        <v>0</v>
      </c>
      <c r="P19" s="44">
        <f t="shared" si="3"/>
        <v>0</v>
      </c>
      <c r="Q19" s="44">
        <f t="shared" si="3"/>
        <v>0</v>
      </c>
      <c r="R19" s="44">
        <f t="shared" si="3"/>
        <v>0</v>
      </c>
      <c r="S19" s="44">
        <f t="shared" si="3"/>
        <v>0</v>
      </c>
      <c r="T19" s="44">
        <f t="shared" si="3"/>
        <v>0</v>
      </c>
      <c r="U19" s="44">
        <f t="shared" si="3"/>
        <v>0</v>
      </c>
      <c r="V19" s="44">
        <f t="shared" si="3"/>
        <v>0</v>
      </c>
      <c r="W19" s="44">
        <f t="shared" si="3"/>
        <v>0</v>
      </c>
      <c r="X19" s="44">
        <f t="shared" si="3"/>
        <v>0</v>
      </c>
      <c r="Y19" s="44">
        <f t="shared" si="3"/>
        <v>0</v>
      </c>
      <c r="Z19" s="44">
        <f t="shared" si="3"/>
        <v>0</v>
      </c>
      <c r="AA19" s="44">
        <f t="shared" si="3"/>
        <v>0</v>
      </c>
      <c r="AB19" s="44">
        <f t="shared" si="3"/>
        <v>0</v>
      </c>
      <c r="AC19" s="44">
        <f t="shared" si="3"/>
        <v>0</v>
      </c>
      <c r="AD19" s="44">
        <f t="shared" si="3"/>
        <v>0</v>
      </c>
      <c r="AE19" s="44">
        <f t="shared" si="3"/>
        <v>0</v>
      </c>
      <c r="AF19" s="44">
        <f t="shared" si="3"/>
        <v>0</v>
      </c>
    </row>
    <row r="20" spans="1:32" x14ac:dyDescent="0.35">
      <c r="A20" t="s">
        <v>83</v>
      </c>
      <c r="C20" s="44">
        <f>(C12*C17)-C12</f>
        <v>0</v>
      </c>
      <c r="D20" s="44">
        <f t="shared" ref="D20:AF20" si="4">(D12*D17)-D12</f>
        <v>0</v>
      </c>
      <c r="E20" s="44">
        <f t="shared" si="4"/>
        <v>0</v>
      </c>
      <c r="F20" s="44">
        <f t="shared" si="4"/>
        <v>0</v>
      </c>
      <c r="G20" s="44">
        <f t="shared" si="4"/>
        <v>0</v>
      </c>
      <c r="H20" s="44">
        <f t="shared" si="4"/>
        <v>0</v>
      </c>
      <c r="I20" s="44">
        <f t="shared" si="4"/>
        <v>0</v>
      </c>
      <c r="J20" s="44">
        <f t="shared" si="4"/>
        <v>0</v>
      </c>
      <c r="K20" s="44">
        <f t="shared" si="4"/>
        <v>0</v>
      </c>
      <c r="L20" s="44">
        <f t="shared" si="4"/>
        <v>0</v>
      </c>
      <c r="M20" s="44">
        <f t="shared" si="4"/>
        <v>0</v>
      </c>
      <c r="N20" s="44">
        <f t="shared" si="4"/>
        <v>0</v>
      </c>
      <c r="O20" s="44">
        <f t="shared" si="4"/>
        <v>0</v>
      </c>
      <c r="P20" s="44">
        <f t="shared" si="4"/>
        <v>0</v>
      </c>
      <c r="Q20" s="44">
        <f t="shared" si="4"/>
        <v>0</v>
      </c>
      <c r="R20" s="44">
        <f t="shared" si="4"/>
        <v>0</v>
      </c>
      <c r="S20" s="44">
        <f t="shared" si="4"/>
        <v>0</v>
      </c>
      <c r="T20" s="44">
        <f t="shared" si="4"/>
        <v>0</v>
      </c>
      <c r="U20" s="44">
        <f t="shared" si="4"/>
        <v>0</v>
      </c>
      <c r="V20" s="44">
        <f t="shared" si="4"/>
        <v>0</v>
      </c>
      <c r="W20" s="44">
        <f t="shared" si="4"/>
        <v>0</v>
      </c>
      <c r="X20" s="44">
        <f t="shared" si="4"/>
        <v>0</v>
      </c>
      <c r="Y20" s="44">
        <f t="shared" si="4"/>
        <v>0</v>
      </c>
      <c r="Z20" s="44">
        <f t="shared" si="4"/>
        <v>0</v>
      </c>
      <c r="AA20" s="44">
        <f t="shared" si="4"/>
        <v>0</v>
      </c>
      <c r="AB20" s="44">
        <f t="shared" si="4"/>
        <v>0</v>
      </c>
      <c r="AC20" s="44">
        <f t="shared" si="4"/>
        <v>0</v>
      </c>
      <c r="AD20" s="44">
        <f t="shared" si="4"/>
        <v>0</v>
      </c>
      <c r="AE20" s="44">
        <f t="shared" si="4"/>
        <v>0</v>
      </c>
      <c r="AF20" s="44">
        <f t="shared" si="4"/>
        <v>0</v>
      </c>
    </row>
    <row r="21" spans="1:32" x14ac:dyDescent="0.3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1:32" x14ac:dyDescent="0.35">
      <c r="A22" t="s">
        <v>93</v>
      </c>
      <c r="C22" s="44">
        <f>(C13*C17)-C13</f>
        <v>0</v>
      </c>
      <c r="D22" s="44">
        <f t="shared" ref="D22:AF22" si="5">(D13*D17)-D13</f>
        <v>0</v>
      </c>
      <c r="E22" s="44">
        <f t="shared" si="5"/>
        <v>0</v>
      </c>
      <c r="F22" s="44">
        <f t="shared" si="5"/>
        <v>0</v>
      </c>
      <c r="G22" s="44">
        <f t="shared" si="5"/>
        <v>0</v>
      </c>
      <c r="H22" s="44">
        <f t="shared" si="5"/>
        <v>0</v>
      </c>
      <c r="I22" s="44">
        <f t="shared" si="5"/>
        <v>0</v>
      </c>
      <c r="J22" s="44">
        <f t="shared" si="5"/>
        <v>0</v>
      </c>
      <c r="K22" s="44">
        <f t="shared" si="5"/>
        <v>0</v>
      </c>
      <c r="L22" s="44">
        <f t="shared" si="5"/>
        <v>0</v>
      </c>
      <c r="M22" s="44">
        <f t="shared" si="5"/>
        <v>0</v>
      </c>
      <c r="N22" s="44">
        <f t="shared" si="5"/>
        <v>0</v>
      </c>
      <c r="O22" s="44">
        <f t="shared" si="5"/>
        <v>0</v>
      </c>
      <c r="P22" s="44">
        <f t="shared" si="5"/>
        <v>0</v>
      </c>
      <c r="Q22" s="44">
        <f t="shared" si="5"/>
        <v>0</v>
      </c>
      <c r="R22" s="44">
        <f t="shared" si="5"/>
        <v>0</v>
      </c>
      <c r="S22" s="44">
        <f t="shared" si="5"/>
        <v>0</v>
      </c>
      <c r="T22" s="44">
        <f t="shared" si="5"/>
        <v>0</v>
      </c>
      <c r="U22" s="44">
        <f t="shared" si="5"/>
        <v>0</v>
      </c>
      <c r="V22" s="44">
        <f t="shared" si="5"/>
        <v>0</v>
      </c>
      <c r="W22" s="44">
        <f t="shared" si="5"/>
        <v>0</v>
      </c>
      <c r="X22" s="44">
        <f t="shared" si="5"/>
        <v>0</v>
      </c>
      <c r="Y22" s="44">
        <f t="shared" si="5"/>
        <v>0</v>
      </c>
      <c r="Z22" s="44">
        <f t="shared" si="5"/>
        <v>0</v>
      </c>
      <c r="AA22" s="44">
        <f t="shared" si="5"/>
        <v>0</v>
      </c>
      <c r="AB22" s="44">
        <f t="shared" si="5"/>
        <v>0</v>
      </c>
      <c r="AC22" s="44">
        <f t="shared" si="5"/>
        <v>0</v>
      </c>
      <c r="AD22" s="44">
        <f t="shared" si="5"/>
        <v>0</v>
      </c>
      <c r="AE22" s="44">
        <f t="shared" si="5"/>
        <v>0</v>
      </c>
      <c r="AF22" s="44">
        <f t="shared" si="5"/>
        <v>0</v>
      </c>
    </row>
    <row r="24" spans="1:32" x14ac:dyDescent="0.35">
      <c r="A24" t="s">
        <v>84</v>
      </c>
      <c r="C24" s="44">
        <f>(C14*C16)-C14</f>
        <v>0</v>
      </c>
      <c r="D24" s="44">
        <f t="shared" ref="D24:AF24" si="6">(D14*D16)-D14</f>
        <v>0</v>
      </c>
      <c r="E24" s="44">
        <f t="shared" si="6"/>
        <v>0</v>
      </c>
      <c r="F24" s="44">
        <f t="shared" si="6"/>
        <v>0</v>
      </c>
      <c r="G24" s="44">
        <f t="shared" si="6"/>
        <v>0</v>
      </c>
      <c r="H24" s="44">
        <f t="shared" si="6"/>
        <v>0</v>
      </c>
      <c r="I24" s="44">
        <f t="shared" si="6"/>
        <v>0</v>
      </c>
      <c r="J24" s="44">
        <f t="shared" si="6"/>
        <v>0</v>
      </c>
      <c r="K24" s="44">
        <f t="shared" si="6"/>
        <v>0</v>
      </c>
      <c r="L24" s="44">
        <f t="shared" si="6"/>
        <v>0</v>
      </c>
      <c r="M24" s="44">
        <f t="shared" si="6"/>
        <v>0</v>
      </c>
      <c r="N24" s="44">
        <f t="shared" si="6"/>
        <v>0</v>
      </c>
      <c r="O24" s="44">
        <f t="shared" si="6"/>
        <v>0</v>
      </c>
      <c r="P24" s="44">
        <f t="shared" si="6"/>
        <v>0</v>
      </c>
      <c r="Q24" s="44">
        <f t="shared" si="6"/>
        <v>0</v>
      </c>
      <c r="R24" s="44">
        <f t="shared" si="6"/>
        <v>0</v>
      </c>
      <c r="S24" s="44">
        <f t="shared" si="6"/>
        <v>0</v>
      </c>
      <c r="T24" s="44">
        <f t="shared" si="6"/>
        <v>0</v>
      </c>
      <c r="U24" s="44">
        <f t="shared" si="6"/>
        <v>0</v>
      </c>
      <c r="V24" s="44">
        <f t="shared" si="6"/>
        <v>0</v>
      </c>
      <c r="W24" s="44">
        <f t="shared" si="6"/>
        <v>0</v>
      </c>
      <c r="X24" s="44">
        <f t="shared" si="6"/>
        <v>0</v>
      </c>
      <c r="Y24" s="44">
        <f t="shared" si="6"/>
        <v>0</v>
      </c>
      <c r="Z24" s="44">
        <f t="shared" si="6"/>
        <v>0</v>
      </c>
      <c r="AA24" s="44">
        <f t="shared" si="6"/>
        <v>0</v>
      </c>
      <c r="AB24" s="44">
        <f t="shared" si="6"/>
        <v>0</v>
      </c>
      <c r="AC24" s="44">
        <f t="shared" si="6"/>
        <v>0</v>
      </c>
      <c r="AD24" s="44">
        <f t="shared" si="6"/>
        <v>0</v>
      </c>
      <c r="AE24" s="44">
        <f t="shared" si="6"/>
        <v>0</v>
      </c>
      <c r="AF24" s="44">
        <f t="shared" si="6"/>
        <v>0</v>
      </c>
    </row>
    <row r="25" spans="1:32" x14ac:dyDescent="0.35">
      <c r="A25" t="s">
        <v>85</v>
      </c>
      <c r="C25" s="44">
        <f>(C14*C17)-C14</f>
        <v>0</v>
      </c>
      <c r="D25" s="44">
        <f t="shared" ref="D25:AF25" si="7">(D14*D17)-D14</f>
        <v>0</v>
      </c>
      <c r="E25" s="44">
        <f t="shared" si="7"/>
        <v>0</v>
      </c>
      <c r="F25" s="44">
        <f t="shared" si="7"/>
        <v>0</v>
      </c>
      <c r="G25" s="44">
        <f t="shared" si="7"/>
        <v>0</v>
      </c>
      <c r="H25" s="44">
        <f t="shared" si="7"/>
        <v>0</v>
      </c>
      <c r="I25" s="44">
        <f t="shared" si="7"/>
        <v>0</v>
      </c>
      <c r="J25" s="44">
        <f t="shared" si="7"/>
        <v>0</v>
      </c>
      <c r="K25" s="44">
        <f t="shared" si="7"/>
        <v>0</v>
      </c>
      <c r="L25" s="44">
        <f t="shared" si="7"/>
        <v>0</v>
      </c>
      <c r="M25" s="44">
        <f t="shared" si="7"/>
        <v>0</v>
      </c>
      <c r="N25" s="44">
        <f t="shared" si="7"/>
        <v>0</v>
      </c>
      <c r="O25" s="44">
        <f t="shared" si="7"/>
        <v>0</v>
      </c>
      <c r="P25" s="44">
        <f t="shared" si="7"/>
        <v>0</v>
      </c>
      <c r="Q25" s="44">
        <f t="shared" si="7"/>
        <v>0</v>
      </c>
      <c r="R25" s="44">
        <f t="shared" si="7"/>
        <v>0</v>
      </c>
      <c r="S25" s="44">
        <f t="shared" si="7"/>
        <v>0</v>
      </c>
      <c r="T25" s="44">
        <f t="shared" si="7"/>
        <v>0</v>
      </c>
      <c r="U25" s="44">
        <f t="shared" si="7"/>
        <v>0</v>
      </c>
      <c r="V25" s="44">
        <f t="shared" si="7"/>
        <v>0</v>
      </c>
      <c r="W25" s="44">
        <f t="shared" si="7"/>
        <v>0</v>
      </c>
      <c r="X25" s="44">
        <f t="shared" si="7"/>
        <v>0</v>
      </c>
      <c r="Y25" s="44">
        <f t="shared" si="7"/>
        <v>0</v>
      </c>
      <c r="Z25" s="44">
        <f t="shared" si="7"/>
        <v>0</v>
      </c>
      <c r="AA25" s="44">
        <f t="shared" si="7"/>
        <v>0</v>
      </c>
      <c r="AB25" s="44">
        <f t="shared" si="7"/>
        <v>0</v>
      </c>
      <c r="AC25" s="44">
        <f t="shared" si="7"/>
        <v>0</v>
      </c>
      <c r="AD25" s="44">
        <f t="shared" si="7"/>
        <v>0</v>
      </c>
      <c r="AE25" s="44">
        <f t="shared" si="7"/>
        <v>0</v>
      </c>
      <c r="AF25" s="44">
        <f t="shared" si="7"/>
        <v>0</v>
      </c>
    </row>
    <row r="26" spans="1:32" x14ac:dyDescent="0.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x14ac:dyDescent="0.35">
      <c r="A27" t="s">
        <v>45</v>
      </c>
      <c r="C27" s="2">
        <f>C12+C13+C14+C19+C20+C22+C24+C25</f>
        <v>9886004.8801703006</v>
      </c>
      <c r="D27" s="2">
        <f t="shared" ref="D27:AF27" si="8">D12+D13+D14+D19+D20+D22+D24+D25</f>
        <v>11188634.516572306</v>
      </c>
      <c r="E27" s="2">
        <f t="shared" si="8"/>
        <v>12552290.531974845</v>
      </c>
      <c r="F27" s="2">
        <f t="shared" si="8"/>
        <v>13979474.14410471</v>
      </c>
      <c r="G27" s="2">
        <f t="shared" si="8"/>
        <v>15472790.557435401</v>
      </c>
      <c r="H27" s="2">
        <f t="shared" si="8"/>
        <v>17034953.561611589</v>
      </c>
      <c r="I27" s="2">
        <f t="shared" si="8"/>
        <v>18668790.346713431</v>
      </c>
      <c r="J27" s="2">
        <f t="shared" si="8"/>
        <v>20377246.546084031</v>
      </c>
      <c r="K27" s="2">
        <f t="shared" si="8"/>
        <v>22163391.517989352</v>
      </c>
      <c r="L27" s="2">
        <f t="shared" si="8"/>
        <v>24030423.877954051</v>
      </c>
      <c r="M27" s="2">
        <f t="shared" si="8"/>
        <v>25981677.294220868</v>
      </c>
      <c r="N27" s="2">
        <f t="shared" si="8"/>
        <v>28020626.559416175</v>
      </c>
      <c r="O27" s="2">
        <f t="shared" si="8"/>
        <v>30150893.952172697</v>
      </c>
      <c r="P27" s="2">
        <f t="shared" si="8"/>
        <v>32376255.903163061</v>
      </c>
      <c r="Q27" s="2">
        <f t="shared" si="8"/>
        <v>34700649.980736993</v>
      </c>
      <c r="R27" s="2">
        <f t="shared" si="8"/>
        <v>37128182.212132618</v>
      </c>
      <c r="S27" s="2">
        <f t="shared" si="8"/>
        <v>39663134.757050209</v>
      </c>
      <c r="T27" s="2">
        <f t="shared" si="8"/>
        <v>42309973.951236717</v>
      </c>
      <c r="U27" s="2">
        <f t="shared" si="8"/>
        <v>45073358.738635086</v>
      </c>
      <c r="V27" s="2">
        <f t="shared" si="8"/>
        <v>47958149.511603281</v>
      </c>
      <c r="W27" s="2">
        <f t="shared" si="8"/>
        <v>50969417.379710518</v>
      </c>
      <c r="X27" s="2">
        <f t="shared" si="8"/>
        <v>54112453.888670564</v>
      </c>
      <c r="Y27" s="2">
        <f t="shared" si="8"/>
        <v>57392781.212080978</v>
      </c>
      <c r="Z27" s="2">
        <f t="shared" si="8"/>
        <v>60816162.839802384</v>
      </c>
      <c r="AA27" s="2">
        <f t="shared" si="8"/>
        <v>64388614.788038626</v>
      </c>
      <c r="AB27" s="2">
        <f t="shared" si="8"/>
        <v>68116417.357468829</v>
      </c>
      <c r="AC27" s="2">
        <f t="shared" si="8"/>
        <v>72006127.467139333</v>
      </c>
      <c r="AD27" s="2">
        <f t="shared" si="8"/>
        <v>76064591.593252525</v>
      </c>
      <c r="AE27" s="2">
        <f t="shared" si="8"/>
        <v>80298959.343490124</v>
      </c>
      <c r="AF27" s="2">
        <f t="shared" si="8"/>
        <v>84716697.699091166</v>
      </c>
    </row>
    <row r="28" spans="1:32" x14ac:dyDescent="0.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x14ac:dyDescent="0.35">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x14ac:dyDescent="0.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x14ac:dyDescent="0.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4" spans="3:32" x14ac:dyDescent="0.35">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sheetData>
  <sheetProtection algorithmName="SHA-512" hashValue="GS00G79IPKsskm0q2nEUktWYrC74oQWh2I59VWNpl/4XoWFwQJjWM02qlWwr8V9aYAcCYkm7D6XYooY2ke0ODg==" saltValue="C5WU/pYVcSWdzEr49Azhg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3W2DU3RAJ5R2-1900874439-788</_dlc_DocId>
    <_dlc_DocIdUrl xmlns="f54e2983-00ce-40fc-8108-18f351fc47bf">
      <Url>https://dia.cohesion.net.nz/Sites/LGV/TWRP/CAE/_layouts/15/DocIdRedir.aspx?ID=3W2DU3RAJ5R2-1900874439-788</Url>
      <Description>3W2DU3RAJ5R2-1900874439-788</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0D5852B-D7A7-4297-8782-C3BF3308D0DB}"/>
</file>

<file path=customXml/itemProps2.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3.xml><?xml version="1.0" encoding="utf-8"?>
<ds:datastoreItem xmlns:ds="http://schemas.openxmlformats.org/officeDocument/2006/customXml" ds:itemID="{CBCC2D2A-763C-48F8-A3E5-6B0A81386C39}">
  <ds:schemaRefs>
    <ds:schemaRef ds:uri="http://schemas.microsoft.com/office/2006/metadata/properties"/>
    <ds:schemaRef ds:uri="http://purl.org/dc/dcmitype/"/>
    <ds:schemaRef ds:uri="65b6d800-2dda-48d6-88d8-9e2b35e6f7ea"/>
    <ds:schemaRef ds:uri="http://schemas.microsoft.com/office/2006/documentManagement/types"/>
    <ds:schemaRef ds:uri="http://schemas.microsoft.com/sharepoint/v3"/>
    <ds:schemaRef ds:uri="08a23fc5-e034-477c-ac83-93bc1440f322"/>
    <ds:schemaRef ds:uri="http://www.w3.org/XML/1998/namespace"/>
    <ds:schemaRef ds:uri="http://schemas.microsoft.com/office/infopath/2007/PartnerControls"/>
    <ds:schemaRef ds:uri="http://schemas.openxmlformats.org/package/2006/metadata/core-properties"/>
    <ds:schemaRef ds:uri="http://purl.org/dc/terms/"/>
    <ds:schemaRef ds:uri="http://purl.org/dc/elements/1.1/"/>
  </ds:schemaRefs>
</ds:datastoreItem>
</file>

<file path=customXml/itemProps4.xml><?xml version="1.0" encoding="utf-8"?>
<ds:datastoreItem xmlns:ds="http://schemas.openxmlformats.org/officeDocument/2006/customXml" ds:itemID="{6E0A8820-AD4E-4DBE-A507-B3D5B1624A5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Model overview and manual</vt:lpstr>
      <vt:lpstr>Model output==&gt;</vt:lpstr>
      <vt:lpstr>Average cost per household</vt:lpstr>
      <vt:lpstr>Input sheets ===&gt;</vt:lpstr>
      <vt:lpstr>Assumptions</vt:lpstr>
      <vt:lpstr>Price and Financial ratios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2021-07-01T15:07:37Z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05af7b31-167d-42d5-9002-d04a207d0266</vt:lpwstr>
  </property>
</Properties>
</file>