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303" documentId="8_{76C315EC-91EA-46EB-BAFC-63CD64304AA2}" xr6:coauthVersionLast="47" xr6:coauthVersionMax="47" xr10:uidLastSave="{1DEDF8D1-9FF9-422E-A797-6D1E8024CF0D}"/>
  <bookViews>
    <workbookView xWindow="-110" yWindow="-110" windowWidth="38620" windowHeight="2122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1" l="1"/>
  <c r="A11" i="19" l="1"/>
  <c r="A9" i="19"/>
  <c r="B40" i="21"/>
  <c r="B27" i="21"/>
  <c r="A21" i="21"/>
  <c r="A34" i="21"/>
  <c r="B8" i="21"/>
  <c r="B21" i="21"/>
  <c r="B34" i="21"/>
  <c r="C87" i="2"/>
  <c r="C58" i="2"/>
  <c r="C106" i="2"/>
  <c r="C63" i="2"/>
  <c r="C107" i="2"/>
  <c r="D11" i="2"/>
  <c r="C40" i="2"/>
  <c r="C41" i="2"/>
  <c r="C39" i="2"/>
  <c r="C36" i="2"/>
  <c r="C37" i="2"/>
  <c r="C35" i="2"/>
  <c r="F9" i="2"/>
  <c r="E9" i="2"/>
  <c r="D9" i="2"/>
  <c r="G11" i="2"/>
  <c r="V9" i="2"/>
  <c r="E11" i="2"/>
  <c r="F11" i="2"/>
  <c r="H11" i="2"/>
  <c r="I11" i="2"/>
  <c r="C72" i="2"/>
  <c r="D3" i="3"/>
  <c r="E3" i="3"/>
  <c r="F3" i="3"/>
  <c r="G3" i="3"/>
  <c r="H3" i="3"/>
  <c r="I3" i="3"/>
  <c r="J3" i="3"/>
  <c r="K3" i="3"/>
  <c r="L3" i="3"/>
  <c r="M3" i="3"/>
  <c r="N3" i="3"/>
  <c r="O3" i="3"/>
  <c r="P3" i="3"/>
  <c r="Q3" i="3"/>
  <c r="R3" i="3"/>
  <c r="S3" i="3"/>
  <c r="T3" i="3"/>
  <c r="U3" i="3"/>
  <c r="V3" i="3"/>
  <c r="W3" i="3"/>
  <c r="X3" i="3"/>
  <c r="Y3" i="3"/>
  <c r="Z3" i="3"/>
  <c r="AA3" i="3"/>
  <c r="AB3" i="3"/>
  <c r="AC3" i="3"/>
  <c r="AD3" i="3"/>
  <c r="AE3" i="3"/>
  <c r="AF3" i="3"/>
  <c r="D3" i="6"/>
  <c r="E3" i="6"/>
  <c r="F3" i="6"/>
  <c r="G3" i="6"/>
  <c r="H3" i="6"/>
  <c r="I3" i="6"/>
  <c r="J3" i="6"/>
  <c r="K3" i="6"/>
  <c r="L3" i="6"/>
  <c r="M3" i="6"/>
  <c r="N3" i="6"/>
  <c r="O3" i="6"/>
  <c r="P3" i="6"/>
  <c r="Q3" i="6"/>
  <c r="R3" i="6"/>
  <c r="S3" i="6"/>
  <c r="T3" i="6"/>
  <c r="U3" i="6"/>
  <c r="V3" i="6"/>
  <c r="W3" i="6"/>
  <c r="X3" i="6"/>
  <c r="Y3" i="6"/>
  <c r="Z3" i="6"/>
  <c r="AA3" i="6"/>
  <c r="AB3" i="6"/>
  <c r="AC3" i="6"/>
  <c r="AD3" i="6"/>
  <c r="AE3" i="6"/>
  <c r="AF3" i="6"/>
  <c r="D3" i="4"/>
  <c r="E3" i="4"/>
  <c r="F3" i="4"/>
  <c r="G3" i="4"/>
  <c r="H3" i="4"/>
  <c r="I3" i="4"/>
  <c r="J3" i="4"/>
  <c r="K3" i="4"/>
  <c r="L3" i="4"/>
  <c r="M3" i="4"/>
  <c r="N3" i="4"/>
  <c r="O3" i="4"/>
  <c r="P3" i="4"/>
  <c r="Q3" i="4"/>
  <c r="R3" i="4"/>
  <c r="S3" i="4"/>
  <c r="T3" i="4"/>
  <c r="U3" i="4"/>
  <c r="V3" i="4"/>
  <c r="W3" i="4"/>
  <c r="X3" i="4"/>
  <c r="Y3" i="4"/>
  <c r="Z3" i="4"/>
  <c r="AA3" i="4"/>
  <c r="AB3" i="4"/>
  <c r="AC3" i="4"/>
  <c r="AD3" i="4"/>
  <c r="AE3" i="4"/>
  <c r="AF3" i="4"/>
  <c r="C3" i="5"/>
  <c r="D3" i="5"/>
  <c r="E3" i="5"/>
  <c r="F3" i="5"/>
  <c r="G3" i="5"/>
  <c r="H3" i="5"/>
  <c r="I3" i="5"/>
  <c r="J3" i="5"/>
  <c r="K3" i="5"/>
  <c r="L3" i="5"/>
  <c r="M3" i="5"/>
  <c r="N3" i="5"/>
  <c r="O3" i="5"/>
  <c r="P3" i="5"/>
  <c r="Q3" i="5"/>
  <c r="R3" i="5"/>
  <c r="S3" i="5"/>
  <c r="T3" i="5"/>
  <c r="U3" i="5"/>
  <c r="V3" i="5"/>
  <c r="W3" i="5"/>
  <c r="X3" i="5"/>
  <c r="Y3" i="5"/>
  <c r="Z3" i="5"/>
  <c r="AA3" i="5"/>
  <c r="AB3" i="5"/>
  <c r="AC3" i="5"/>
  <c r="AD3" i="5"/>
  <c r="AE3" i="5"/>
  <c r="D15" i="9"/>
  <c r="E15" i="9"/>
  <c r="F15" i="9"/>
  <c r="C15" i="9"/>
  <c r="D3" i="8"/>
  <c r="E3" i="8"/>
  <c r="F3" i="8"/>
  <c r="G3" i="8"/>
  <c r="H3" i="8"/>
  <c r="I3" i="8"/>
  <c r="J3" i="8"/>
  <c r="K3" i="8"/>
  <c r="L3" i="8"/>
  <c r="M3" i="8"/>
  <c r="N3" i="8"/>
  <c r="O3" i="8"/>
  <c r="P3" i="8"/>
  <c r="Q3" i="8"/>
  <c r="R3" i="8"/>
  <c r="S3" i="8"/>
  <c r="T3" i="8"/>
  <c r="U3" i="8"/>
  <c r="V3" i="8"/>
  <c r="W3" i="8"/>
  <c r="X3" i="8"/>
  <c r="Y3" i="8"/>
  <c r="Z3" i="8"/>
  <c r="AA3" i="8"/>
  <c r="AB3" i="8"/>
  <c r="AC3" i="8"/>
  <c r="AD3" i="8"/>
  <c r="AE3" i="8"/>
  <c r="AF3" i="8"/>
  <c r="F3" i="7"/>
  <c r="G3" i="7"/>
  <c r="H3" i="7"/>
  <c r="I3" i="7"/>
  <c r="J3" i="7"/>
  <c r="K3" i="7"/>
  <c r="L3" i="7"/>
  <c r="M3" i="7"/>
  <c r="N3" i="7"/>
  <c r="O3" i="7"/>
  <c r="P3" i="7"/>
  <c r="Q3" i="7"/>
  <c r="R3" i="7"/>
  <c r="S3" i="7"/>
  <c r="T3" i="7"/>
  <c r="U3" i="7"/>
  <c r="V3" i="7"/>
  <c r="W3" i="7"/>
  <c r="X3" i="7"/>
  <c r="Y3" i="7"/>
  <c r="Z3" i="7"/>
  <c r="AA3" i="7"/>
  <c r="AB3" i="7"/>
  <c r="AC3" i="7"/>
  <c r="AD3" i="7"/>
  <c r="AE3" i="7"/>
  <c r="AF3" i="7"/>
  <c r="AG3" i="7"/>
  <c r="AH3" i="7"/>
  <c r="D16" i="8"/>
  <c r="E16" i="8"/>
  <c r="F16" i="8"/>
  <c r="C16" i="8"/>
  <c r="D3" i="9"/>
  <c r="E3" i="9"/>
  <c r="F3" i="9"/>
  <c r="G3" i="9"/>
  <c r="H3" i="9"/>
  <c r="I3" i="9"/>
  <c r="J3" i="9"/>
  <c r="K3" i="9"/>
  <c r="L3" i="9"/>
  <c r="M3" i="9"/>
  <c r="N3" i="9"/>
  <c r="O3" i="9"/>
  <c r="P3" i="9"/>
  <c r="Q3" i="9"/>
  <c r="R3" i="9"/>
  <c r="S3" i="9"/>
  <c r="T3" i="9"/>
  <c r="U3" i="9"/>
  <c r="V3" i="9"/>
  <c r="W3" i="9"/>
  <c r="X3" i="9"/>
  <c r="Y3" i="9"/>
  <c r="Z3" i="9"/>
  <c r="AA3" i="9"/>
  <c r="AB3" i="9"/>
  <c r="AC3" i="9"/>
  <c r="AD3" i="9"/>
  <c r="AE3" i="9"/>
  <c r="AF3" i="9"/>
  <c r="D45" i="2"/>
  <c r="C16" i="9"/>
  <c r="L11" i="2"/>
  <c r="K9" i="9"/>
  <c r="M11" i="2"/>
  <c r="L9" i="9"/>
  <c r="N11" i="2"/>
  <c r="M9" i="9"/>
  <c r="O11" i="2"/>
  <c r="N9" i="9"/>
  <c r="P11" i="2"/>
  <c r="O9" i="9"/>
  <c r="Q11" i="2"/>
  <c r="P9" i="9"/>
  <c r="R11" i="2"/>
  <c r="Q9" i="9"/>
  <c r="S11" i="2"/>
  <c r="R9" i="9"/>
  <c r="T11" i="2"/>
  <c r="S9" i="9"/>
  <c r="U11" i="2"/>
  <c r="T9" i="9"/>
  <c r="V11" i="2"/>
  <c r="U9" i="9"/>
  <c r="W11" i="2"/>
  <c r="V9" i="9"/>
  <c r="X11" i="2"/>
  <c r="W9" i="9"/>
  <c r="Y11" i="2"/>
  <c r="X9" i="9"/>
  <c r="Z11" i="2"/>
  <c r="Y9" i="9"/>
  <c r="AA11" i="2"/>
  <c r="Z9" i="9"/>
  <c r="AB11" i="2"/>
  <c r="AA9" i="9"/>
  <c r="AC11" i="2"/>
  <c r="AB9" i="9"/>
  <c r="AD11" i="2"/>
  <c r="AC9" i="9"/>
  <c r="AE11" i="2"/>
  <c r="AD9" i="9"/>
  <c r="AF11" i="2"/>
  <c r="AE9" i="9"/>
  <c r="AG11" i="2"/>
  <c r="AF9" i="9"/>
  <c r="D9" i="9"/>
  <c r="E9" i="9"/>
  <c r="F9" i="9"/>
  <c r="G9" i="9"/>
  <c r="H9" i="9"/>
  <c r="J11" i="2"/>
  <c r="I9" i="9"/>
  <c r="K11" i="2"/>
  <c r="J9" i="9"/>
  <c r="C9" i="9"/>
  <c r="E4" i="2"/>
  <c r="F4" i="2"/>
  <c r="G4" i="2"/>
  <c r="H4" i="2"/>
  <c r="I4" i="2"/>
  <c r="J4" i="2"/>
  <c r="K4" i="2"/>
  <c r="L4" i="2"/>
  <c r="M4" i="2"/>
  <c r="N4" i="2"/>
  <c r="O4" i="2"/>
  <c r="P4" i="2"/>
  <c r="Q4" i="2"/>
  <c r="R4" i="2"/>
  <c r="S4" i="2"/>
  <c r="T4" i="2"/>
  <c r="U4" i="2"/>
  <c r="V4" i="2"/>
  <c r="W4" i="2"/>
  <c r="X4" i="2"/>
  <c r="Y4" i="2"/>
  <c r="Z4" i="2"/>
  <c r="AA4" i="2"/>
  <c r="AB4" i="2"/>
  <c r="AC4" i="2"/>
  <c r="AD4" i="2"/>
  <c r="AE4" i="2"/>
  <c r="AF4" i="2"/>
  <c r="AG4" i="2"/>
  <c r="E45" i="2"/>
  <c r="C17" i="8"/>
  <c r="F45" i="2"/>
  <c r="D17" i="8"/>
  <c r="D16" i="9"/>
  <c r="G45" i="2"/>
  <c r="E17" i="8"/>
  <c r="E16" i="9"/>
  <c r="H45" i="2"/>
  <c r="F17" i="8"/>
  <c r="F16" i="9"/>
  <c r="I45" i="2"/>
  <c r="G17" i="8"/>
  <c r="G16" i="9"/>
  <c r="J45" i="2"/>
  <c r="H17" i="8"/>
  <c r="H16" i="9"/>
  <c r="K45" i="2"/>
  <c r="I17" i="8"/>
  <c r="I16" i="9"/>
  <c r="L45" i="2"/>
  <c r="J17" i="8"/>
  <c r="J16" i="9"/>
  <c r="M45" i="2"/>
  <c r="K17" i="8"/>
  <c r="K16" i="9"/>
  <c r="N45" i="2"/>
  <c r="L17" i="8"/>
  <c r="L16" i="9"/>
  <c r="O45" i="2"/>
  <c r="M17" i="8"/>
  <c r="M16" i="9"/>
  <c r="P45" i="2"/>
  <c r="N17" i="8"/>
  <c r="N16" i="9"/>
  <c r="Q45" i="2"/>
  <c r="O17" i="8"/>
  <c r="O16" i="9"/>
  <c r="R45" i="2"/>
  <c r="P17" i="8"/>
  <c r="P16" i="9"/>
  <c r="S45" i="2"/>
  <c r="Q17" i="8"/>
  <c r="Q16" i="9"/>
  <c r="T45" i="2"/>
  <c r="R17" i="8"/>
  <c r="R16" i="9"/>
  <c r="U45" i="2"/>
  <c r="S17" i="8"/>
  <c r="S16" i="9"/>
  <c r="V45" i="2"/>
  <c r="T17" i="8"/>
  <c r="T16" i="9"/>
  <c r="W45" i="2"/>
  <c r="U17" i="8"/>
  <c r="U16" i="9"/>
  <c r="X45" i="2"/>
  <c r="V17" i="8"/>
  <c r="V16" i="9"/>
  <c r="Y45" i="2"/>
  <c r="W17" i="8"/>
  <c r="W16" i="9"/>
  <c r="Z45" i="2"/>
  <c r="X17" i="8"/>
  <c r="X16" i="9"/>
  <c r="AA45" i="2"/>
  <c r="Y17" i="8"/>
  <c r="Y16" i="9"/>
  <c r="AB45" i="2"/>
  <c r="Z17" i="8"/>
  <c r="Z16" i="9"/>
  <c r="AC45" i="2"/>
  <c r="AA17" i="8"/>
  <c r="AA16" i="9"/>
  <c r="AD45" i="2"/>
  <c r="AB17" i="8"/>
  <c r="AB16" i="9"/>
  <c r="AE45" i="2"/>
  <c r="AC17" i="8"/>
  <c r="AC16" i="9"/>
  <c r="AF45" i="2"/>
  <c r="AD17" i="8"/>
  <c r="AD16" i="9"/>
  <c r="AG45" i="2"/>
  <c r="AE17" i="8"/>
  <c r="AE16" i="9"/>
  <c r="AF17" i="8"/>
  <c r="AF16" i="9"/>
  <c r="AG9" i="2"/>
  <c r="AF22" i="8"/>
  <c r="AF9" i="2"/>
  <c r="AE9" i="2"/>
  <c r="AD9" i="2"/>
  <c r="AC9" i="2"/>
  <c r="AB9" i="2"/>
  <c r="AA9" i="2"/>
  <c r="Z9" i="2"/>
  <c r="Y9" i="2"/>
  <c r="X9" i="2"/>
  <c r="W9" i="2"/>
  <c r="U9" i="2"/>
  <c r="T9" i="2"/>
  <c r="S9" i="2"/>
  <c r="R9" i="2"/>
  <c r="Q9" i="2"/>
  <c r="P9" i="2"/>
  <c r="O9" i="2"/>
  <c r="N9" i="2"/>
  <c r="M9" i="2"/>
  <c r="L22" i="8"/>
  <c r="L9" i="2"/>
  <c r="K9" i="2"/>
  <c r="J9" i="2"/>
  <c r="I9" i="2"/>
  <c r="H9" i="2"/>
  <c r="G9" i="2"/>
  <c r="AA22" i="8"/>
  <c r="AB22" i="8"/>
  <c r="M22" i="8"/>
  <c r="AC22" i="8"/>
  <c r="N22" i="8"/>
  <c r="V22" i="8"/>
  <c r="AD22" i="8"/>
  <c r="R22" i="8"/>
  <c r="K22" i="8"/>
  <c r="T22" i="8"/>
  <c r="O22" i="8"/>
  <c r="W22" i="8"/>
  <c r="AE22" i="8"/>
  <c r="Z22" i="8"/>
  <c r="J22" i="8"/>
  <c r="S22" i="8"/>
  <c r="U22" i="8"/>
  <c r="H22" i="8"/>
  <c r="P22" i="8"/>
  <c r="X22" i="8"/>
  <c r="I22" i="8"/>
  <c r="Q22" i="8"/>
  <c r="Y22" i="8"/>
  <c r="B11" i="5"/>
  <c r="G22" i="8"/>
  <c r="F22" i="8"/>
  <c r="C22" i="8"/>
  <c r="E22" i="8"/>
  <c r="D22" i="8"/>
  <c r="H44" i="2"/>
  <c r="H43" i="2"/>
  <c r="I44" i="2"/>
  <c r="J44" i="2"/>
  <c r="G15" i="9"/>
  <c r="I43" i="2"/>
  <c r="G16" i="8"/>
  <c r="H15" i="9"/>
  <c r="J43" i="2"/>
  <c r="H16" i="8"/>
  <c r="I15" i="9"/>
  <c r="K44" i="2"/>
  <c r="J15" i="9"/>
  <c r="L44" i="2"/>
  <c r="K43" i="2"/>
  <c r="I16" i="8"/>
  <c r="L43" i="2"/>
  <c r="J16" i="8"/>
  <c r="K15" i="9"/>
  <c r="M44" i="2"/>
  <c r="L15" i="9"/>
  <c r="N44" i="2"/>
  <c r="K16" i="8"/>
  <c r="M43" i="2"/>
  <c r="M15" i="9"/>
  <c r="O44" i="2"/>
  <c r="N43" i="2"/>
  <c r="L16" i="8"/>
  <c r="N15" i="9"/>
  <c r="P44" i="2"/>
  <c r="O43" i="2"/>
  <c r="M16" i="8"/>
  <c r="O15" i="9"/>
  <c r="Q44" i="2"/>
  <c r="P43" i="2"/>
  <c r="N16" i="8"/>
  <c r="Q43" i="2"/>
  <c r="O16" i="8"/>
  <c r="P15" i="9"/>
  <c r="R44" i="2"/>
  <c r="Q15" i="9"/>
  <c r="S44" i="2"/>
  <c r="P16" i="8"/>
  <c r="R43" i="2"/>
  <c r="R15" i="9"/>
  <c r="T44" i="2"/>
  <c r="S43" i="2"/>
  <c r="Q16" i="8"/>
  <c r="S15" i="9"/>
  <c r="U44" i="2"/>
  <c r="T43" i="2"/>
  <c r="R16" i="8"/>
  <c r="U43" i="2"/>
  <c r="S16" i="8"/>
  <c r="T15" i="9"/>
  <c r="V44" i="2"/>
  <c r="T16" i="8"/>
  <c r="V43" i="2"/>
  <c r="U15" i="9"/>
  <c r="W44" i="2"/>
  <c r="V15" i="9"/>
  <c r="X44" i="2"/>
  <c r="W43" i="2"/>
  <c r="U16" i="8"/>
  <c r="W15" i="9"/>
  <c r="Y44" i="2"/>
  <c r="X43" i="2"/>
  <c r="V16" i="8"/>
  <c r="Y43" i="2"/>
  <c r="W16" i="8"/>
  <c r="X15" i="9"/>
  <c r="Z44" i="2"/>
  <c r="Y15" i="9"/>
  <c r="AA44" i="2"/>
  <c r="Z43" i="2"/>
  <c r="X16" i="8"/>
  <c r="Z15" i="9"/>
  <c r="AB44" i="2"/>
  <c r="AA43" i="2"/>
  <c r="Y16" i="8"/>
  <c r="Z16" i="8"/>
  <c r="AB43" i="2"/>
  <c r="AA15" i="9"/>
  <c r="AC44" i="2"/>
  <c r="AC43" i="2"/>
  <c r="AA16" i="8"/>
  <c r="AB15" i="9"/>
  <c r="AD44" i="2"/>
  <c r="AD43" i="2"/>
  <c r="AB16" i="8"/>
  <c r="AC15" i="9"/>
  <c r="AE44" i="2"/>
  <c r="AD15" i="9"/>
  <c r="AF44" i="2"/>
  <c r="AE43" i="2"/>
  <c r="AC16" i="8"/>
  <c r="AE15" i="9"/>
  <c r="AG44" i="2"/>
  <c r="AD16" i="8"/>
  <c r="AF43" i="2"/>
  <c r="AF15" i="9"/>
  <c r="AG43" i="2"/>
  <c r="AE16" i="8"/>
  <c r="AF16" i="8"/>
  <c r="C83" i="2" l="1"/>
  <c r="C82" i="2"/>
  <c r="C129" i="2"/>
  <c r="C135" i="2" s="1"/>
  <c r="B10" i="21" s="1"/>
  <c r="C22" i="6"/>
  <c r="C66" i="2"/>
  <c r="C17" i="2"/>
  <c r="B7" i="21"/>
  <c r="C71" i="2"/>
  <c r="C73" i="2" s="1"/>
  <c r="C5" i="3"/>
  <c r="C67" i="2"/>
  <c r="C89" i="2"/>
  <c r="C94" i="2" s="1"/>
  <c r="C90" i="2" l="1"/>
  <c r="C95" i="2" s="1"/>
  <c r="B12" i="21"/>
  <c r="B16" i="21" s="1"/>
  <c r="C75" i="2"/>
  <c r="B6" i="5"/>
  <c r="C18" i="2"/>
  <c r="C7" i="6" s="1"/>
  <c r="C6" i="6"/>
  <c r="C96" i="2"/>
  <c r="C68" i="2"/>
  <c r="C102" i="2" l="1"/>
  <c r="AG111" i="2"/>
  <c r="Z111" i="2"/>
  <c r="F111" i="2"/>
  <c r="AA111" i="2"/>
  <c r="D111" i="2"/>
  <c r="AE111" i="2"/>
  <c r="T111" i="2"/>
  <c r="W111" i="2"/>
  <c r="E111" i="2"/>
  <c r="M111" i="2"/>
  <c r="AF111" i="2"/>
  <c r="Q111" i="2"/>
  <c r="V111" i="2"/>
  <c r="I111" i="2"/>
  <c r="G111" i="2"/>
  <c r="AC111" i="2"/>
  <c r="O111" i="2"/>
  <c r="N111" i="2"/>
  <c r="Y111" i="2"/>
  <c r="AD111" i="2"/>
  <c r="J111" i="2"/>
  <c r="P111" i="2"/>
  <c r="K111" i="2"/>
  <c r="S111" i="2"/>
  <c r="H111" i="2"/>
  <c r="L111" i="2"/>
  <c r="AB111" i="2"/>
  <c r="X111" i="2"/>
  <c r="U111" i="2"/>
  <c r="R111" i="2"/>
  <c r="S13" i="2"/>
  <c r="AA13" i="2"/>
  <c r="W13" i="2"/>
  <c r="L13" i="2"/>
  <c r="AD13" i="2"/>
  <c r="D13" i="2"/>
  <c r="AE13" i="2"/>
  <c r="AF13" i="2"/>
  <c r="Z13" i="2"/>
  <c r="Q13" i="2"/>
  <c r="T13" i="2"/>
  <c r="R13" i="2"/>
  <c r="K13" i="2"/>
  <c r="E13" i="2"/>
  <c r="V13" i="2"/>
  <c r="U13" i="2"/>
  <c r="G13" i="2"/>
  <c r="AB13" i="2"/>
  <c r="AC13" i="2"/>
  <c r="N13" i="2"/>
  <c r="X13" i="2"/>
  <c r="H13" i="2"/>
  <c r="P13" i="2"/>
  <c r="Y13" i="2"/>
  <c r="J13" i="2"/>
  <c r="AG13" i="2"/>
  <c r="M13" i="2"/>
  <c r="F13" i="2"/>
  <c r="O13" i="2"/>
  <c r="I13" i="2"/>
  <c r="C5" i="8"/>
  <c r="AB12" i="8" l="1"/>
  <c r="AC135" i="2"/>
  <c r="Y8" i="6"/>
  <c r="Y5" i="9"/>
  <c r="Y11" i="9" s="1"/>
  <c r="M135" i="2"/>
  <c r="B23" i="21" s="1"/>
  <c r="L12" i="8"/>
  <c r="M12" i="8"/>
  <c r="N135" i="2"/>
  <c r="Q12" i="8"/>
  <c r="R135" i="2"/>
  <c r="L135" i="2"/>
  <c r="K12" i="8"/>
  <c r="AA5" i="9"/>
  <c r="AA11" i="9" s="1"/>
  <c r="AA8" i="6"/>
  <c r="X8" i="6"/>
  <c r="X5" i="9"/>
  <c r="X11" i="9" s="1"/>
  <c r="AE5" i="9"/>
  <c r="AE11" i="9" s="1"/>
  <c r="AE8" i="6"/>
  <c r="E5" i="9"/>
  <c r="E11" i="9" s="1"/>
  <c r="E8" i="6"/>
  <c r="M8" i="6"/>
  <c r="M5" i="9"/>
  <c r="M11" i="9" s="1"/>
  <c r="Y12" i="8"/>
  <c r="Z135" i="2"/>
  <c r="V5" i="9"/>
  <c r="V11" i="9" s="1"/>
  <c r="V8" i="6"/>
  <c r="AA12" i="8"/>
  <c r="AB135" i="2"/>
  <c r="I12" i="8"/>
  <c r="J135" i="2"/>
  <c r="AB5" i="9"/>
  <c r="AB11" i="9" s="1"/>
  <c r="AB8" i="6"/>
  <c r="AE12" i="8"/>
  <c r="AF135" i="2"/>
  <c r="J5" i="9"/>
  <c r="J11" i="9" s="1"/>
  <c r="J8" i="6"/>
  <c r="F8" i="6"/>
  <c r="F5" i="9"/>
  <c r="F11" i="9" s="1"/>
  <c r="S5" i="9"/>
  <c r="S11" i="9" s="1"/>
  <c r="S8" i="6"/>
  <c r="AF12" i="8"/>
  <c r="AG135" i="2"/>
  <c r="B36" i="21" s="1"/>
  <c r="K5" i="9"/>
  <c r="K11" i="9" s="1"/>
  <c r="K8" i="6"/>
  <c r="Q135" i="2"/>
  <c r="P12" i="8"/>
  <c r="G5" i="9"/>
  <c r="G11" i="9" s="1"/>
  <c r="G8" i="6"/>
  <c r="F12" i="8"/>
  <c r="G135" i="2"/>
  <c r="R8" i="6"/>
  <c r="R5" i="9"/>
  <c r="R11" i="9" s="1"/>
  <c r="Y135" i="2"/>
  <c r="X12" i="8"/>
  <c r="P135" i="2"/>
  <c r="O12" i="8"/>
  <c r="AE135" i="2"/>
  <c r="AD12" i="8"/>
  <c r="Q8" i="6"/>
  <c r="Q5" i="9"/>
  <c r="Q11" i="9" s="1"/>
  <c r="O5" i="9"/>
  <c r="O11" i="9" s="1"/>
  <c r="O8" i="6"/>
  <c r="H5" i="9"/>
  <c r="H11" i="9" s="1"/>
  <c r="H8" i="6"/>
  <c r="AD8" i="6"/>
  <c r="AD5" i="9"/>
  <c r="AD11" i="9" s="1"/>
  <c r="S12" i="8"/>
  <c r="T135" i="2"/>
  <c r="D5" i="9"/>
  <c r="D11" i="9" s="1"/>
  <c r="D8" i="6"/>
  <c r="D5" i="8"/>
  <c r="E5" i="8" s="1"/>
  <c r="F5" i="8" s="1"/>
  <c r="G5" i="8" s="1"/>
  <c r="H5" i="8" s="1"/>
  <c r="I5" i="8" s="1"/>
  <c r="J5" i="8" s="1"/>
  <c r="K5" i="8" s="1"/>
  <c r="L5" i="8" s="1"/>
  <c r="E6" i="7"/>
  <c r="T12" i="8"/>
  <c r="U135" i="2"/>
  <c r="I135" i="2"/>
  <c r="H12" i="8"/>
  <c r="U12" i="8"/>
  <c r="V135" i="2"/>
  <c r="O135" i="2"/>
  <c r="N12" i="8"/>
  <c r="G12" i="8"/>
  <c r="H135" i="2"/>
  <c r="D12" i="8"/>
  <c r="E135" i="2"/>
  <c r="C12" i="8"/>
  <c r="D135" i="2"/>
  <c r="T5" i="9"/>
  <c r="T11" i="9" s="1"/>
  <c r="T8" i="6"/>
  <c r="I8" i="6"/>
  <c r="I5" i="9"/>
  <c r="I11" i="9" s="1"/>
  <c r="U8" i="6"/>
  <c r="U5" i="9"/>
  <c r="U11" i="9" s="1"/>
  <c r="C8" i="6"/>
  <c r="C5" i="9"/>
  <c r="C11" i="9" s="1"/>
  <c r="U113" i="2"/>
  <c r="Q113" i="2"/>
  <c r="X113" i="2"/>
  <c r="S113" i="2"/>
  <c r="AC113" i="2"/>
  <c r="AB113" i="2"/>
  <c r="AF113" i="2"/>
  <c r="AA113" i="2"/>
  <c r="Y113" i="2"/>
  <c r="G113" i="2"/>
  <c r="I113" i="2"/>
  <c r="L113" i="2"/>
  <c r="D113" i="2"/>
  <c r="T113" i="2"/>
  <c r="O113" i="2"/>
  <c r="AG113" i="2"/>
  <c r="N113" i="2"/>
  <c r="AE113" i="2"/>
  <c r="R113" i="2"/>
  <c r="E113" i="2"/>
  <c r="V113" i="2"/>
  <c r="H113" i="2"/>
  <c r="Z113" i="2"/>
  <c r="K113" i="2"/>
  <c r="M113" i="2"/>
  <c r="F113" i="2"/>
  <c r="AD113" i="2"/>
  <c r="P113" i="2"/>
  <c r="W113" i="2"/>
  <c r="J113" i="2"/>
  <c r="W135" i="2"/>
  <c r="V12" i="8"/>
  <c r="L8" i="6"/>
  <c r="L5" i="9"/>
  <c r="L11" i="9" s="1"/>
  <c r="Z12" i="8"/>
  <c r="AA135" i="2"/>
  <c r="N8" i="6"/>
  <c r="N5" i="9"/>
  <c r="N11" i="9" s="1"/>
  <c r="AF5" i="9"/>
  <c r="AF11" i="9" s="1"/>
  <c r="AF8" i="6"/>
  <c r="R12" i="8"/>
  <c r="S135" i="2"/>
  <c r="E12" i="8"/>
  <c r="F135" i="2"/>
  <c r="W12" i="8"/>
  <c r="X135" i="2"/>
  <c r="J12" i="8"/>
  <c r="K135" i="2"/>
  <c r="AD135" i="2"/>
  <c r="AC12" i="8"/>
  <c r="W5" i="9"/>
  <c r="W11" i="9" s="1"/>
  <c r="W8" i="6"/>
  <c r="AC5" i="9"/>
  <c r="AC11" i="9" s="1"/>
  <c r="AC8" i="6"/>
  <c r="P8" i="6"/>
  <c r="P5" i="9"/>
  <c r="P11" i="9" s="1"/>
  <c r="Z5" i="9"/>
  <c r="Z11" i="9" s="1"/>
  <c r="Z8" i="6"/>
  <c r="L18" i="9" l="1"/>
  <c r="F6" i="9"/>
  <c r="F12" i="9" s="1"/>
  <c r="G116" i="2"/>
  <c r="G115" i="2"/>
  <c r="Z18" i="9"/>
  <c r="M6" i="9"/>
  <c r="M12" i="9" s="1"/>
  <c r="N115" i="2"/>
  <c r="N116" i="2"/>
  <c r="T18" i="9"/>
  <c r="M20" i="8"/>
  <c r="M19" i="8"/>
  <c r="P18" i="9"/>
  <c r="V20" i="8"/>
  <c r="V19" i="8"/>
  <c r="J6" i="9"/>
  <c r="J12" i="9" s="1"/>
  <c r="K116" i="2"/>
  <c r="K118" i="2" s="1"/>
  <c r="K115" i="2"/>
  <c r="AG116" i="2"/>
  <c r="AF6" i="9"/>
  <c r="AF12" i="9" s="1"/>
  <c r="AG115" i="2"/>
  <c r="AG118" i="2" s="1"/>
  <c r="Z6" i="9"/>
  <c r="Z12" i="9" s="1"/>
  <c r="AA116" i="2"/>
  <c r="AA115" i="2"/>
  <c r="AA118" i="2" s="1"/>
  <c r="C18" i="9"/>
  <c r="X20" i="8"/>
  <c r="X19" i="8"/>
  <c r="P20" i="8"/>
  <c r="P19" i="8"/>
  <c r="F18" i="9"/>
  <c r="M18" i="9"/>
  <c r="L20" i="8"/>
  <c r="L19" i="8"/>
  <c r="E6" i="9"/>
  <c r="E12" i="9" s="1"/>
  <c r="F116" i="2"/>
  <c r="F115" i="2"/>
  <c r="F118" i="2" s="1"/>
  <c r="N20" i="8"/>
  <c r="N19" i="8"/>
  <c r="L6" i="9"/>
  <c r="L12" i="9" s="1"/>
  <c r="M116" i="2"/>
  <c r="M115" i="2"/>
  <c r="G18" i="9"/>
  <c r="C20" i="8"/>
  <c r="C19" i="8"/>
  <c r="I19" i="8"/>
  <c r="I20" i="8"/>
  <c r="U18" i="9"/>
  <c r="Q18" i="9"/>
  <c r="R18" i="9"/>
  <c r="K19" i="8"/>
  <c r="K20" i="8"/>
  <c r="Y18" i="9"/>
  <c r="P6" i="9"/>
  <c r="P12" i="9" s="1"/>
  <c r="Q116" i="2"/>
  <c r="Q115" i="2"/>
  <c r="Q118" i="2" s="1"/>
  <c r="O19" i="8"/>
  <c r="O20" i="8"/>
  <c r="X18" i="9"/>
  <c r="X6" i="9"/>
  <c r="X12" i="9" s="1"/>
  <c r="Y116" i="2"/>
  <c r="Y115" i="2"/>
  <c r="Y118" i="2" s="1"/>
  <c r="AB18" i="9"/>
  <c r="J20" i="8"/>
  <c r="J19" i="8"/>
  <c r="Y6" i="9"/>
  <c r="Y12" i="9" s="1"/>
  <c r="Z116" i="2"/>
  <c r="Z115" i="2"/>
  <c r="Z118" i="2" s="1"/>
  <c r="AF116" i="2"/>
  <c r="AE6" i="9"/>
  <c r="AE12" i="9" s="1"/>
  <c r="AF115" i="2"/>
  <c r="D18" i="9"/>
  <c r="AA18" i="9"/>
  <c r="H116" i="2"/>
  <c r="G6" i="9"/>
  <c r="G12" i="9" s="1"/>
  <c r="H115" i="2"/>
  <c r="H19" i="8"/>
  <c r="H20" i="8"/>
  <c r="AC18" i="9"/>
  <c r="W20" i="8"/>
  <c r="W19" i="8"/>
  <c r="W116" i="2"/>
  <c r="V6" i="9"/>
  <c r="V12" i="9" s="1"/>
  <c r="W115" i="2"/>
  <c r="U6" i="9"/>
  <c r="U12" i="9" s="1"/>
  <c r="V116" i="2"/>
  <c r="V115" i="2"/>
  <c r="D116" i="2"/>
  <c r="D115" i="2"/>
  <c r="C6" i="9"/>
  <c r="C12" i="9" s="1"/>
  <c r="C113" i="2"/>
  <c r="C114" i="2" s="1"/>
  <c r="AC115" i="2"/>
  <c r="AC116" i="2"/>
  <c r="AC118" i="2" s="1"/>
  <c r="AB6" i="9"/>
  <c r="AB12" i="9" s="1"/>
  <c r="D20" i="8"/>
  <c r="D19" i="8"/>
  <c r="S20" i="8"/>
  <c r="S19" i="8"/>
  <c r="K18" i="9"/>
  <c r="J18" i="9"/>
  <c r="AA20" i="8"/>
  <c r="AA19" i="8"/>
  <c r="E18" i="9"/>
  <c r="AC20" i="8"/>
  <c r="AC19" i="8"/>
  <c r="AE116" i="2"/>
  <c r="AD6" i="9"/>
  <c r="AD12" i="9" s="1"/>
  <c r="AE115" i="2"/>
  <c r="R19" i="8"/>
  <c r="R20" i="8"/>
  <c r="T6" i="9"/>
  <c r="T12" i="9" s="1"/>
  <c r="U116" i="2"/>
  <c r="U115" i="2"/>
  <c r="U118" i="2" s="1"/>
  <c r="H18" i="9"/>
  <c r="Y19" i="8"/>
  <c r="Y20" i="8"/>
  <c r="AF18" i="9"/>
  <c r="N6" i="9"/>
  <c r="N12" i="9" s="1"/>
  <c r="O116" i="2"/>
  <c r="O115" i="2"/>
  <c r="U20" i="8"/>
  <c r="U19" i="8"/>
  <c r="N18" i="9"/>
  <c r="T116" i="2"/>
  <c r="S6" i="9"/>
  <c r="S12" i="9" s="1"/>
  <c r="T115" i="2"/>
  <c r="T118" i="2" s="1"/>
  <c r="P116" i="2"/>
  <c r="O6" i="9"/>
  <c r="O12" i="9" s="1"/>
  <c r="P115" i="2"/>
  <c r="E116" i="2"/>
  <c r="D6" i="9"/>
  <c r="D12" i="9" s="1"/>
  <c r="E115" i="2"/>
  <c r="K6" i="9"/>
  <c r="K12" i="9" s="1"/>
  <c r="L116" i="2"/>
  <c r="L115" i="2"/>
  <c r="S116" i="2"/>
  <c r="R6" i="9"/>
  <c r="R12" i="9" s="1"/>
  <c r="S115" i="2"/>
  <c r="I18" i="9"/>
  <c r="AD18" i="9"/>
  <c r="AD20" i="8"/>
  <c r="AD19" i="8"/>
  <c r="B20" i="21"/>
  <c r="B25" i="21" s="1"/>
  <c r="B29" i="21"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S18" i="9"/>
  <c r="O18" i="9"/>
  <c r="J115" i="2"/>
  <c r="J116" i="2"/>
  <c r="I6" i="9"/>
  <c r="I12" i="9" s="1"/>
  <c r="AA6" i="9"/>
  <c r="AA12" i="9" s="1"/>
  <c r="AB116" i="2"/>
  <c r="AB115" i="2"/>
  <c r="AB118" i="2" s="1"/>
  <c r="W18" i="9"/>
  <c r="E19" i="8"/>
  <c r="E20" i="8"/>
  <c r="Z20" i="8"/>
  <c r="Z19" i="8"/>
  <c r="AD116" i="2"/>
  <c r="AC6" i="9"/>
  <c r="AC12" i="9" s="1"/>
  <c r="AD115" i="2"/>
  <c r="R116" i="2"/>
  <c r="Q6" i="9"/>
  <c r="Q12" i="9" s="1"/>
  <c r="R115" i="2"/>
  <c r="I116" i="2"/>
  <c r="I115" i="2"/>
  <c r="I118" i="2" s="1"/>
  <c r="H6" i="9"/>
  <c r="H12" i="9" s="1"/>
  <c r="W6" i="9"/>
  <c r="W12" i="9" s="1"/>
  <c r="X116" i="2"/>
  <c r="X115" i="2"/>
  <c r="G19" i="8"/>
  <c r="G20" i="8"/>
  <c r="T20" i="8"/>
  <c r="T19" i="8"/>
  <c r="F19" i="8"/>
  <c r="F20" i="8"/>
  <c r="AF20" i="8"/>
  <c r="AF19" i="8"/>
  <c r="AE20" i="8"/>
  <c r="AE19" i="8"/>
  <c r="V18" i="9"/>
  <c r="AE18" i="9"/>
  <c r="Q20" i="8"/>
  <c r="Q19" i="8"/>
  <c r="AB20" i="8"/>
  <c r="AB19" i="8"/>
  <c r="S118" i="2" l="1"/>
  <c r="N118" i="2"/>
  <c r="O118" i="2"/>
  <c r="L118" i="2"/>
  <c r="G118" i="2"/>
  <c r="H118" i="2"/>
  <c r="M118" i="2"/>
  <c r="V118" i="2"/>
  <c r="AF118" i="2"/>
  <c r="R118" i="2"/>
  <c r="J118" i="2"/>
  <c r="X118" i="2"/>
  <c r="D118" i="2"/>
  <c r="AD118" i="2"/>
  <c r="E118" i="2"/>
  <c r="I122" i="2" s="1"/>
  <c r="H14" i="8" s="1"/>
  <c r="AE118" i="2"/>
  <c r="P118" i="2"/>
  <c r="W118" i="2"/>
  <c r="AC120" i="2"/>
  <c r="D21" i="9"/>
  <c r="D20" i="9"/>
  <c r="AD21" i="9"/>
  <c r="AD20" i="9"/>
  <c r="U21" i="9"/>
  <c r="U20" i="9"/>
  <c r="AF21" i="9"/>
  <c r="AF20" i="9"/>
  <c r="R21" i="9"/>
  <c r="R20" i="9"/>
  <c r="S21" i="9"/>
  <c r="S20" i="9"/>
  <c r="C21" i="9"/>
  <c r="C20" i="9"/>
  <c r="Y21" i="9"/>
  <c r="Y20" i="9"/>
  <c r="F20" i="9"/>
  <c r="F21" i="9"/>
  <c r="Q21" i="9"/>
  <c r="Q20" i="9"/>
  <c r="V21" i="9"/>
  <c r="V20" i="9"/>
  <c r="X21" i="9"/>
  <c r="X20" i="9"/>
  <c r="L20" i="9"/>
  <c r="L21" i="9"/>
  <c r="W21" i="9"/>
  <c r="W20" i="9"/>
  <c r="AB21" i="9"/>
  <c r="AB20" i="9"/>
  <c r="E20" i="9"/>
  <c r="E21" i="9"/>
  <c r="T21" i="9"/>
  <c r="T20" i="9"/>
  <c r="H21" i="9"/>
  <c r="H20" i="9"/>
  <c r="O21" i="9"/>
  <c r="O20" i="9"/>
  <c r="N21" i="9"/>
  <c r="N20" i="9"/>
  <c r="AE21" i="9"/>
  <c r="AE20" i="9"/>
  <c r="Z21" i="9"/>
  <c r="Z20" i="9"/>
  <c r="J20" i="9"/>
  <c r="J21" i="9"/>
  <c r="AA21" i="9"/>
  <c r="AA20" i="9"/>
  <c r="K21" i="9"/>
  <c r="K20" i="9"/>
  <c r="P21" i="9"/>
  <c r="P20" i="9"/>
  <c r="G21" i="9"/>
  <c r="G20" i="9"/>
  <c r="AC21" i="9"/>
  <c r="AC20" i="9"/>
  <c r="I21" i="9"/>
  <c r="I20" i="9"/>
  <c r="M21" i="9"/>
  <c r="M20" i="9"/>
  <c r="X120" i="2" l="1"/>
  <c r="AA120" i="2"/>
  <c r="J122" i="2"/>
  <c r="I14" i="8" s="1"/>
  <c r="I25" i="8" s="1"/>
  <c r="O120" i="2"/>
  <c r="T120" i="2"/>
  <c r="AB120" i="2"/>
  <c r="D122" i="2"/>
  <c r="C14" i="8" s="1"/>
  <c r="C25" i="8" s="1"/>
  <c r="G120" i="2"/>
  <c r="U120" i="2"/>
  <c r="R120" i="2"/>
  <c r="D120" i="2"/>
  <c r="C7" i="9" s="1"/>
  <c r="C13" i="9" s="1"/>
  <c r="W120" i="2"/>
  <c r="Q120" i="2"/>
  <c r="Q122" i="2"/>
  <c r="P14" i="8" s="1"/>
  <c r="E120" i="2"/>
  <c r="D9" i="6" s="1"/>
  <c r="V122" i="2"/>
  <c r="U14" i="8" s="1"/>
  <c r="W122" i="2"/>
  <c r="V14" i="8" s="1"/>
  <c r="O122" i="2"/>
  <c r="N14" i="8" s="1"/>
  <c r="AB122" i="2"/>
  <c r="AA14" i="8" s="1"/>
  <c r="AA25" i="8" s="1"/>
  <c r="K120" i="2"/>
  <c r="T122" i="2"/>
  <c r="S14" i="8" s="1"/>
  <c r="M122" i="2"/>
  <c r="L14" i="8" s="1"/>
  <c r="N120" i="2"/>
  <c r="M7" i="9" s="1"/>
  <c r="M13" i="9" s="1"/>
  <c r="V120" i="2"/>
  <c r="S120" i="2"/>
  <c r="G122" i="2"/>
  <c r="F14" i="8" s="1"/>
  <c r="Z122" i="2"/>
  <c r="Y14" i="8" s="1"/>
  <c r="Y24" i="8" s="1"/>
  <c r="U122" i="2"/>
  <c r="T14" i="8" s="1"/>
  <c r="M120" i="2"/>
  <c r="J120" i="2"/>
  <c r="AD120" i="2"/>
  <c r="AC9" i="6" s="1"/>
  <c r="AG120" i="2"/>
  <c r="Z120" i="2"/>
  <c r="F120" i="2"/>
  <c r="AD122" i="2"/>
  <c r="AC14" i="8" s="1"/>
  <c r="AC24" i="8" s="1"/>
  <c r="Y122" i="2"/>
  <c r="X14" i="8" s="1"/>
  <c r="X24" i="8" s="1"/>
  <c r="AE122" i="2"/>
  <c r="AD14" i="8" s="1"/>
  <c r="AD24" i="8" s="1"/>
  <c r="S122" i="2"/>
  <c r="R14" i="8" s="1"/>
  <c r="R24" i="8" s="1"/>
  <c r="AA122" i="2"/>
  <c r="Z14" i="8" s="1"/>
  <c r="Z24" i="8" s="1"/>
  <c r="P120" i="2"/>
  <c r="R122" i="2"/>
  <c r="Q14" i="8" s="1"/>
  <c r="L122" i="2"/>
  <c r="K14" i="8" s="1"/>
  <c r="I120" i="2"/>
  <c r="H7" i="9" s="1"/>
  <c r="H13" i="9" s="1"/>
  <c r="E122" i="2"/>
  <c r="D14" i="8" s="1"/>
  <c r="AE120" i="2"/>
  <c r="AD9" i="6" s="1"/>
  <c r="AG122" i="2"/>
  <c r="AF14" i="8" s="1"/>
  <c r="AF24" i="8" s="1"/>
  <c r="AF122" i="2"/>
  <c r="AE14" i="8" s="1"/>
  <c r="AE24" i="8" s="1"/>
  <c r="Y120" i="2"/>
  <c r="X7" i="9" s="1"/>
  <c r="X13" i="9" s="1"/>
  <c r="P122" i="2"/>
  <c r="O14" i="8" s="1"/>
  <c r="K122" i="2"/>
  <c r="J14" i="8" s="1"/>
  <c r="L120" i="2"/>
  <c r="K7" i="9" s="1"/>
  <c r="K13" i="9" s="1"/>
  <c r="H122" i="2"/>
  <c r="G14" i="8" s="1"/>
  <c r="G24" i="8" s="1"/>
  <c r="AC122" i="2"/>
  <c r="AB14" i="8" s="1"/>
  <c r="AB24" i="8" s="1"/>
  <c r="AF120" i="2"/>
  <c r="AE9" i="6" s="1"/>
  <c r="X122" i="2"/>
  <c r="W14" i="8" s="1"/>
  <c r="W24" i="8" s="1"/>
  <c r="N122" i="2"/>
  <c r="M14" i="8" s="1"/>
  <c r="H120" i="2"/>
  <c r="F122" i="2"/>
  <c r="E14" i="8" s="1"/>
  <c r="T7" i="9"/>
  <c r="T13" i="9" s="1"/>
  <c r="T9" i="6"/>
  <c r="R25" i="8"/>
  <c r="U7" i="9"/>
  <c r="U13" i="9" s="1"/>
  <c r="U9" i="6"/>
  <c r="R9" i="6"/>
  <c r="R7" i="9"/>
  <c r="R13" i="9" s="1"/>
  <c r="N25" i="8"/>
  <c r="N27" i="8" s="1"/>
  <c r="N6" i="8" s="1"/>
  <c r="N24" i="8"/>
  <c r="F9" i="6"/>
  <c r="F7" i="9"/>
  <c r="F13" i="9" s="1"/>
  <c r="L24" i="8"/>
  <c r="L25" i="8"/>
  <c r="Q25" i="8"/>
  <c r="Q24" i="8"/>
  <c r="Q27" i="8" s="1"/>
  <c r="Q6" i="8" s="1"/>
  <c r="D25" i="8"/>
  <c r="D27" i="8" s="1"/>
  <c r="D6" i="8" s="1"/>
  <c r="D24" i="8"/>
  <c r="O24" i="8"/>
  <c r="O25" i="8"/>
  <c r="J25" i="8"/>
  <c r="J24" i="8"/>
  <c r="K9" i="6"/>
  <c r="C9" i="6"/>
  <c r="H24" i="8"/>
  <c r="H25" i="8"/>
  <c r="O7" i="9"/>
  <c r="O13" i="9" s="1"/>
  <c r="O9" i="6"/>
  <c r="K25" i="8"/>
  <c r="K27" i="8" s="1"/>
  <c r="K6" i="8" s="1"/>
  <c r="K24" i="8"/>
  <c r="H9" i="6"/>
  <c r="AE7" i="9"/>
  <c r="AE13" i="9" s="1"/>
  <c r="M24" i="8"/>
  <c r="M27" i="8" s="1"/>
  <c r="M6" i="8" s="1"/>
  <c r="M25" i="8"/>
  <c r="G7" i="9"/>
  <c r="G13" i="9" s="1"/>
  <c r="G9" i="6"/>
  <c r="C24" i="8"/>
  <c r="E24" i="8"/>
  <c r="E25" i="8"/>
  <c r="I9" i="6"/>
  <c r="I7" i="9"/>
  <c r="I13" i="9" s="1"/>
  <c r="T25" i="8"/>
  <c r="T24" i="8"/>
  <c r="Y25" i="8"/>
  <c r="AB9" i="6"/>
  <c r="AB7" i="9"/>
  <c r="AB13" i="9" s="1"/>
  <c r="V9" i="6"/>
  <c r="V7" i="9"/>
  <c r="V13" i="9" s="1"/>
  <c r="AA9" i="6"/>
  <c r="AA7" i="9"/>
  <c r="AA13" i="9" s="1"/>
  <c r="P9" i="6"/>
  <c r="P7" i="9"/>
  <c r="P13" i="9" s="1"/>
  <c r="N9" i="6"/>
  <c r="N7" i="9"/>
  <c r="N13" i="9" s="1"/>
  <c r="F24" i="8"/>
  <c r="F27" i="8" s="1"/>
  <c r="F6" i="8" s="1"/>
  <c r="F25" i="8"/>
  <c r="AD25" i="8"/>
  <c r="S9" i="6"/>
  <c r="S7" i="9"/>
  <c r="S13" i="9" s="1"/>
  <c r="W7" i="9"/>
  <c r="W13" i="9" s="1"/>
  <c r="W9" i="6"/>
  <c r="U24" i="8"/>
  <c r="U25" i="8"/>
  <c r="Z7" i="9"/>
  <c r="Z13" i="9" s="1"/>
  <c r="Z9" i="6"/>
  <c r="V24" i="8"/>
  <c r="V25" i="8"/>
  <c r="Q7" i="9"/>
  <c r="Q13" i="9" s="1"/>
  <c r="Q9" i="6"/>
  <c r="AD7" i="9"/>
  <c r="AD13" i="9" s="1"/>
  <c r="L9" i="6"/>
  <c r="L7" i="9"/>
  <c r="L13" i="9" s="1"/>
  <c r="AF7" i="9"/>
  <c r="AF13" i="9" s="1"/>
  <c r="AF9" i="6"/>
  <c r="J9" i="6"/>
  <c r="J7" i="9"/>
  <c r="J13" i="9" s="1"/>
  <c r="Y9" i="6"/>
  <c r="Y7" i="9"/>
  <c r="Y13" i="9" s="1"/>
  <c r="S25" i="8"/>
  <c r="S24" i="8"/>
  <c r="P25" i="8"/>
  <c r="P24" i="8"/>
  <c r="E9" i="6"/>
  <c r="E7" i="9"/>
  <c r="E13" i="9" s="1"/>
  <c r="I24" i="8" l="1"/>
  <c r="Z25" i="8"/>
  <c r="Z27" i="8" s="1"/>
  <c r="Z6" i="8" s="1"/>
  <c r="AC25" i="8"/>
  <c r="AC27" i="8" s="1"/>
  <c r="AC6" i="8" s="1"/>
  <c r="AA24" i="8"/>
  <c r="AA27" i="8" s="1"/>
  <c r="AA6" i="8" s="1"/>
  <c r="M9" i="6"/>
  <c r="X27" i="8"/>
  <c r="X6" i="8" s="1"/>
  <c r="C27" i="8"/>
  <c r="C6" i="8" s="1"/>
  <c r="D7" i="9"/>
  <c r="D13" i="9" s="1"/>
  <c r="G25" i="8"/>
  <c r="G27" i="8" s="1"/>
  <c r="G6" i="8" s="1"/>
  <c r="X9" i="6"/>
  <c r="X10" i="6" s="1"/>
  <c r="X25" i="8"/>
  <c r="T27" i="8"/>
  <c r="T6" i="8" s="1"/>
  <c r="I27" i="8"/>
  <c r="I6" i="8" s="1"/>
  <c r="U27" i="8"/>
  <c r="U6" i="8" s="1"/>
  <c r="L27" i="8"/>
  <c r="L6" i="8" s="1"/>
  <c r="V27" i="8"/>
  <c r="V6" i="8" s="1"/>
  <c r="R27" i="8"/>
  <c r="R6" i="8" s="1"/>
  <c r="O27" i="8"/>
  <c r="O6" i="8" s="1"/>
  <c r="AE25" i="8"/>
  <c r="AE27" i="8" s="1"/>
  <c r="AE6" i="8" s="1"/>
  <c r="P27" i="8"/>
  <c r="P6" i="8" s="1"/>
  <c r="H27" i="8"/>
  <c r="H6" i="8" s="1"/>
  <c r="J27" i="8"/>
  <c r="J6" i="8" s="1"/>
  <c r="S27" i="8"/>
  <c r="S6" i="8" s="1"/>
  <c r="AC7" i="9"/>
  <c r="AC13" i="9" s="1"/>
  <c r="AC25" i="9" s="1"/>
  <c r="W25" i="8"/>
  <c r="W27" i="8" s="1"/>
  <c r="W6" i="8" s="1"/>
  <c r="AF25" i="8"/>
  <c r="AF27" i="8" s="1"/>
  <c r="AF6" i="8" s="1"/>
  <c r="AD27" i="8"/>
  <c r="AD6" i="8" s="1"/>
  <c r="E27" i="8"/>
  <c r="E6" i="8" s="1"/>
  <c r="AB25" i="8"/>
  <c r="AB27" i="8" s="1"/>
  <c r="AB6" i="8" s="1"/>
  <c r="Y27" i="8"/>
  <c r="Y6" i="8" s="1"/>
  <c r="S6" i="4"/>
  <c r="S7" i="8"/>
  <c r="C23" i="9"/>
  <c r="C25" i="9"/>
  <c r="Y23" i="9"/>
  <c r="Y25" i="9"/>
  <c r="N23" i="9"/>
  <c r="N25" i="9" s="1"/>
  <c r="Y7" i="8"/>
  <c r="Y6" i="4"/>
  <c r="AC23" i="9"/>
  <c r="AD7" i="8"/>
  <c r="AD6" i="4"/>
  <c r="S23" i="9"/>
  <c r="S25" i="9" s="1"/>
  <c r="V23" i="9"/>
  <c r="V25" i="9" s="1"/>
  <c r="H6" i="4"/>
  <c r="H7" i="8"/>
  <c r="AE6" i="4"/>
  <c r="AE7" i="8"/>
  <c r="E6" i="4"/>
  <c r="E7" i="8"/>
  <c r="G23" i="9"/>
  <c r="G25" i="9" s="1"/>
  <c r="U6" i="4"/>
  <c r="U7" i="8"/>
  <c r="V7" i="8"/>
  <c r="V6" i="4"/>
  <c r="Z23" i="9"/>
  <c r="Z25" i="9" s="1"/>
  <c r="G7" i="8"/>
  <c r="G6" i="4"/>
  <c r="F7" i="8"/>
  <c r="F6" i="4"/>
  <c r="N6" i="4"/>
  <c r="N7" i="8"/>
  <c r="AE23" i="9"/>
  <c r="AE25" i="9" s="1"/>
  <c r="J23" i="9"/>
  <c r="J25" i="9" s="1"/>
  <c r="Q6" i="4"/>
  <c r="Q7" i="8"/>
  <c r="P23" i="9"/>
  <c r="P25" i="9" s="1"/>
  <c r="O7" i="8"/>
  <c r="O6" i="4"/>
  <c r="M7" i="8"/>
  <c r="M6" i="4"/>
  <c r="U23" i="9"/>
  <c r="U25" i="9" s="1"/>
  <c r="E23" i="9"/>
  <c r="E25" i="9" s="1"/>
  <c r="AB23" i="9"/>
  <c r="AB25" i="9" s="1"/>
  <c r="Q23" i="9"/>
  <c r="Q25" i="9" s="1"/>
  <c r="P7" i="8"/>
  <c r="P6" i="4"/>
  <c r="O23" i="9"/>
  <c r="O25" i="9" s="1"/>
  <c r="M23" i="9"/>
  <c r="M25" i="9" s="1"/>
  <c r="Z7" i="8"/>
  <c r="Z6" i="4"/>
  <c r="F23" i="9"/>
  <c r="F25" i="9" s="1"/>
  <c r="I7" i="8"/>
  <c r="I6" i="4"/>
  <c r="J6" i="4"/>
  <c r="J7" i="8"/>
  <c r="AF6" i="4"/>
  <c r="AF7" i="8"/>
  <c r="D6" i="4"/>
  <c r="D7" i="8"/>
  <c r="AA23" i="9"/>
  <c r="AA25" i="9" s="1"/>
  <c r="K23" i="9"/>
  <c r="K25" i="9" s="1"/>
  <c r="X6" i="4"/>
  <c r="X7" i="8"/>
  <c r="R23" i="9"/>
  <c r="R25" i="9" s="1"/>
  <c r="T6" i="4"/>
  <c r="T7" i="8"/>
  <c r="AC7" i="8"/>
  <c r="AC6" i="4"/>
  <c r="I23" i="9"/>
  <c r="I25" i="9"/>
  <c r="S10" i="6"/>
  <c r="T10" i="6"/>
  <c r="P10" i="6"/>
  <c r="AA10" i="6"/>
  <c r="W10" i="6"/>
  <c r="J10" i="6"/>
  <c r="E10" i="6"/>
  <c r="Z10" i="6"/>
  <c r="AD10" i="6"/>
  <c r="H10" i="6"/>
  <c r="I10" i="6"/>
  <c r="U10" i="6"/>
  <c r="K10" i="6"/>
  <c r="C12" i="6"/>
  <c r="D10" i="6"/>
  <c r="AE10" i="6"/>
  <c r="C10" i="6"/>
  <c r="C7" i="8"/>
  <c r="V10" i="6"/>
  <c r="AC10" i="6"/>
  <c r="F10" i="6"/>
  <c r="N10" i="6"/>
  <c r="G10" i="6"/>
  <c r="C6" i="4"/>
  <c r="Y10" i="6"/>
  <c r="R10" i="6"/>
  <c r="L10" i="6"/>
  <c r="M10" i="6"/>
  <c r="O10" i="6"/>
  <c r="AB10" i="6"/>
  <c r="Q10" i="6"/>
  <c r="AB6" i="4"/>
  <c r="AB7" i="8"/>
  <c r="L23" i="9"/>
  <c r="L25" i="9" s="1"/>
  <c r="D23" i="9"/>
  <c r="D25" i="9" s="1"/>
  <c r="L7" i="8"/>
  <c r="L6" i="4"/>
  <c r="W6" i="4"/>
  <c r="W7" i="8"/>
  <c r="AF23" i="9"/>
  <c r="AF25" i="9" s="1"/>
  <c r="AD23" i="9"/>
  <c r="AD25" i="9" s="1"/>
  <c r="W23" i="9"/>
  <c r="W25" i="9" s="1"/>
  <c r="AA6" i="4"/>
  <c r="AA7" i="8"/>
  <c r="H23" i="9"/>
  <c r="H25" i="9"/>
  <c r="K7" i="8"/>
  <c r="K6" i="4"/>
  <c r="X23" i="9"/>
  <c r="X25" i="9" s="1"/>
  <c r="R7" i="8"/>
  <c r="R6" i="4"/>
  <c r="T23" i="9"/>
  <c r="T25" i="9"/>
  <c r="AF10" i="6" l="1"/>
  <c r="N10" i="4"/>
  <c r="N18" i="6"/>
  <c r="S18" i="6"/>
  <c r="S10" i="4"/>
  <c r="Z18" i="6"/>
  <c r="Z10" i="4"/>
  <c r="AB10" i="4"/>
  <c r="AB18" i="6"/>
  <c r="X18" i="6"/>
  <c r="X10" i="4"/>
  <c r="M18" i="6"/>
  <c r="M10" i="4"/>
  <c r="AD18" i="6"/>
  <c r="AD10" i="4"/>
  <c r="AE10" i="4"/>
  <c r="AE18" i="6"/>
  <c r="W18" i="6"/>
  <c r="W10" i="4"/>
  <c r="D18" i="6"/>
  <c r="D10" i="4"/>
  <c r="K18" i="6"/>
  <c r="K10" i="4"/>
  <c r="H18" i="6"/>
  <c r="H10" i="4"/>
  <c r="L18" i="6"/>
  <c r="L10" i="4"/>
  <c r="AA18" i="6"/>
  <c r="AA10" i="4"/>
  <c r="T10" i="4"/>
  <c r="T18" i="6"/>
  <c r="E18" i="6"/>
  <c r="E10" i="4"/>
  <c r="Y18" i="6"/>
  <c r="Y10" i="4"/>
  <c r="R18" i="6"/>
  <c r="R10" i="4"/>
  <c r="F10" i="4"/>
  <c r="F18" i="6"/>
  <c r="U18" i="6"/>
  <c r="U10" i="4"/>
  <c r="AC18" i="6"/>
  <c r="AC10" i="4"/>
  <c r="C10" i="4"/>
  <c r="C18" i="6"/>
  <c r="C19" i="6" s="1"/>
  <c r="C20" i="6" s="1"/>
  <c r="C23" i="6" s="1"/>
  <c r="AF10" i="4"/>
  <c r="AF18" i="6"/>
  <c r="O18" i="6"/>
  <c r="O10" i="4"/>
  <c r="I10" i="4"/>
  <c r="I18" i="6"/>
  <c r="Q18" i="6"/>
  <c r="Q10" i="4"/>
  <c r="J18" i="6"/>
  <c r="J10" i="4"/>
  <c r="G18" i="6"/>
  <c r="G10" i="4"/>
  <c r="V10" i="4"/>
  <c r="V18" i="6"/>
  <c r="P10" i="4"/>
  <c r="P18" i="6"/>
  <c r="B7" i="5"/>
  <c r="B8" i="5" s="1"/>
  <c r="D7" i="6"/>
  <c r="D12" i="6" s="1"/>
  <c r="B10" i="5" l="1"/>
  <c r="E8" i="7"/>
  <c r="C7" i="5"/>
  <c r="E7" i="6"/>
  <c r="E12" i="6" s="1"/>
  <c r="D19" i="6"/>
  <c r="D20" i="6" s="1"/>
  <c r="E19" i="6" s="1"/>
  <c r="E20" i="6" s="1"/>
  <c r="F19" i="6" s="1"/>
  <c r="F20" i="6" s="1"/>
  <c r="G19" i="6" s="1"/>
  <c r="G20" i="6" s="1"/>
  <c r="H19" i="6" s="1"/>
  <c r="H20" i="6" s="1"/>
  <c r="I19" i="6" s="1"/>
  <c r="I20" i="6" s="1"/>
  <c r="J19" i="6" s="1"/>
  <c r="J20" i="6" s="1"/>
  <c r="K19" i="6" s="1"/>
  <c r="K20" i="6" s="1"/>
  <c r="L19" i="6" s="1"/>
  <c r="L20" i="6" s="1"/>
  <c r="M19" i="6" s="1"/>
  <c r="M20" i="6" s="1"/>
  <c r="N19" i="6" s="1"/>
  <c r="N20" i="6" s="1"/>
  <c r="O19" i="6" s="1"/>
  <c r="O20" i="6" s="1"/>
  <c r="P19" i="6" s="1"/>
  <c r="P20" i="6" s="1"/>
  <c r="Q19" i="6" s="1"/>
  <c r="Q20" i="6" s="1"/>
  <c r="R19" i="6" s="1"/>
  <c r="R20" i="6" s="1"/>
  <c r="S19" i="6" s="1"/>
  <c r="S20" i="6" s="1"/>
  <c r="T19" i="6" s="1"/>
  <c r="T20" i="6" s="1"/>
  <c r="U19" i="6" s="1"/>
  <c r="U20" i="6" s="1"/>
  <c r="V19" i="6" s="1"/>
  <c r="V20" i="6" s="1"/>
  <c r="W19" i="6" s="1"/>
  <c r="W20" i="6" s="1"/>
  <c r="X19" i="6" s="1"/>
  <c r="X20" i="6" s="1"/>
  <c r="Y19" i="6" s="1"/>
  <c r="Y20" i="6" s="1"/>
  <c r="Z19" i="6" s="1"/>
  <c r="Z20" i="6" s="1"/>
  <c r="AA19" i="6" s="1"/>
  <c r="AA20" i="6" s="1"/>
  <c r="AB19" i="6" s="1"/>
  <c r="AB20" i="6" s="1"/>
  <c r="AC19" i="6" s="1"/>
  <c r="AC20" i="6" s="1"/>
  <c r="AD19" i="6" s="1"/>
  <c r="AD20" i="6" s="1"/>
  <c r="AE19" i="6" s="1"/>
  <c r="AE20" i="6" s="1"/>
  <c r="AF19" i="6" s="1"/>
  <c r="AF20" i="6" s="1"/>
  <c r="D7" i="5" l="1"/>
  <c r="F7" i="6"/>
  <c r="F12" i="6" s="1"/>
  <c r="E7" i="5" l="1"/>
  <c r="G7" i="6"/>
  <c r="G12" i="6" s="1"/>
  <c r="H7" i="6" l="1"/>
  <c r="H12" i="6" s="1"/>
  <c r="F7" i="5"/>
  <c r="G7" i="5" l="1"/>
  <c r="I7" i="6"/>
  <c r="I12" i="6" s="1"/>
  <c r="J7" i="6" l="1"/>
  <c r="J12" i="6" s="1"/>
  <c r="H7" i="5"/>
  <c r="I7" i="5" l="1"/>
  <c r="K7" i="6"/>
  <c r="K12" i="6" s="1"/>
  <c r="J7" i="5" l="1"/>
  <c r="L7" i="6"/>
  <c r="L12" i="6" s="1"/>
  <c r="K7" i="5" l="1"/>
  <c r="M7" i="6"/>
  <c r="M12" i="6" s="1"/>
  <c r="N7" i="6" l="1"/>
  <c r="N12" i="6" s="1"/>
  <c r="L7" i="5"/>
  <c r="M7" i="5" l="1"/>
  <c r="O7" i="6"/>
  <c r="O12" i="6" s="1"/>
  <c r="P7" i="6" l="1"/>
  <c r="P12" i="6" s="1"/>
  <c r="N7" i="5"/>
  <c r="O7" i="5" l="1"/>
  <c r="Q7" i="6"/>
  <c r="Q12" i="6" s="1"/>
  <c r="P7" i="5" l="1"/>
  <c r="R7" i="6"/>
  <c r="R12" i="6" s="1"/>
  <c r="Q7" i="5" l="1"/>
  <c r="S7" i="6"/>
  <c r="S12" i="6" s="1"/>
  <c r="T7" i="6" l="1"/>
  <c r="T12" i="6" s="1"/>
  <c r="R7" i="5"/>
  <c r="U7" i="6" l="1"/>
  <c r="U12" i="6" s="1"/>
  <c r="S7" i="5"/>
  <c r="T7" i="5" l="1"/>
  <c r="V7" i="6"/>
  <c r="V12" i="6" s="1"/>
  <c r="U7" i="5" l="1"/>
  <c r="W7" i="6"/>
  <c r="W12" i="6" s="1"/>
  <c r="X7" i="6" l="1"/>
  <c r="X12" i="6" s="1"/>
  <c r="V7" i="5"/>
  <c r="W7" i="5" l="1"/>
  <c r="Y7" i="6"/>
  <c r="Y12" i="6" s="1"/>
  <c r="X7" i="5" l="1"/>
  <c r="Z7" i="6"/>
  <c r="Z12" i="6" s="1"/>
  <c r="AA7" i="6" l="1"/>
  <c r="AA12" i="6" s="1"/>
  <c r="Y7" i="5"/>
  <c r="AB7" i="6" l="1"/>
  <c r="AB12" i="6" s="1"/>
  <c r="Z7" i="5"/>
  <c r="AA7" i="5" l="1"/>
  <c r="AC7" i="6"/>
  <c r="AC12" i="6" s="1"/>
  <c r="AD7" i="6" l="1"/>
  <c r="AD12" i="6" s="1"/>
  <c r="AB7" i="5"/>
  <c r="AC7" i="5" l="1"/>
  <c r="AE7" i="6"/>
  <c r="AE12" i="6" s="1"/>
  <c r="AD7" i="5" l="1"/>
  <c r="AF7" i="6"/>
  <c r="AF12" i="6" s="1"/>
  <c r="AE7" i="5" s="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<sst xmlns="http://schemas.openxmlformats.org/spreadsheetml/2006/main" count="276" uniqueCount="204">
  <si>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</si>
  <si>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</si>
  <si>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</si>
  <si>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</si>
  <si>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</si>
  <si>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</si>
  <si>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</si>
  <si>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</si>
  <si>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</si>
  <si>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</si>
  <si>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</si>
  <si>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</si>
  <si>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</si>
  <si>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</si>
  <si>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</si>
  <si>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</si>
  <si>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</si>
  <si>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</si>
  <si>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</si>
  <si>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</si>
  <si>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</si>
  <si>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</si>
  <si>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</si>
  <si>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</si>
  <si>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</si>
  <si>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</si>
  <si>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</si>
  <si>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</si>
  <si>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</si>
  <si>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</si>
  <si>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</si>
  <si>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</si>
  <si>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</si>
  <si>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</si>
  <si>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</si>
  <si>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</si>
  <si>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</si>
  <si>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</si>
  <si>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</si>
  <si>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</si>
  <si>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</si>
  <si>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</si>
  <si>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</si>
  <si>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</si>
  <si>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</si>
  <si>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</si>
  <si>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</si>
  <si>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</si>
  <si>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</si>
  <si>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</si>
  <si>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</si>
  <si>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</si>
  <si>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</si>
  <si>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</si>
  <si>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</si>
  <si>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</si>
  <si>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</si>
  <si>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</si>
  <si>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</si>
  <si>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</si>
  <si>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</si>
  <si>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</si>
  <si>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</si>
  <si>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</si>
  <si>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</si>
  <si>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</si>
  <si>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</si>
  <si>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</si>
  <si>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</si>
  <si>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</si>
  <si>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</si>
  <si>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</si>
  <si>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</si>
  <si>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</si>
  <si>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</si>
  <si>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</si>
  <si>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</si>
  <si>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</si>
  <si>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</si>
  <si>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</si>
  <si>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</si>
  <si>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</si>
  <si>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</si>
  <si>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</si>
  <si>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</si>
  <si>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</si>
  <si>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</si>
  <si>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</si>
  <si>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</si>
  <si>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</si>
  <si>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</si>
  <si>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</si>
  <si>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</si>
  <si>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</si>
  <si>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</si>
  <si>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</si>
  <si>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</si>
  <si>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</si>
  <si>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</si>
  <si>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</si>
  <si>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</si>
  <si>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</si>
  <si>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</si>
  <si>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</si>
  <si>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</si>
  <si>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</si>
  <si>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</si>
  <si>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</si>
  <si>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</si>
  <si>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</si>
  <si>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</si>
  <si>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</si>
  <si>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</si>
  <si>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</si>
  <si>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</si>
  <si>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</si>
  <si>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</si>
  <si>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</si>
  <si>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</si>
  <si>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</si>
  <si>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</si>
  <si>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</si>
  <si>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</si>
  <si>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</si>
  <si>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</si>
  <si>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</si>
  <si>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</si>
  <si>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</si>
  <si>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</si>
  <si>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</si>
  <si>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</si>
  <si>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</si>
  <si>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</si>
  <si>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</si>
  <si>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</si>
  <si>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</si>
  <si>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</si>
  <si>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</si>
  <si>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</si>
  <si>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</si>
  <si>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</si>
  <si>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</si>
  <si>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</si>
  <si>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</si>
  <si>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</si>
  <si>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</si>
  <si>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</si>
  <si>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</si>
  <si>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</si>
  <si>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</si>
  <si>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</si>
  <si>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</si>
  <si>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</si>
  <si>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</si>
  <si>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</si>
  <si>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</si>
  <si>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</si>
  <si>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</si>
  <si>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</si>
  <si>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</si>
  <si>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</si>
  <si>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</si>
  <si>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</si>
  <si>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</si>
  <si>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</si>
  <si>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</si>
  <si>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</si>
  <si>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</si>
  <si>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</si>
  <si>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</si>
  <si>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</si>
  <si>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</si>
  <si>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</si>
  <si>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</si>
  <si>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</si>
  <si>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No reported growth investment</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</si>
  <si>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</si>
  <si>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</si>
  <si>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</si>
  <si>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</si>
  <si>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</si>
  <si>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</si>
  <si>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</si>
  <si>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</si>
  <si>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</si>
  <si>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</si>
  <si>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</si>
  <si>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</si>
  <si>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</si>
  <si>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</si>
  <si>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</si>
  <si>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</si>
  <si>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</si>
  <si>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</si>
  <si>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</si>
  <si>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</si>
  <si>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Hauraki Stand-alone Council</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</si>
  <si>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</si>
  <si>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</si>
  <si>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</si>
  <si>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</si>
  <si>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</si>
  <si>
    <t>RFI Table F10; Lines F10.62 + F10.70 - F10.61</t>
  </si>
  <si>
    <t>RFI Table A1; Line A1.43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</si>
</sst>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3">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18" fillId="0" borderId="0" xfId="0" applyFont="1" applyAlignment="1">
      <alignment horizontal="left" vertical="center" wrapText="1"/>
    </xf>
    <xf numFmtId="0" fontId="16" fillId="0" borderId="0" xfId="0" applyFont="1" applyAlignment="1">
      <alignment horizontal="right"/>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0" fontId="0" fillId="0" borderId="0" xfId="0"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196</v>
      </c>
      <c r="C2" s="171"/>
      <c r="D2" s="60"/>
      <c r="E2" s="14"/>
      <c r="F2" s="60"/>
    </row>
    <row r="3" spans="1:6" x14ac:dyDescent="0.35">
      <c r="C3" s="14"/>
      <c r="D3" s="14"/>
    </row>
    <row r="4" spans="1:6" x14ac:dyDescent="0.35">
      <c r="A4" s="14" t="s">
        <v>157</v>
      </c>
      <c r="B4" s="14"/>
      <c r="D4" s="14"/>
    </row>
    <row r="6" spans="1:6" ht="21" x14ac:dyDescent="0.5">
      <c r="A6" s="15" t="s">
        <v>166</v>
      </c>
    </row>
    <row r="7" spans="1:6" ht="241" customHeight="1" x14ac:dyDescent="0.35">
      <c r="A7" s="107">
        <v>1</v>
      </c>
      <c r="B7" s="104" t="s">
        <v>167</v>
      </c>
    </row>
    <row r="8" spans="1:6" ht="408" customHeight="1" x14ac:dyDescent="0.35">
      <c r="A8" s="107">
        <v>2</v>
      </c>
      <c r="B8" s="104" t="s">
        <v>188</v>
      </c>
    </row>
    <row r="9" spans="1:6" ht="195.5" customHeight="1" x14ac:dyDescent="0.35">
      <c r="A9" s="107">
        <f>A8+1</f>
        <v>3</v>
      </c>
      <c r="B9" s="105" t="s">
        <v>171</v>
      </c>
    </row>
    <row r="10" spans="1:6" ht="236" customHeight="1" x14ac:dyDescent="0.35">
      <c r="A10" s="107">
        <v>4</v>
      </c>
      <c r="B10" s="105" t="s">
        <v>172</v>
      </c>
    </row>
    <row r="11" spans="1:6" ht="21" x14ac:dyDescent="0.35">
      <c r="A11" s="107">
        <f>A10+1</f>
        <v>5</v>
      </c>
      <c r="B11" s="63" t="s">
        <v>186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163</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189</v>
      </c>
      <c r="B6" s="1">
        <f>Assumptions!C17</f>
        <v>254346115.51163143</v>
      </c>
      <c r="C6" s="12">
        <f ca="1">B6+Depreciation!C18+'Cash Flow'!C13</f>
        <v>259360154.68525809</v>
      </c>
      <c r="D6" s="1">
        <f ca="1">C6+Depreciation!D18</f>
        <v>278473041.96687162</v>
      </c>
      <c r="E6" s="1">
        <f ca="1">D6+Depreciation!E18</f>
        <v>298560939.46747154</v>
      </c>
      <c r="F6" s="1">
        <f ca="1">E6+Depreciation!F18</f>
        <v>319666676.24449664</v>
      </c>
      <c r="G6" s="1">
        <f ca="1">F6+Depreciation!G18</f>
        <v>341834824.00459749</v>
      </c>
      <c r="H6" s="1">
        <f ca="1">G6+Depreciation!H18</f>
        <v>365111764.77623129</v>
      </c>
      <c r="I6" s="1">
        <f ca="1">H6+Depreciation!I18</f>
        <v>389545761.12882978</v>
      </c>
      <c r="J6" s="1">
        <f ca="1">I6+Depreciation!J18</f>
        <v>415187029.03222454</v>
      </c>
      <c r="K6" s="1">
        <f ca="1">J6+Depreciation!K18</f>
        <v>442087813.45340145</v>
      </c>
      <c r="L6" s="1">
        <f ca="1">K6+Depreciation!L18</f>
        <v>470302466.79116553</v>
      </c>
      <c r="M6" s="1">
        <f ca="1">L6+Depreciation!M18</f>
        <v>499887530.25293106</v>
      </c>
      <c r="N6" s="1">
        <f ca="1">M6+Depreciation!N18</f>
        <v>530901818.28161627</v>
      </c>
      <c r="O6" s="1">
        <f ca="1">N6+Depreciation!O18</f>
        <v>563406506.14451921</v>
      </c>
      <c r="P6" s="1">
        <f ca="1">O6+Depreciation!P18</f>
        <v>597465220.80008841</v>
      </c>
      <c r="Q6" s="1">
        <f ca="1">P6+Depreciation!Q18</f>
        <v>633144135.16268289</v>
      </c>
      <c r="R6" s="1">
        <f ca="1">Q6+Depreciation!R18</f>
        <v>670512065.889745</v>
      </c>
      <c r="S6" s="1">
        <f ca="1">R6+Depreciation!S18</f>
        <v>709640574.82029331</v>
      </c>
      <c r="T6" s="1">
        <f ca="1">S6+Depreciation!T18</f>
        <v>750604074.19828641</v>
      </c>
      <c r="U6" s="1">
        <f ca="1">T6+Depreciation!U18</f>
        <v>793479935.81921589</v>
      </c>
      <c r="V6" s="1">
        <f ca="1">U6+Depreciation!V18</f>
        <v>838348604.2432667</v>
      </c>
      <c r="W6" s="1">
        <f ca="1">V6+Depreciation!W18</f>
        <v>885293714.22353876</v>
      </c>
      <c r="X6" s="1">
        <f ca="1">W6+Depreciation!X18</f>
        <v>934402212.50316393</v>
      </c>
      <c r="Y6" s="1">
        <f ca="1">X6+Depreciation!Y18</f>
        <v>985764484.14068103</v>
      </c>
      <c r="Z6" s="1">
        <f ca="1">Y6+Depreciation!Z18</f>
        <v>1039474483.5287569</v>
      </c>
      <c r="AA6" s="1">
        <f ca="1">Z6+Depreciation!AA18</f>
        <v>1095629870.2772703</v>
      </c>
      <c r="AB6" s="1">
        <f ca="1">AA6+Depreciation!AB18</f>
        <v>1154332150.1379161</v>
      </c>
      <c r="AC6" s="1">
        <f ca="1">AB6+Depreciation!AC18</f>
        <v>1215686821.1538401</v>
      </c>
      <c r="AD6" s="1">
        <f ca="1">AC6+Depreciation!AD18</f>
        <v>1279803525.2244027</v>
      </c>
      <c r="AE6" s="1">
        <f ca="1">AD6+Depreciation!AE18</f>
        <v>1346796205.2819805</v>
      </c>
      <c r="AF6" s="1"/>
      <c r="AG6" s="1"/>
      <c r="AH6" s="1"/>
      <c r="AI6" s="1"/>
      <c r="AJ6" s="1"/>
      <c r="AK6" s="1"/>
      <c r="AL6" s="1"/>
      <c r="AM6" s="1"/>
      <c r="AN6" s="1"/>
      <c r="AO6" s="1"/>
      <c r="AP6" s="1"/>
    </row>
    <row r="7" spans="1:42" x14ac:dyDescent="0.35">
      <c r="A7" t="s">
        <v>12</v>
      </c>
      <c r="B7" s="1">
        <f>Depreciation!C12</f>
        <v>131134964.49816933</v>
      </c>
      <c r="C7" s="1">
        <f>Depreciation!D12</f>
        <v>135575781.93261042</v>
      </c>
      <c r="D7" s="1">
        <f>Depreciation!E12</f>
        <v>140522103.3509284</v>
      </c>
      <c r="E7" s="1">
        <f>Depreciation!F12</f>
        <v>146001733.61103848</v>
      </c>
      <c r="F7" s="1">
        <f>Depreciation!G12</f>
        <v>152043739.44568306</v>
      </c>
      <c r="G7" s="1">
        <f>Depreciation!H12</f>
        <v>158678501.75024596</v>
      </c>
      <c r="H7" s="1">
        <f>Depreciation!I12</f>
        <v>165937769.92482728</v>
      </c>
      <c r="I7" s="1">
        <f>Depreciation!J12</f>
        <v>173854718.34850833</v>
      </c>
      <c r="J7" s="1">
        <f>Depreciation!K12</f>
        <v>182464005.06662071</v>
      </c>
      <c r="K7" s="1">
        <f>Depreciation!L12</f>
        <v>191801832.77482221</v>
      </c>
      <c r="L7" s="1">
        <f>Depreciation!M12</f>
        <v>201906012.18687916</v>
      </c>
      <c r="M7" s="1">
        <f>Depreciation!N12</f>
        <v>212816027.87626511</v>
      </c>
      <c r="N7" s="1">
        <f>Depreciation!O12</f>
        <v>224573106.68501118</v>
      </c>
      <c r="O7" s="1">
        <f>Depreciation!P12</f>
        <v>237220288.79669049</v>
      </c>
      <c r="P7" s="1">
        <f>Depreciation!Q12</f>
        <v>250802501.57399058</v>
      </c>
      <c r="Q7" s="1">
        <f>Depreciation!R12</f>
        <v>265366636.26502886</v>
      </c>
      <c r="R7" s="1">
        <f>Depreciation!S12</f>
        <v>280961627.68640059</v>
      </c>
      <c r="S7" s="1">
        <f>Depreciation!T12</f>
        <v>297638536.99492347</v>
      </c>
      <c r="T7" s="1">
        <f>Depreciation!U12</f>
        <v>315450637.66415977</v>
      </c>
      <c r="U7" s="1">
        <f>Depreciation!V12</f>
        <v>334453504.78606313</v>
      </c>
      <c r="V7" s="1">
        <f>Depreciation!W12</f>
        <v>354705107.822519</v>
      </c>
      <c r="W7" s="1">
        <f>Depreciation!X12</f>
        <v>376265906.93612593</v>
      </c>
      <c r="X7" s="1">
        <f>Depreciation!Y12</f>
        <v>399198953.03431213</v>
      </c>
      <c r="Y7" s="1">
        <f>Depreciation!Z12</f>
        <v>423569991.66579843</v>
      </c>
      <c r="Z7" s="1">
        <f>Depreciation!AA12</f>
        <v>449447570.91351157</v>
      </c>
      <c r="AA7" s="1">
        <f>Depreciation!AB12</f>
        <v>476903153.43333137</v>
      </c>
      <c r="AB7" s="1">
        <f>Depreciation!AC12</f>
        <v>506011232.79352295</v>
      </c>
      <c r="AC7" s="1">
        <f>Depreciation!AD12</f>
        <v>536849454.27536982</v>
      </c>
      <c r="AD7" s="1">
        <f>Depreciation!AE12</f>
        <v>569498740.30139315</v>
      </c>
      <c r="AE7" s="1">
        <f>Depreciation!AF12</f>
        <v>604043420.66362274</v>
      </c>
      <c r="AF7" s="1"/>
      <c r="AG7" s="1"/>
      <c r="AH7" s="1"/>
      <c r="AI7" s="1"/>
      <c r="AJ7" s="1"/>
      <c r="AK7" s="1"/>
      <c r="AL7" s="1"/>
      <c r="AM7" s="1"/>
      <c r="AN7" s="1"/>
      <c r="AO7" s="1"/>
      <c r="AP7" s="1"/>
    </row>
    <row r="8" spans="1:42" x14ac:dyDescent="0.35">
      <c r="A8" t="s">
        <v>190</v>
      </c>
      <c r="B8" s="1">
        <f t="shared" ref="B8:AE8" si="1">B6-B7</f>
        <v>123211151.0134621</v>
      </c>
      <c r="C8" s="1">
        <f t="shared" ca="1" si="1"/>
        <v>123784372.75264767</v>
      </c>
      <c r="D8" s="1">
        <f ca="1">D6-D7</f>
        <v>137950938.61594322</v>
      </c>
      <c r="E8" s="1">
        <f t="shared" ca="1" si="1"/>
        <v>152559205.85643306</v>
      </c>
      <c r="F8" s="1">
        <f t="shared" ca="1" si="1"/>
        <v>167622936.79881358</v>
      </c>
      <c r="G8" s="1">
        <f t="shared" ca="1" si="1"/>
        <v>183156322.25435153</v>
      </c>
      <c r="H8" s="1">
        <f t="shared" ca="1" si="1"/>
        <v>199173994.85140401</v>
      </c>
      <c r="I8" s="1">
        <f t="shared" ca="1" si="1"/>
        <v>215691042.78032145</v>
      </c>
      <c r="J8" s="1">
        <f t="shared" ca="1" si="1"/>
        <v>232723023.96560383</v>
      </c>
      <c r="K8" s="1">
        <f t="shared" ca="1" si="1"/>
        <v>250285980.67857924</v>
      </c>
      <c r="L8" s="1">
        <f t="shared" ca="1" si="1"/>
        <v>268396454.60428637</v>
      </c>
      <c r="M8" s="1">
        <f t="shared" ca="1" si="1"/>
        <v>287071502.37666595</v>
      </c>
      <c r="N8" s="1">
        <f t="shared" ca="1" si="1"/>
        <v>306328711.59660506</v>
      </c>
      <c r="O8" s="1">
        <f t="shared" ca="1" si="1"/>
        <v>326186217.34782875</v>
      </c>
      <c r="P8" s="1">
        <f t="shared" ca="1" si="1"/>
        <v>346662719.22609782</v>
      </c>
      <c r="Q8" s="1">
        <f t="shared" ca="1" si="1"/>
        <v>367777498.89765406</v>
      </c>
      <c r="R8" s="1">
        <f t="shared" ca="1" si="1"/>
        <v>389550438.2033444</v>
      </c>
      <c r="S8" s="1">
        <f t="shared" ca="1" si="1"/>
        <v>412002037.82536983</v>
      </c>
      <c r="T8" s="1">
        <f t="shared" ca="1" si="1"/>
        <v>435153436.53412664</v>
      </c>
      <c r="U8" s="1">
        <f t="shared" ca="1" si="1"/>
        <v>459026431.03315276</v>
      </c>
      <c r="V8" s="1">
        <f t="shared" ca="1" si="1"/>
        <v>483643496.4207477</v>
      </c>
      <c r="W8" s="1">
        <f t="shared" ca="1" si="1"/>
        <v>509027807.28741282</v>
      </c>
      <c r="X8" s="1">
        <f t="shared" ca="1" si="1"/>
        <v>535203259.4688518</v>
      </c>
      <c r="Y8" s="1">
        <f t="shared" ca="1" si="1"/>
        <v>562194492.4748826</v>
      </c>
      <c r="Z8" s="1">
        <f t="shared" ca="1" si="1"/>
        <v>590026912.61524534</v>
      </c>
      <c r="AA8" s="1">
        <f t="shared" ca="1" si="1"/>
        <v>618726716.84393895</v>
      </c>
      <c r="AB8" s="1">
        <f t="shared" ca="1" si="1"/>
        <v>648320917.34439313</v>
      </c>
      <c r="AC8" s="1">
        <f t="shared" ca="1" si="1"/>
        <v>678837366.87847018</v>
      </c>
      <c r="AD8" s="1">
        <f t="shared" ca="1" si="1"/>
        <v>710304784.92300951</v>
      </c>
      <c r="AE8" s="1">
        <f t="shared" ca="1" si="1"/>
        <v>742752784.61835778</v>
      </c>
      <c r="AF8" s="1"/>
      <c r="AG8" s="1"/>
      <c r="AH8" s="1"/>
      <c r="AI8" s="1"/>
      <c r="AJ8" s="1"/>
      <c r="AK8" s="1"/>
      <c r="AL8" s="1"/>
      <c r="AM8" s="1"/>
      <c r="AN8" s="1"/>
      <c r="AO8" s="1"/>
      <c r="AP8" s="1"/>
    </row>
    <row r="10" spans="1:42" x14ac:dyDescent="0.35">
      <c r="A10" t="s">
        <v>17</v>
      </c>
      <c r="B10" s="1">
        <f>B8-B11</f>
        <v>94972448.919693112</v>
      </c>
      <c r="C10" s="1">
        <f ca="1">C8-C11</f>
        <v>82380681.145217195</v>
      </c>
      <c r="D10" s="1">
        <f ca="1">D8-D11</f>
        <v>84472626.651577145</v>
      </c>
      <c r="E10" s="1">
        <f t="shared" ref="E10:AE10" ca="1" si="2">E8-E11</f>
        <v>88769082.991104275</v>
      </c>
      <c r="F10" s="1">
        <f t="shared" ca="1" si="2"/>
        <v>94991974.373207405</v>
      </c>
      <c r="G10" s="1">
        <f ca="1">G8-G11</f>
        <v>103740238.18069898</v>
      </c>
      <c r="H10" s="1">
        <f t="shared" ca="1" si="2"/>
        <v>114188440.01893657</v>
      </c>
      <c r="I10" s="1">
        <f t="shared" ca="1" si="2"/>
        <v>126020411.70566535</v>
      </c>
      <c r="J10" s="1">
        <f t="shared" ca="1" si="2"/>
        <v>138178800.39475849</v>
      </c>
      <c r="K10" s="1">
        <f t="shared" ca="1" si="2"/>
        <v>150509752.01987952</v>
      </c>
      <c r="L10" s="1">
        <f t="shared" ca="1" si="2"/>
        <v>163034569.30182377</v>
      </c>
      <c r="M10" s="1">
        <f t="shared" ca="1" si="2"/>
        <v>175777679.13277274</v>
      </c>
      <c r="N10" s="1">
        <f t="shared" ca="1" si="2"/>
        <v>188766933.98977512</v>
      </c>
      <c r="O10" s="1">
        <f t="shared" ca="1" si="2"/>
        <v>202033936.63254082</v>
      </c>
      <c r="P10" s="1">
        <f t="shared" ca="1" si="2"/>
        <v>215614389.67156342</v>
      </c>
      <c r="Q10" s="1">
        <f t="shared" ca="1" si="2"/>
        <v>229548471.69255751</v>
      </c>
      <c r="R10" s="1">
        <f t="shared" ca="1" si="2"/>
        <v>243881241.72915396</v>
      </c>
      <c r="S10" s="1">
        <f t="shared" ca="1" si="2"/>
        <v>258663073.98809445</v>
      </c>
      <c r="T10" s="1">
        <f t="shared" ca="1" si="2"/>
        <v>273950124.85016429</v>
      </c>
      <c r="U10" s="1">
        <f t="shared" ca="1" si="2"/>
        <v>289804834.29619479</v>
      </c>
      <c r="V10" s="1">
        <f t="shared" ca="1" si="2"/>
        <v>306296464.04105234</v>
      </c>
      <c r="W10" s="1">
        <f t="shared" ca="1" si="2"/>
        <v>323501674.80005598</v>
      </c>
      <c r="X10" s="1">
        <f t="shared" ca="1" si="2"/>
        <v>341505145.26217115</v>
      </c>
      <c r="Y10" s="1">
        <f t="shared" ca="1" si="2"/>
        <v>360400235.50310582</v>
      </c>
      <c r="Z10" s="1">
        <f t="shared" ca="1" si="2"/>
        <v>380289697.7395944</v>
      </c>
      <c r="AA10" s="1">
        <f t="shared" ca="1" si="2"/>
        <v>400372874.24858844</v>
      </c>
      <c r="AB10" s="1">
        <f t="shared" ca="1" si="2"/>
        <v>419890002.44599563</v>
      </c>
      <c r="AC10" s="1">
        <f t="shared" ca="1" si="2"/>
        <v>438757476.74037182</v>
      </c>
      <c r="AD10" s="1">
        <f t="shared" ca="1" si="2"/>
        <v>456886188.50209177</v>
      </c>
      <c r="AE10" s="1">
        <f t="shared" ca="1" si="2"/>
        <v>474181236.89221799</v>
      </c>
      <c r="AF10" s="1"/>
      <c r="AG10" s="1"/>
      <c r="AH10" s="1"/>
      <c r="AI10" s="1"/>
      <c r="AJ10" s="1"/>
      <c r="AK10" s="1"/>
      <c r="AL10" s="1"/>
      <c r="AM10" s="1"/>
      <c r="AN10" s="1"/>
      <c r="AO10" s="1"/>
    </row>
    <row r="11" spans="1:42" x14ac:dyDescent="0.35">
      <c r="A11" t="s">
        <v>9</v>
      </c>
      <c r="B11" s="1">
        <f>Assumptions!$C$20</f>
        <v>28238702.09376898</v>
      </c>
      <c r="C11" s="1">
        <f ca="1">'Debt worksheet'!D5</f>
        <v>41403691.607430473</v>
      </c>
      <c r="D11" s="1">
        <f ca="1">'Debt worksheet'!E5</f>
        <v>53478311.964366078</v>
      </c>
      <c r="E11" s="1">
        <f ca="1">'Debt worksheet'!F5</f>
        <v>63790122.865328789</v>
      </c>
      <c r="F11" s="1">
        <f ca="1">'Debt worksheet'!G5</f>
        <v>72630962.425606176</v>
      </c>
      <c r="G11" s="1">
        <f ca="1">'Debt worksheet'!H5</f>
        <v>79416084.073652551</v>
      </c>
      <c r="H11" s="1">
        <f ca="1">'Debt worksheet'!I5</f>
        <v>84985554.832467437</v>
      </c>
      <c r="I11" s="1">
        <f ca="1">'Debt worksheet'!J5</f>
        <v>89670631.074656099</v>
      </c>
      <c r="J11" s="1">
        <f ca="1">'Debt worksheet'!K5</f>
        <v>94544223.570845336</v>
      </c>
      <c r="K11" s="1">
        <f ca="1">'Debt worksheet'!L5</f>
        <v>99776228.658699706</v>
      </c>
      <c r="L11" s="1">
        <f ca="1">'Debt worksheet'!M5</f>
        <v>105361885.30246261</v>
      </c>
      <c r="M11" s="1">
        <f ca="1">'Debt worksheet'!N5</f>
        <v>111293823.24389322</v>
      </c>
      <c r="N11" s="1">
        <f ca="1">'Debt worksheet'!O5</f>
        <v>117561777.60682994</v>
      </c>
      <c r="O11" s="1">
        <f ca="1">'Debt worksheet'!P5</f>
        <v>124152280.71528791</v>
      </c>
      <c r="P11" s="1">
        <f ca="1">'Debt worksheet'!Q5</f>
        <v>131048329.55453441</v>
      </c>
      <c r="Q11" s="1">
        <f ca="1">'Debt worksheet'!R5</f>
        <v>138229027.20509654</v>
      </c>
      <c r="R11" s="1">
        <f ca="1">'Debt worksheet'!S5</f>
        <v>145669196.47419044</v>
      </c>
      <c r="S11" s="1">
        <f ca="1">'Debt worksheet'!T5</f>
        <v>153338963.83727539</v>
      </c>
      <c r="T11" s="1">
        <f ca="1">'Debt worksheet'!U5</f>
        <v>161203311.68396232</v>
      </c>
      <c r="U11" s="1">
        <f ca="1">'Debt worksheet'!V5</f>
        <v>169221596.73695797</v>
      </c>
      <c r="V11" s="1">
        <f ca="1">'Debt worksheet'!W5</f>
        <v>177347032.37969539</v>
      </c>
      <c r="W11" s="1">
        <f ca="1">'Debt worksheet'!X5</f>
        <v>185526132.48735684</v>
      </c>
      <c r="X11" s="1">
        <f ca="1">'Debt worksheet'!Y5</f>
        <v>193698114.20668063</v>
      </c>
      <c r="Y11" s="1">
        <f ca="1">'Debt worksheet'!Z5</f>
        <v>201794256.97177678</v>
      </c>
      <c r="Z11" s="1">
        <f ca="1">'Debt worksheet'!AA5</f>
        <v>209737214.87565094</v>
      </c>
      <c r="AA11" s="1">
        <f ca="1">'Debt worksheet'!AB5</f>
        <v>218353842.59535047</v>
      </c>
      <c r="AB11" s="1">
        <f ca="1">'Debt worksheet'!AC5</f>
        <v>228430914.89839751</v>
      </c>
      <c r="AC11" s="1">
        <f ca="1">'Debt worksheet'!AD5</f>
        <v>240079890.13809839</v>
      </c>
      <c r="AD11" s="1">
        <f ca="1">'Debt worksheet'!AE5</f>
        <v>253418596.42091772</v>
      </c>
      <c r="AE11" s="1">
        <f ca="1">'Debt worksheet'!AF5</f>
        <v>268571547.72613978</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164</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1052132.4312730648</v>
      </c>
      <c r="D5" s="4">
        <f ca="1">'Profit and Loss'!D9</f>
        <v>2597449.4902368616</v>
      </c>
      <c r="E5" s="4">
        <f ca="1">'Profit and Loss'!E9</f>
        <v>4829765.1813192703</v>
      </c>
      <c r="F5" s="4">
        <f ca="1">'Profit and Loss'!F9</f>
        <v>6785266.9566376172</v>
      </c>
      <c r="G5" s="4">
        <f ca="1">'Profit and Loss'!G9</f>
        <v>9341020.2774099112</v>
      </c>
      <c r="H5" s="4">
        <f ca="1">'Profit and Loss'!H9</f>
        <v>11072707.708255999</v>
      </c>
      <c r="I5" s="4">
        <f ca="1">'Profit and Loss'!I9</f>
        <v>12489651.935828485</v>
      </c>
      <c r="J5" s="4">
        <f ca="1">'Profit and Loss'!J9</f>
        <v>12850726.983524472</v>
      </c>
      <c r="K5" s="4">
        <f ca="1">'Profit and Loss'!K9</f>
        <v>13059492.615210166</v>
      </c>
      <c r="L5" s="4">
        <f ca="1">'Profit and Loss'!L9</f>
        <v>13291168.985799704</v>
      </c>
      <c r="M5" s="4">
        <f ca="1">'Profit and Loss'!M9</f>
        <v>13548946.108277999</v>
      </c>
      <c r="N5" s="4">
        <f ca="1">'Profit and Loss'!N9</f>
        <v>13836317.976362573</v>
      </c>
      <c r="O5" s="4">
        <f ca="1">'Profit and Loss'!O9</f>
        <v>14157105.945698906</v>
      </c>
      <c r="P5" s="4">
        <f ca="1">'Profit and Loss'!P9</f>
        <v>14515483.70464338</v>
      </c>
      <c r="Q5" s="4">
        <f ca="1">'Profit and Loss'!Q9</f>
        <v>14916003.934732215</v>
      </c>
      <c r="R5" s="4">
        <f ca="1">'Profit and Loss'!R9</f>
        <v>15363626.766929887</v>
      </c>
      <c r="S5" s="4">
        <f ca="1">'Profit and Loss'!S9</f>
        <v>15863750.146091608</v>
      </c>
      <c r="T5" s="4">
        <f ca="1">'Profit and Loss'!T9</f>
        <v>16422242.222783266</v>
      </c>
      <c r="U5" s="4">
        <f ca="1">'Profit and Loss'!U9</f>
        <v>17045475.898697592</v>
      </c>
      <c r="V5" s="4">
        <f ca="1">'Profit and Loss'!V9</f>
        <v>17740365.65941</v>
      </c>
      <c r="W5" s="4">
        <f ca="1">'Profit and Loss'!W9</f>
        <v>18514406.83615467</v>
      </c>
      <c r="X5" s="4">
        <f ca="1">'Profit and Loss'!X9</f>
        <v>19375717.446694449</v>
      </c>
      <c r="Y5" s="4">
        <f ca="1">'Profit and Loss'!Y9</f>
        <v>20333082.774234664</v>
      </c>
      <c r="Z5" s="4">
        <f ca="1">'Profit and Loss'!Z9</f>
        <v>21396002.852715246</v>
      </c>
      <c r="AA5" s="4">
        <f ca="1">'Profit and Loss'!AA9</f>
        <v>21661179.781100746</v>
      </c>
      <c r="AB5" s="4">
        <f ca="1">'Profit and Loss'!AB9</f>
        <v>21169625.037778877</v>
      </c>
      <c r="AC5" s="4">
        <f ca="1">'Profit and Loss'!AC9</f>
        <v>20597616.416031435</v>
      </c>
      <c r="AD5" s="4">
        <f ca="1">'Profit and Loss'!AD9</f>
        <v>19939776.305896424</v>
      </c>
      <c r="AE5" s="4">
        <f ca="1">'Profit and Loss'!AE9</f>
        <v>19190442.726332568</v>
      </c>
      <c r="AF5" s="4">
        <f ca="1">'Profit and Loss'!AF9</f>
        <v>18343655.87475656</v>
      </c>
      <c r="AG5" s="4"/>
      <c r="AH5" s="4"/>
      <c r="AI5" s="4"/>
      <c r="AJ5" s="4"/>
      <c r="AK5" s="4"/>
      <c r="AL5" s="4"/>
      <c r="AM5" s="4"/>
      <c r="AN5" s="4"/>
      <c r="AO5" s="4"/>
      <c r="AP5" s="4"/>
    </row>
    <row r="6" spans="1:42" x14ac:dyDescent="0.35">
      <c r="A6" t="s">
        <v>21</v>
      </c>
      <c r="C6" s="4">
        <f>Depreciation!C8+Depreciation!C9</f>
        <v>3961906.7423536177</v>
      </c>
      <c r="D6" s="4">
        <f>Depreciation!D8+Depreciation!D9</f>
        <v>4440817.4344410719</v>
      </c>
      <c r="E6" s="4">
        <f>Depreciation!E8+Depreciation!E9</f>
        <v>4946321.4183179541</v>
      </c>
      <c r="F6" s="4">
        <f>Depreciation!F8+Depreciation!F9</f>
        <v>5479630.2601100886</v>
      </c>
      <c r="G6" s="4">
        <f>Depreciation!G8+Depreciation!G9</f>
        <v>6042005.8346445626</v>
      </c>
      <c r="H6" s="4">
        <f>Depreciation!H8+Depreciation!H9</f>
        <v>6634762.304562889</v>
      </c>
      <c r="I6" s="4">
        <f>Depreciation!I8+Depreciation!I9</f>
        <v>7259268.1745813126</v>
      </c>
      <c r="J6" s="4">
        <f>Depreciation!J8+Depreciation!J9</f>
        <v>7916948.423681045</v>
      </c>
      <c r="K6" s="4">
        <f>Depreciation!K8+Depreciation!K9</f>
        <v>8609286.7181123868</v>
      </c>
      <c r="L6" s="4">
        <f>Depreciation!L8+Depreciation!L9</f>
        <v>9337827.7082014866</v>
      </c>
      <c r="M6" s="4">
        <f>Depreciation!M8+Depreciation!M9</f>
        <v>10104179.412056938</v>
      </c>
      <c r="N6" s="4">
        <f>Depreciation!N8+Depreciation!N9</f>
        <v>10910015.689385943</v>
      </c>
      <c r="O6" s="4">
        <f>Depreciation!O8+Depreciation!O9</f>
        <v>11757078.80874606</v>
      </c>
      <c r="P6" s="4">
        <f>Depreciation!P8+Depreciation!P9</f>
        <v>12647182.111679289</v>
      </c>
      <c r="Q6" s="4">
        <f>Depreciation!Q8+Depreciation!Q9</f>
        <v>13582212.77730009</v>
      </c>
      <c r="R6" s="4">
        <f>Depreciation!R8+Depreciation!R9</f>
        <v>14564134.691038266</v>
      </c>
      <c r="S6" s="4">
        <f>Depreciation!S8+Depreciation!S9</f>
        <v>15594991.421371728</v>
      </c>
      <c r="T6" s="4">
        <f>Depreciation!T8+Depreciation!T9</f>
        <v>16676909.308522906</v>
      </c>
      <c r="U6" s="4">
        <f>Depreciation!U8+Depreciation!U9</f>
        <v>17812100.669236273</v>
      </c>
      <c r="V6" s="4">
        <f>Depreciation!V8+Depreciation!V9</f>
        <v>19002867.121903375</v>
      </c>
      <c r="W6" s="4">
        <f>Depreciation!W8+Depreciation!W9</f>
        <v>20251603.03645587</v>
      </c>
      <c r="X6" s="4">
        <f>Depreciation!X8+Depreciation!X9</f>
        <v>21560799.113606893</v>
      </c>
      <c r="Y6" s="4">
        <f>Depreciation!Y8+Depreciation!Y9</f>
        <v>22933046.098186247</v>
      </c>
      <c r="Z6" s="4">
        <f>Depreciation!Z8+Depreciation!Z9</f>
        <v>24371038.631486353</v>
      </c>
      <c r="AA6" s="4">
        <f>Depreciation!AA8+Depreciation!AA9</f>
        <v>25877579.24771313</v>
      </c>
      <c r="AB6" s="4">
        <f>Depreciation!AB8+Depreciation!AB9</f>
        <v>27455582.519819763</v>
      </c>
      <c r="AC6" s="4">
        <f>Depreciation!AC8+Depreciation!AC9</f>
        <v>29108079.360191569</v>
      </c>
      <c r="AD6" s="4">
        <f>Depreciation!AD8+Depreciation!AD9</f>
        <v>30838221.481846876</v>
      </c>
      <c r="AE6" s="4">
        <f>Depreciation!AE8+Depreciation!AE9</f>
        <v>32649286.026023287</v>
      </c>
      <c r="AF6" s="4">
        <f>Depreciation!AF8+Depreciation!AF9</f>
        <v>34544680.362229571</v>
      </c>
      <c r="AG6" s="4"/>
      <c r="AH6" s="4"/>
      <c r="AI6" s="4"/>
      <c r="AJ6" s="4"/>
      <c r="AK6" s="4"/>
      <c r="AL6" s="4"/>
      <c r="AM6" s="4"/>
      <c r="AN6" s="4"/>
      <c r="AO6" s="4"/>
      <c r="AP6" s="4"/>
    </row>
    <row r="7" spans="1:42" x14ac:dyDescent="0.35">
      <c r="A7" t="s">
        <v>23</v>
      </c>
      <c r="C7" s="4">
        <f ca="1">C6+C5</f>
        <v>5014039.1736266827</v>
      </c>
      <c r="D7" s="4">
        <f ca="1">D6+D5</f>
        <v>7038266.9246779336</v>
      </c>
      <c r="E7" s="4">
        <f t="shared" ref="E7:AF7" ca="1" si="1">E6+E5</f>
        <v>9776086.5996372253</v>
      </c>
      <c r="F7" s="4">
        <f t="shared" ca="1" si="1"/>
        <v>12264897.216747705</v>
      </c>
      <c r="G7" s="4">
        <f ca="1">G6+G5</f>
        <v>15383026.112054475</v>
      </c>
      <c r="H7" s="4">
        <f t="shared" ca="1" si="1"/>
        <v>17707470.012818888</v>
      </c>
      <c r="I7" s="4">
        <f t="shared" ca="1" si="1"/>
        <v>19748920.110409796</v>
      </c>
      <c r="J7" s="4">
        <f t="shared" ca="1" si="1"/>
        <v>20767675.407205515</v>
      </c>
      <c r="K7" s="4">
        <f t="shared" ca="1" si="1"/>
        <v>21668779.333322555</v>
      </c>
      <c r="L7" s="4">
        <f t="shared" ca="1" si="1"/>
        <v>22628996.69400119</v>
      </c>
      <c r="M7" s="4">
        <f t="shared" ca="1" si="1"/>
        <v>23653125.520334937</v>
      </c>
      <c r="N7" s="4">
        <f t="shared" ca="1" si="1"/>
        <v>24746333.665748514</v>
      </c>
      <c r="O7" s="4">
        <f t="shared" ca="1" si="1"/>
        <v>25914184.754444964</v>
      </c>
      <c r="P7" s="4">
        <f t="shared" ca="1" si="1"/>
        <v>27162665.816322669</v>
      </c>
      <c r="Q7" s="4">
        <f t="shared" ca="1" si="1"/>
        <v>28498216.712032303</v>
      </c>
      <c r="R7" s="4">
        <f t="shared" ca="1" si="1"/>
        <v>29927761.457968153</v>
      </c>
      <c r="S7" s="4">
        <f t="shared" ca="1" si="1"/>
        <v>31458741.567463338</v>
      </c>
      <c r="T7" s="4">
        <f t="shared" ca="1" si="1"/>
        <v>33099151.53130617</v>
      </c>
      <c r="U7" s="4">
        <f t="shared" ca="1" si="1"/>
        <v>34857576.567933865</v>
      </c>
      <c r="V7" s="4">
        <f t="shared" ca="1" si="1"/>
        <v>36743232.781313375</v>
      </c>
      <c r="W7" s="4">
        <f t="shared" ca="1" si="1"/>
        <v>38766009.872610539</v>
      </c>
      <c r="X7" s="4">
        <f t="shared" ca="1" si="1"/>
        <v>40936516.560301341</v>
      </c>
      <c r="Y7" s="4">
        <f t="shared" ca="1" si="1"/>
        <v>43266128.872420907</v>
      </c>
      <c r="Z7" s="4">
        <f t="shared" ca="1" si="1"/>
        <v>45767041.484201595</v>
      </c>
      <c r="AA7" s="4">
        <f t="shared" ca="1" si="1"/>
        <v>47538759.028813876</v>
      </c>
      <c r="AB7" s="4">
        <f t="shared" ca="1" si="1"/>
        <v>48625207.557598636</v>
      </c>
      <c r="AC7" s="4">
        <f t="shared" ca="1" si="1"/>
        <v>49705695.776223004</v>
      </c>
      <c r="AD7" s="4">
        <f t="shared" ca="1" si="1"/>
        <v>50777997.7877433</v>
      </c>
      <c r="AE7" s="4">
        <f t="shared" ca="1" si="1"/>
        <v>51839728.752355859</v>
      </c>
      <c r="AF7" s="4">
        <f t="shared" ca="1" si="1"/>
        <v>52888336.23698613</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18179028.687288176</v>
      </c>
      <c r="D10" s="9">
        <f>Investment!D25</f>
        <v>19112887.281613536</v>
      </c>
      <c r="E10" s="9">
        <f>Investment!E25</f>
        <v>20087897.500599936</v>
      </c>
      <c r="F10" s="9">
        <f>Investment!F25</f>
        <v>21105736.777025096</v>
      </c>
      <c r="G10" s="9">
        <f>Investment!G25</f>
        <v>22168147.760100849</v>
      </c>
      <c r="H10" s="9">
        <f>Investment!H25</f>
        <v>23276940.771633774</v>
      </c>
      <c r="I10" s="9">
        <f>Investment!I25</f>
        <v>24433996.352598462</v>
      </c>
      <c r="J10" s="9">
        <f>Investment!J25</f>
        <v>25641267.903394748</v>
      </c>
      <c r="K10" s="9">
        <f>Investment!K25</f>
        <v>26900784.421176929</v>
      </c>
      <c r="L10" s="9">
        <f>Investment!L25</f>
        <v>28214653.337764092</v>
      </c>
      <c r="M10" s="9">
        <f>Investment!M25</f>
        <v>29585063.461765546</v>
      </c>
      <c r="N10" s="9">
        <f>Investment!N25</f>
        <v>31014288.028685227</v>
      </c>
      <c r="O10" s="9">
        <f>Investment!O25</f>
        <v>32504687.862902928</v>
      </c>
      <c r="P10" s="9">
        <f>Investment!P25</f>
        <v>34058714.655569173</v>
      </c>
      <c r="Q10" s="9">
        <f>Investment!Q25</f>
        <v>35678914.362594441</v>
      </c>
      <c r="R10" s="9">
        <f>Investment!R25</f>
        <v>37367930.727062047</v>
      </c>
      <c r="S10" s="9">
        <f>Investment!S25</f>
        <v>39128508.930548266</v>
      </c>
      <c r="T10" s="9">
        <f>Investment!T25</f>
        <v>40963499.377993092</v>
      </c>
      <c r="U10" s="9">
        <f>Investment!U25</f>
        <v>42875861.620929502</v>
      </c>
      <c r="V10" s="9">
        <f>Investment!V25</f>
        <v>44868668.424050793</v>
      </c>
      <c r="W10" s="9">
        <f>Investment!W25</f>
        <v>46945109.98027201</v>
      </c>
      <c r="X10" s="9">
        <f>Investment!X25</f>
        <v>49108498.279625133</v>
      </c>
      <c r="Y10" s="9">
        <f>Investment!Y25</f>
        <v>51362271.63751708</v>
      </c>
      <c r="Z10" s="9">
        <f>Investment!Z25</f>
        <v>53709999.388075769</v>
      </c>
      <c r="AA10" s="9">
        <f>Investment!AA25</f>
        <v>56155386.748513415</v>
      </c>
      <c r="AB10" s="9">
        <f>Investment!AB25</f>
        <v>58702279.860645652</v>
      </c>
      <c r="AC10" s="9">
        <f>Investment!AC25</f>
        <v>61354671.01592388</v>
      </c>
      <c r="AD10" s="9">
        <f>Investment!AD25</f>
        <v>64116704.070562631</v>
      </c>
      <c r="AE10" s="9">
        <f>Investment!AE25</f>
        <v>66992680.057577938</v>
      </c>
      <c r="AF10" s="9">
        <f>Investment!AF25</f>
        <v>69987063.002793968</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-13164989.513661493</v>
      </c>
      <c r="D12" s="1">
        <f t="shared" ref="D12:AF12" ca="1" si="2">D7-D9-D10</f>
        <v>-12074620.356935602</v>
      </c>
      <c r="E12" s="1">
        <f ca="1">E7-E9-E10</f>
        <v>-10311810.90096271</v>
      </c>
      <c r="F12" s="1">
        <f t="shared" ca="1" si="2"/>
        <v>-8840839.5602773912</v>
      </c>
      <c r="G12" s="1">
        <f ca="1">G7-G9-G10</f>
        <v>-6785121.6480463743</v>
      </c>
      <c r="H12" s="1">
        <f t="shared" ca="1" si="2"/>
        <v>-5569470.7588148862</v>
      </c>
      <c r="I12" s="1">
        <f t="shared" ca="1" si="2"/>
        <v>-4685076.242188666</v>
      </c>
      <c r="J12" s="1">
        <f t="shared" ca="1" si="2"/>
        <v>-4873592.4961892329</v>
      </c>
      <c r="K12" s="1">
        <f t="shared" ca="1" si="2"/>
        <v>-5232005.0878543742</v>
      </c>
      <c r="L12" s="1">
        <f t="shared" ca="1" si="2"/>
        <v>-5585656.6437629014</v>
      </c>
      <c r="M12" s="1">
        <f t="shared" ca="1" si="2"/>
        <v>-5931937.9414306097</v>
      </c>
      <c r="N12" s="1">
        <f t="shared" ca="1" si="2"/>
        <v>-6267954.3629367128</v>
      </c>
      <c r="O12" s="1">
        <f t="shared" ca="1" si="2"/>
        <v>-6590503.1084579639</v>
      </c>
      <c r="P12" s="1">
        <f t="shared" ca="1" si="2"/>
        <v>-6896048.839246504</v>
      </c>
      <c r="Q12" s="1">
        <f t="shared" ca="1" si="2"/>
        <v>-7180697.6505621374</v>
      </c>
      <c r="R12" s="1">
        <f t="shared" ca="1" si="2"/>
        <v>-7440169.2690938935</v>
      </c>
      <c r="S12" s="1">
        <f t="shared" ca="1" si="2"/>
        <v>-7669767.3630849272</v>
      </c>
      <c r="T12" s="1">
        <f t="shared" ca="1" si="2"/>
        <v>-7864347.846686922</v>
      </c>
      <c r="U12" s="1">
        <f t="shared" ca="1" si="2"/>
        <v>-8018285.0529956371</v>
      </c>
      <c r="V12" s="1">
        <f t="shared" ca="1" si="2"/>
        <v>-8125435.6427374184</v>
      </c>
      <c r="W12" s="1">
        <f t="shared" ca="1" si="2"/>
        <v>-8179100.1076614708</v>
      </c>
      <c r="X12" s="1">
        <f t="shared" ca="1" si="2"/>
        <v>-8171981.7193237916</v>
      </c>
      <c r="Y12" s="1">
        <f t="shared" ca="1" si="2"/>
        <v>-8096142.7650961727</v>
      </c>
      <c r="Z12" s="1">
        <f t="shared" ca="1" si="2"/>
        <v>-7942957.9038741738</v>
      </c>
      <c r="AA12" s="1">
        <f t="shared" ca="1" si="2"/>
        <v>-8616627.7196995392</v>
      </c>
      <c r="AB12" s="1">
        <f t="shared" ca="1" si="2"/>
        <v>-10077072.303047016</v>
      </c>
      <c r="AC12" s="1">
        <f t="shared" ca="1" si="2"/>
        <v>-11648975.239700876</v>
      </c>
      <c r="AD12" s="1">
        <f t="shared" ca="1" si="2"/>
        <v>-13338706.282819331</v>
      </c>
      <c r="AE12" s="1">
        <f t="shared" ca="1" si="2"/>
        <v>-15152951.305222079</v>
      </c>
      <c r="AF12" s="1">
        <f t="shared" ca="1" si="2"/>
        <v>-17098726.765807837</v>
      </c>
      <c r="AG12" s="1"/>
      <c r="AH12" s="1"/>
      <c r="AI12" s="1"/>
      <c r="AJ12" s="1"/>
      <c r="AK12" s="1"/>
      <c r="AL12" s="1"/>
      <c r="AM12" s="1"/>
      <c r="AN12" s="1"/>
      <c r="AO12" s="1"/>
      <c r="AP12" s="1"/>
    </row>
    <row r="13" spans="1:42" x14ac:dyDescent="0.35">
      <c r="A13" t="s">
        <v>19</v>
      </c>
      <c r="C13" s="1">
        <f ca="1">C12</f>
        <v>-13164989.513661493</v>
      </c>
      <c r="D13" s="1">
        <f ca="1">D12</f>
        <v>-12074620.356935602</v>
      </c>
      <c r="E13" s="1">
        <f ca="1">E12</f>
        <v>-10311810.90096271</v>
      </c>
      <c r="F13" s="1">
        <f t="shared" ref="F13:AF13" ca="1" si="3">F12</f>
        <v>-8840839.5602773912</v>
      </c>
      <c r="G13" s="1">
        <f ca="1">G12</f>
        <v>-6785121.6480463743</v>
      </c>
      <c r="H13" s="1">
        <f t="shared" ca="1" si="3"/>
        <v>-5569470.7588148862</v>
      </c>
      <c r="I13" s="1">
        <f t="shared" ca="1" si="3"/>
        <v>-4685076.242188666</v>
      </c>
      <c r="J13" s="1">
        <f t="shared" ca="1" si="3"/>
        <v>-4873592.4961892329</v>
      </c>
      <c r="K13" s="1">
        <f t="shared" ca="1" si="3"/>
        <v>-5232005.0878543742</v>
      </c>
      <c r="L13" s="1">
        <f t="shared" ca="1" si="3"/>
        <v>-5585656.6437629014</v>
      </c>
      <c r="M13" s="1">
        <f t="shared" ca="1" si="3"/>
        <v>-5931937.9414306097</v>
      </c>
      <c r="N13" s="1">
        <f t="shared" ca="1" si="3"/>
        <v>-6267954.3629367128</v>
      </c>
      <c r="O13" s="1">
        <f t="shared" ca="1" si="3"/>
        <v>-6590503.1084579639</v>
      </c>
      <c r="P13" s="1">
        <f t="shared" ca="1" si="3"/>
        <v>-6896048.839246504</v>
      </c>
      <c r="Q13" s="1">
        <f t="shared" ca="1" si="3"/>
        <v>-7180697.6505621374</v>
      </c>
      <c r="R13" s="1">
        <f t="shared" ca="1" si="3"/>
        <v>-7440169.2690938935</v>
      </c>
      <c r="S13" s="1">
        <f t="shared" ca="1" si="3"/>
        <v>-7669767.3630849272</v>
      </c>
      <c r="T13" s="1">
        <f t="shared" ca="1" si="3"/>
        <v>-7864347.846686922</v>
      </c>
      <c r="U13" s="1">
        <f t="shared" ca="1" si="3"/>
        <v>-8018285.0529956371</v>
      </c>
      <c r="V13" s="1">
        <f t="shared" ca="1" si="3"/>
        <v>-8125435.6427374184</v>
      </c>
      <c r="W13" s="1">
        <f t="shared" ca="1" si="3"/>
        <v>-8179100.1076614708</v>
      </c>
      <c r="X13" s="1">
        <f t="shared" ca="1" si="3"/>
        <v>-8171981.7193237916</v>
      </c>
      <c r="Y13" s="1">
        <f t="shared" ca="1" si="3"/>
        <v>-8096142.7650961727</v>
      </c>
      <c r="Z13" s="1">
        <f t="shared" ca="1" si="3"/>
        <v>-7942957.9038741738</v>
      </c>
      <c r="AA13" s="1">
        <f t="shared" ca="1" si="3"/>
        <v>-8616627.7196995392</v>
      </c>
      <c r="AB13" s="1">
        <f t="shared" ca="1" si="3"/>
        <v>-10077072.303047016</v>
      </c>
      <c r="AC13" s="1">
        <f t="shared" ca="1" si="3"/>
        <v>-11648975.239700876</v>
      </c>
      <c r="AD13" s="1">
        <f t="shared" ca="1" si="3"/>
        <v>-13338706.282819331</v>
      </c>
      <c r="AE13" s="1">
        <f t="shared" ca="1" si="3"/>
        <v>-15152951.305222079</v>
      </c>
      <c r="AF13" s="1">
        <f t="shared" ca="1" si="3"/>
        <v>-17098726.765807837</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138</v>
      </c>
      <c r="C6" s="9">
        <f>Assumptions!C17</f>
        <v>254346115.51163143</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127173057.75581571</v>
      </c>
      <c r="D7" s="9">
        <f>C12</f>
        <v>131134964.49816933</v>
      </c>
      <c r="E7" s="9">
        <f>D12</f>
        <v>135575781.93261042</v>
      </c>
      <c r="F7" s="9">
        <f t="shared" ref="F7:H7" si="1">E12</f>
        <v>140522103.3509284</v>
      </c>
      <c r="G7" s="9">
        <f t="shared" si="1"/>
        <v>146001733.61103848</v>
      </c>
      <c r="H7" s="9">
        <f t="shared" si="1"/>
        <v>152043739.44568306</v>
      </c>
      <c r="I7" s="9">
        <f t="shared" ref="I7" si="2">H12</f>
        <v>158678501.75024596</v>
      </c>
      <c r="J7" s="9">
        <f t="shared" ref="J7" si="3">I12</f>
        <v>165937769.92482728</v>
      </c>
      <c r="K7" s="9">
        <f t="shared" ref="K7" si="4">J12</f>
        <v>173854718.34850833</v>
      </c>
      <c r="L7" s="9">
        <f t="shared" ref="L7" si="5">K12</f>
        <v>182464005.06662071</v>
      </c>
      <c r="M7" s="9">
        <f t="shared" ref="M7" si="6">L12</f>
        <v>191801832.77482221</v>
      </c>
      <c r="N7" s="9">
        <f t="shared" ref="N7" si="7">M12</f>
        <v>201906012.18687916</v>
      </c>
      <c r="O7" s="9">
        <f t="shared" ref="O7" si="8">N12</f>
        <v>212816027.87626511</v>
      </c>
      <c r="P7" s="9">
        <f t="shared" ref="P7" si="9">O12</f>
        <v>224573106.68501118</v>
      </c>
      <c r="Q7" s="9">
        <f t="shared" ref="Q7" si="10">P12</f>
        <v>237220288.79669049</v>
      </c>
      <c r="R7" s="9">
        <f t="shared" ref="R7" si="11">Q12</f>
        <v>250802501.57399058</v>
      </c>
      <c r="S7" s="9">
        <f t="shared" ref="S7" si="12">R12</f>
        <v>265366636.26502886</v>
      </c>
      <c r="T7" s="9">
        <f t="shared" ref="T7" si="13">S12</f>
        <v>280961627.68640059</v>
      </c>
      <c r="U7" s="9">
        <f t="shared" ref="U7" si="14">T12</f>
        <v>297638536.99492347</v>
      </c>
      <c r="V7" s="9">
        <f t="shared" ref="V7" si="15">U12</f>
        <v>315450637.66415977</v>
      </c>
      <c r="W7" s="9">
        <f t="shared" ref="W7" si="16">V12</f>
        <v>334453504.78606313</v>
      </c>
      <c r="X7" s="9">
        <f t="shared" ref="X7" si="17">W12</f>
        <v>354705107.822519</v>
      </c>
      <c r="Y7" s="9">
        <f t="shared" ref="Y7" si="18">X12</f>
        <v>376265906.93612593</v>
      </c>
      <c r="Z7" s="9">
        <f t="shared" ref="Z7" si="19">Y12</f>
        <v>399198953.03431213</v>
      </c>
      <c r="AA7" s="9">
        <f t="shared" ref="AA7" si="20">Z12</f>
        <v>423569991.66579843</v>
      </c>
      <c r="AB7" s="9">
        <f t="shared" ref="AB7" si="21">AA12</f>
        <v>449447570.91351157</v>
      </c>
      <c r="AC7" s="9">
        <f t="shared" ref="AC7" si="22">AB12</f>
        <v>476903153.43333137</v>
      </c>
      <c r="AD7" s="9">
        <f t="shared" ref="AD7" si="23">AC12</f>
        <v>506011232.79352295</v>
      </c>
      <c r="AE7" s="9">
        <f t="shared" ref="AE7" si="24">AD12</f>
        <v>536849454.27536982</v>
      </c>
      <c r="AF7" s="9">
        <f t="shared" ref="AF7" si="25">AE12</f>
        <v>569498740.30139315</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139</v>
      </c>
      <c r="C8" s="9">
        <f>Assumptions!D111*Assumptions!D11</f>
        <v>3620695.8156751883</v>
      </c>
      <c r="D8" s="9">
        <f>Assumptions!E111*Assumptions!E11</f>
        <v>3736558.081776794</v>
      </c>
      <c r="E8" s="9">
        <f>Assumptions!F111*Assumptions!F11</f>
        <v>3856127.9403936514</v>
      </c>
      <c r="F8" s="9">
        <f>Assumptions!G111*Assumptions!G11</f>
        <v>3979524.0344862482</v>
      </c>
      <c r="G8" s="9">
        <f>Assumptions!H111*Assumptions!H11</f>
        <v>4106868.8035898083</v>
      </c>
      <c r="H8" s="9">
        <f>Assumptions!I111*Assumptions!I11</f>
        <v>4238288.6053046817</v>
      </c>
      <c r="I8" s="9">
        <f>Assumptions!J111*Assumptions!J11</f>
        <v>4373913.8406744311</v>
      </c>
      <c r="J8" s="9">
        <f>Assumptions!K111*Assumptions!K11</f>
        <v>4513879.0835760133</v>
      </c>
      <c r="K8" s="9">
        <f>Assumptions!L111*Assumptions!L11</f>
        <v>4658323.2142504463</v>
      </c>
      <c r="L8" s="9">
        <f>Assumptions!M111*Assumptions!M11</f>
        <v>4807389.5571064604</v>
      </c>
      <c r="M8" s="9">
        <f>Assumptions!N111*Assumptions!N11</f>
        <v>4961226.0229338668</v>
      </c>
      <c r="N8" s="9">
        <f>Assumptions!O111*Assumptions!O11</f>
        <v>5119985.2556677507</v>
      </c>
      <c r="O8" s="9">
        <f>Assumptions!P111*Assumptions!P11</f>
        <v>5283824.7838491192</v>
      </c>
      <c r="P8" s="9">
        <f>Assumptions!Q111*Assumptions!Q11</f>
        <v>5452907.1769322902</v>
      </c>
      <c r="Q8" s="9">
        <f>Assumptions!R111*Assumptions!R11</f>
        <v>5627400.2065941226</v>
      </c>
      <c r="R8" s="9">
        <f>Assumptions!S111*Assumptions!S11</f>
        <v>5807477.0132051352</v>
      </c>
      <c r="S8" s="9">
        <f>Assumptions!T111*Assumptions!T11</f>
        <v>5993316.2776277</v>
      </c>
      <c r="T8" s="9">
        <f>Assumptions!U111*Assumptions!U11</f>
        <v>6185102.398511786</v>
      </c>
      <c r="U8" s="9">
        <f>Assumptions!V111*Assumptions!V11</f>
        <v>6383025.675264162</v>
      </c>
      <c r="V8" s="9">
        <f>Assumptions!W111*Assumptions!W11</f>
        <v>6587282.496872616</v>
      </c>
      <c r="W8" s="9">
        <f>Assumptions!X111*Assumptions!X11</f>
        <v>6798075.5367725408</v>
      </c>
      <c r="X8" s="9">
        <f>Assumptions!Y111*Assumptions!Y11</f>
        <v>7015613.9539492615</v>
      </c>
      <c r="Y8" s="9">
        <f>Assumptions!Z111*Assumptions!Z11</f>
        <v>7240113.6004756363</v>
      </c>
      <c r="Z8" s="9">
        <f>Assumptions!AA111*Assumptions!AA11</f>
        <v>7471797.2356908573</v>
      </c>
      <c r="AA8" s="9">
        <f>Assumptions!AB111*Assumptions!AB11</f>
        <v>7710894.7472329661</v>
      </c>
      <c r="AB8" s="9">
        <f>Assumptions!AC111*Assumptions!AC11</f>
        <v>7957643.3791444199</v>
      </c>
      <c r="AC8" s="9">
        <f>Assumptions!AD111*Assumptions!AD11</f>
        <v>8212287.9672770407</v>
      </c>
      <c r="AD8" s="9">
        <f>Assumptions!AE111*Assumptions!AE11</f>
        <v>8475081.1822299063</v>
      </c>
      <c r="AE8" s="9">
        <f>Assumptions!AF111*Assumptions!AF11</f>
        <v>8746283.7800612636</v>
      </c>
      <c r="AF8" s="9">
        <f>Assumptions!AG111*Assumptions!AG11</f>
        <v>9026164.861023223</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341210.92667842942</v>
      </c>
      <c r="D9" s="9">
        <f>Assumptions!E120*Assumptions!E11</f>
        <v>704259.35266427824</v>
      </c>
      <c r="E9" s="9">
        <f>Assumptions!F120*Assumptions!F11</f>
        <v>1090193.4779243025</v>
      </c>
      <c r="F9" s="9">
        <f>Assumptions!G120*Assumptions!G11</f>
        <v>1500106.2256238405</v>
      </c>
      <c r="G9" s="9">
        <f>Assumptions!H120*Assumptions!H11</f>
        <v>1935137.0310547545</v>
      </c>
      <c r="H9" s="9">
        <f>Assumptions!I120*Assumptions!I11</f>
        <v>2396473.6992582073</v>
      </c>
      <c r="I9" s="9">
        <f>Assumptions!J120*Assumptions!J11</f>
        <v>2885354.3339068815</v>
      </c>
      <c r="J9" s="9">
        <f>Assumptions!K120*Assumptions!K11</f>
        <v>3403069.3401050312</v>
      </c>
      <c r="K9" s="9">
        <f>Assumptions!L120*Assumptions!L11</f>
        <v>3950963.5038619409</v>
      </c>
      <c r="L9" s="9">
        <f>Assumptions!M120*Assumptions!M11</f>
        <v>4530438.1510950262</v>
      </c>
      <c r="M9" s="9">
        <f>Assumptions!N120*Assumptions!N11</f>
        <v>5142953.3891230719</v>
      </c>
      <c r="N9" s="9">
        <f>Assumptions!O120*Assumptions!O11</f>
        <v>5790030.4337181933</v>
      </c>
      <c r="O9" s="9">
        <f>Assumptions!P120*Assumptions!P11</f>
        <v>6473254.0248969411</v>
      </c>
      <c r="P9" s="9">
        <f>Assumptions!Q120*Assumptions!Q11</f>
        <v>7194274.9347470002</v>
      </c>
      <c r="Q9" s="9">
        <f>Assumptions!R120*Assumptions!R11</f>
        <v>7954812.570705967</v>
      </c>
      <c r="R9" s="9">
        <f>Assumptions!S120*Assumptions!S11</f>
        <v>8756657.6778331306</v>
      </c>
      <c r="S9" s="9">
        <f>Assumptions!T120*Assumptions!T11</f>
        <v>9601675.1437440291</v>
      </c>
      <c r="T9" s="9">
        <f>Assumptions!U120*Assumptions!U11</f>
        <v>10491806.91001112</v>
      </c>
      <c r="U9" s="9">
        <f>Assumptions!V120*Assumptions!V11</f>
        <v>11429074.993972111</v>
      </c>
      <c r="V9" s="9">
        <f>Assumptions!W120*Assumptions!W11</f>
        <v>12415584.62503076</v>
      </c>
      <c r="W9" s="9">
        <f>Assumptions!X120*Assumptions!X11</f>
        <v>13453527.49968333</v>
      </c>
      <c r="X9" s="9">
        <f>Assumptions!Y120*Assumptions!Y11</f>
        <v>14545185.159657631</v>
      </c>
      <c r="Y9" s="9">
        <f>Assumptions!Z120*Assumptions!Z11</f>
        <v>15692932.497710612</v>
      </c>
      <c r="Z9" s="9">
        <f>Assumptions!AA120*Assumptions!AA11</f>
        <v>16899241.395795494</v>
      </c>
      <c r="AA9" s="9">
        <f>Assumptions!AB120*Assumptions!AB11</f>
        <v>18166684.500480164</v>
      </c>
      <c r="AB9" s="9">
        <f>Assumptions!AC120*Assumptions!AC11</f>
        <v>19497939.140675344</v>
      </c>
      <c r="AC9" s="9">
        <f>Assumptions!AD120*Assumptions!AD11</f>
        <v>20895791.392914526</v>
      </c>
      <c r="AD9" s="9">
        <f>Assumptions!AE120*Assumptions!AE11</f>
        <v>22363140.29961697</v>
      </c>
      <c r="AE9" s="9">
        <f>Assumptions!AF120*Assumptions!AF11</f>
        <v>23903002.245962024</v>
      </c>
      <c r="AF9" s="9">
        <f>Assumptions!AG120*Assumptions!AG11</f>
        <v>25518515.50120635</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3961906.7423536177</v>
      </c>
      <c r="D10" s="9">
        <f>SUM($C$8:D9)</f>
        <v>8402724.1767946891</v>
      </c>
      <c r="E10" s="9">
        <f>SUM($C$8:E9)</f>
        <v>13349045.595112644</v>
      </c>
      <c r="F10" s="9">
        <f>SUM($C$8:F9)</f>
        <v>18828675.855222732</v>
      </c>
      <c r="G10" s="9">
        <f>SUM($C$8:G9)</f>
        <v>24870681.689867292</v>
      </c>
      <c r="H10" s="9">
        <f>SUM($C$8:H9)</f>
        <v>31505443.994430181</v>
      </c>
      <c r="I10" s="9">
        <f>SUM($C$8:I9)</f>
        <v>38764712.169011489</v>
      </c>
      <c r="J10" s="9">
        <f>SUM($C$8:J9)</f>
        <v>46681660.592692547</v>
      </c>
      <c r="K10" s="9">
        <f>SUM($C$8:K9)</f>
        <v>55290947.310804926</v>
      </c>
      <c r="L10" s="9">
        <f>SUM($C$8:L9)</f>
        <v>64628775.019006409</v>
      </c>
      <c r="M10" s="9">
        <f>SUM($C$8:M9)</f>
        <v>74732954.431063354</v>
      </c>
      <c r="N10" s="9">
        <f>SUM($C$8:N9)</f>
        <v>85642970.12044929</v>
      </c>
      <c r="O10" s="9">
        <f>SUM($C$8:O9)</f>
        <v>97400048.92919533</v>
      </c>
      <c r="P10" s="9">
        <f>SUM($C$8:P9)</f>
        <v>110047231.04087463</v>
      </c>
      <c r="Q10" s="9">
        <f>SUM($C$8:Q9)</f>
        <v>123629443.8181747</v>
      </c>
      <c r="R10" s="9">
        <f>SUM($C$8:R9)</f>
        <v>138193578.50921297</v>
      </c>
      <c r="S10" s="9">
        <f>SUM($C$8:S9)</f>
        <v>153788569.93058473</v>
      </c>
      <c r="T10" s="9">
        <f>SUM($C$8:T9)</f>
        <v>170465479.23910764</v>
      </c>
      <c r="U10" s="9">
        <f>SUM($C$8:U9)</f>
        <v>188277579.90834391</v>
      </c>
      <c r="V10" s="9">
        <f>SUM($C$8:V9)</f>
        <v>207280447.03024733</v>
      </c>
      <c r="W10" s="9">
        <f>SUM($C$8:W9)</f>
        <v>227532050.06670317</v>
      </c>
      <c r="X10" s="9">
        <f>SUM($C$8:X9)</f>
        <v>249092849.1803101</v>
      </c>
      <c r="Y10" s="9">
        <f>SUM($C$8:Y9)</f>
        <v>272025895.27849633</v>
      </c>
      <c r="Z10" s="9">
        <f>SUM($C$8:Z9)</f>
        <v>296396933.90998268</v>
      </c>
      <c r="AA10" s="9">
        <f>SUM($C$8:AA9)</f>
        <v>322274513.15769589</v>
      </c>
      <c r="AB10" s="9">
        <f>SUM($C$8:AB9)</f>
        <v>349730095.67751569</v>
      </c>
      <c r="AC10" s="9">
        <f>SUM($C$8:AC9)</f>
        <v>378838175.03770727</v>
      </c>
      <c r="AD10" s="9">
        <f>SUM($C$8:AD9)</f>
        <v>409676396.51955414</v>
      </c>
      <c r="AE10" s="9">
        <f>SUM($C$8:AE9)</f>
        <v>442325682.54557753</v>
      </c>
      <c r="AF10" s="9">
        <f>SUM($C$8:AF9)</f>
        <v>476870362.90780705</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131134964.49816933</v>
      </c>
      <c r="D12" s="9">
        <f>D7+D8+D9</f>
        <v>135575781.93261042</v>
      </c>
      <c r="E12" s="9">
        <f>E7+E8+E9</f>
        <v>140522103.3509284</v>
      </c>
      <c r="F12" s="9">
        <f t="shared" ref="F12:H12" si="26">F7+F8+F9</f>
        <v>146001733.61103848</v>
      </c>
      <c r="G12" s="9">
        <f t="shared" si="26"/>
        <v>152043739.44568306</v>
      </c>
      <c r="H12" s="9">
        <f t="shared" si="26"/>
        <v>158678501.75024596</v>
      </c>
      <c r="I12" s="9">
        <f t="shared" ref="I12:AF12" si="27">I7+I8+I9</f>
        <v>165937769.92482728</v>
      </c>
      <c r="J12" s="9">
        <f t="shared" si="27"/>
        <v>173854718.34850833</v>
      </c>
      <c r="K12" s="9">
        <f t="shared" si="27"/>
        <v>182464005.06662071</v>
      </c>
      <c r="L12" s="9">
        <f t="shared" si="27"/>
        <v>191801832.77482221</v>
      </c>
      <c r="M12" s="9">
        <f t="shared" si="27"/>
        <v>201906012.18687916</v>
      </c>
      <c r="N12" s="9">
        <f t="shared" si="27"/>
        <v>212816027.87626511</v>
      </c>
      <c r="O12" s="9">
        <f t="shared" si="27"/>
        <v>224573106.68501118</v>
      </c>
      <c r="P12" s="9">
        <f t="shared" si="27"/>
        <v>237220288.79669049</v>
      </c>
      <c r="Q12" s="9">
        <f t="shared" si="27"/>
        <v>250802501.57399058</v>
      </c>
      <c r="R12" s="9">
        <f t="shared" si="27"/>
        <v>265366636.26502886</v>
      </c>
      <c r="S12" s="9">
        <f t="shared" si="27"/>
        <v>280961627.68640059</v>
      </c>
      <c r="T12" s="9">
        <f t="shared" si="27"/>
        <v>297638536.99492347</v>
      </c>
      <c r="U12" s="9">
        <f t="shared" si="27"/>
        <v>315450637.66415977</v>
      </c>
      <c r="V12" s="9">
        <f t="shared" si="27"/>
        <v>334453504.78606313</v>
      </c>
      <c r="W12" s="9">
        <f t="shared" si="27"/>
        <v>354705107.822519</v>
      </c>
      <c r="X12" s="9">
        <f t="shared" si="27"/>
        <v>376265906.93612593</v>
      </c>
      <c r="Y12" s="9">
        <f t="shared" si="27"/>
        <v>399198953.03431213</v>
      </c>
      <c r="Z12" s="9">
        <f t="shared" si="27"/>
        <v>423569991.66579843</v>
      </c>
      <c r="AA12" s="9">
        <f t="shared" si="27"/>
        <v>449447570.91351157</v>
      </c>
      <c r="AB12" s="9">
        <f t="shared" si="27"/>
        <v>476903153.43333137</v>
      </c>
      <c r="AC12" s="9">
        <f t="shared" si="27"/>
        <v>506011232.79352295</v>
      </c>
      <c r="AD12" s="9">
        <f t="shared" si="27"/>
        <v>536849454.27536982</v>
      </c>
      <c r="AE12" s="9">
        <f t="shared" si="27"/>
        <v>569498740.30139315</v>
      </c>
      <c r="AF12" s="9">
        <f t="shared" si="27"/>
        <v>604043420.66362274</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18179028.687288176</v>
      </c>
      <c r="D18" s="9">
        <f>Investment!D25</f>
        <v>19112887.281613536</v>
      </c>
      <c r="E18" s="9">
        <f>Investment!E25</f>
        <v>20087897.500599936</v>
      </c>
      <c r="F18" s="9">
        <f>Investment!F25</f>
        <v>21105736.777025096</v>
      </c>
      <c r="G18" s="9">
        <f>Investment!G25</f>
        <v>22168147.760100849</v>
      </c>
      <c r="H18" s="9">
        <f>Investment!H25</f>
        <v>23276940.771633774</v>
      </c>
      <c r="I18" s="9">
        <f>Investment!I25</f>
        <v>24433996.352598462</v>
      </c>
      <c r="J18" s="9">
        <f>Investment!J25</f>
        <v>25641267.903394748</v>
      </c>
      <c r="K18" s="9">
        <f>Investment!K25</f>
        <v>26900784.421176929</v>
      </c>
      <c r="L18" s="9">
        <f>Investment!L25</f>
        <v>28214653.337764092</v>
      </c>
      <c r="M18" s="9">
        <f>Investment!M25</f>
        <v>29585063.461765546</v>
      </c>
      <c r="N18" s="9">
        <f>Investment!N25</f>
        <v>31014288.028685227</v>
      </c>
      <c r="O18" s="9">
        <f>Investment!O25</f>
        <v>32504687.862902928</v>
      </c>
      <c r="P18" s="9">
        <f>Investment!P25</f>
        <v>34058714.655569173</v>
      </c>
      <c r="Q18" s="9">
        <f>Investment!Q25</f>
        <v>35678914.362594441</v>
      </c>
      <c r="R18" s="9">
        <f>Investment!R25</f>
        <v>37367930.727062047</v>
      </c>
      <c r="S18" s="9">
        <f>Investment!S25</f>
        <v>39128508.930548266</v>
      </c>
      <c r="T18" s="9">
        <f>Investment!T25</f>
        <v>40963499.377993092</v>
      </c>
      <c r="U18" s="9">
        <f>Investment!U25</f>
        <v>42875861.620929502</v>
      </c>
      <c r="V18" s="9">
        <f>Investment!V25</f>
        <v>44868668.424050793</v>
      </c>
      <c r="W18" s="9">
        <f>Investment!W25</f>
        <v>46945109.98027201</v>
      </c>
      <c r="X18" s="9">
        <f>Investment!X25</f>
        <v>49108498.279625133</v>
      </c>
      <c r="Y18" s="9">
        <f>Investment!Y25</f>
        <v>51362271.63751708</v>
      </c>
      <c r="Z18" s="9">
        <f>Investment!Z25</f>
        <v>53709999.388075769</v>
      </c>
      <c r="AA18" s="9">
        <f>Investment!AA25</f>
        <v>56155386.748513415</v>
      </c>
      <c r="AB18" s="9">
        <f>Investment!AB25</f>
        <v>58702279.860645652</v>
      </c>
      <c r="AC18" s="9">
        <f>Investment!AC25</f>
        <v>61354671.01592388</v>
      </c>
      <c r="AD18" s="9">
        <f>Investment!AD25</f>
        <v>64116704.070562631</v>
      </c>
      <c r="AE18" s="9">
        <f>Investment!AE25</f>
        <v>66992680.057577938</v>
      </c>
      <c r="AF18" s="9">
        <f>Investment!AF25</f>
        <v>69987063.002793968</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145352086.44310388</v>
      </c>
      <c r="D19" s="9">
        <f>D18+C20</f>
        <v>160503066.98236379</v>
      </c>
      <c r="E19" s="9">
        <f>E18+D20</f>
        <v>176150147.04852265</v>
      </c>
      <c r="F19" s="9">
        <f t="shared" ref="F19:AF19" si="28">F18+E20</f>
        <v>192309562.40722978</v>
      </c>
      <c r="G19" s="9">
        <f t="shared" si="28"/>
        <v>208998079.90722054</v>
      </c>
      <c r="H19" s="9">
        <f t="shared" si="28"/>
        <v>226233014.84420973</v>
      </c>
      <c r="I19" s="9">
        <f t="shared" si="28"/>
        <v>244032248.89224529</v>
      </c>
      <c r="J19" s="9">
        <f t="shared" si="28"/>
        <v>262414248.62105873</v>
      </c>
      <c r="K19" s="9">
        <f t="shared" si="28"/>
        <v>281398084.61855459</v>
      </c>
      <c r="L19" s="9">
        <f t="shared" si="28"/>
        <v>301003451.23820627</v>
      </c>
      <c r="M19" s="9">
        <f t="shared" si="28"/>
        <v>321250686.99177033</v>
      </c>
      <c r="N19" s="9">
        <f t="shared" si="28"/>
        <v>342160795.60839862</v>
      </c>
      <c r="O19" s="9">
        <f t="shared" si="28"/>
        <v>363755467.78191561</v>
      </c>
      <c r="P19" s="9">
        <f t="shared" si="28"/>
        <v>386057103.62873876</v>
      </c>
      <c r="Q19" s="9">
        <f t="shared" si="28"/>
        <v>409088835.87965393</v>
      </c>
      <c r="R19" s="9">
        <f t="shared" si="28"/>
        <v>432874553.82941592</v>
      </c>
      <c r="S19" s="9">
        <f t="shared" si="28"/>
        <v>457438928.06892592</v>
      </c>
      <c r="T19" s="9">
        <f t="shared" si="28"/>
        <v>482807436.02554727</v>
      </c>
      <c r="U19" s="9">
        <f t="shared" si="28"/>
        <v>509006388.33795387</v>
      </c>
      <c r="V19" s="9">
        <f t="shared" si="28"/>
        <v>536062956.09276837</v>
      </c>
      <c r="W19" s="9">
        <f t="shared" si="28"/>
        <v>564005198.95113707</v>
      </c>
      <c r="X19" s="9">
        <f t="shared" si="28"/>
        <v>592862094.19430637</v>
      </c>
      <c r="Y19" s="9">
        <f t="shared" si="28"/>
        <v>622663566.71821666</v>
      </c>
      <c r="Z19" s="9">
        <f t="shared" si="28"/>
        <v>653440520.00810623</v>
      </c>
      <c r="AA19" s="9">
        <f t="shared" si="28"/>
        <v>685224868.1251334</v>
      </c>
      <c r="AB19" s="9">
        <f t="shared" si="28"/>
        <v>718049568.73806596</v>
      </c>
      <c r="AC19" s="9">
        <f t="shared" si="28"/>
        <v>751948657.23417008</v>
      </c>
      <c r="AD19" s="9">
        <f t="shared" si="28"/>
        <v>786957281.9445411</v>
      </c>
      <c r="AE19" s="9">
        <f t="shared" si="28"/>
        <v>823111740.52027225</v>
      </c>
      <c r="AF19" s="9">
        <f t="shared" si="28"/>
        <v>860449517.49704289</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141390179.70075026</v>
      </c>
      <c r="D20" s="9">
        <f>D19-D8-D9</f>
        <v>156062249.5479227</v>
      </c>
      <c r="E20" s="9">
        <f t="shared" ref="E20:AF20" si="29">E19-E8-E9</f>
        <v>171203825.63020468</v>
      </c>
      <c r="F20" s="9">
        <f t="shared" si="29"/>
        <v>186829932.1471197</v>
      </c>
      <c r="G20" s="9">
        <f t="shared" si="29"/>
        <v>202956074.07257596</v>
      </c>
      <c r="H20" s="9">
        <f t="shared" si="29"/>
        <v>219598252.53964683</v>
      </c>
      <c r="I20" s="9">
        <f t="shared" si="29"/>
        <v>236772980.71766397</v>
      </c>
      <c r="J20" s="9">
        <f t="shared" si="29"/>
        <v>254497300.19737768</v>
      </c>
      <c r="K20" s="9">
        <f t="shared" si="29"/>
        <v>272788797.90044218</v>
      </c>
      <c r="L20" s="9">
        <f t="shared" si="29"/>
        <v>291665623.5300048</v>
      </c>
      <c r="M20" s="9">
        <f t="shared" si="29"/>
        <v>311146507.5797134</v>
      </c>
      <c r="N20" s="9">
        <f t="shared" si="29"/>
        <v>331250779.91901267</v>
      </c>
      <c r="O20" s="9">
        <f t="shared" si="29"/>
        <v>351998388.97316957</v>
      </c>
      <c r="P20" s="9">
        <f t="shared" si="29"/>
        <v>373409921.5170595</v>
      </c>
      <c r="Q20" s="9">
        <f t="shared" si="29"/>
        <v>395506623.10235387</v>
      </c>
      <c r="R20" s="9">
        <f t="shared" si="29"/>
        <v>418310419.13837767</v>
      </c>
      <c r="S20" s="9">
        <f t="shared" si="29"/>
        <v>441843936.64755416</v>
      </c>
      <c r="T20" s="9">
        <f t="shared" si="29"/>
        <v>466130526.71702439</v>
      </c>
      <c r="U20" s="9">
        <f t="shared" si="29"/>
        <v>491194287.66871756</v>
      </c>
      <c r="V20" s="9">
        <f t="shared" si="29"/>
        <v>517060088.97086501</v>
      </c>
      <c r="W20" s="9">
        <f t="shared" si="29"/>
        <v>543753595.9146812</v>
      </c>
      <c r="X20" s="9">
        <f t="shared" si="29"/>
        <v>571301295.08069956</v>
      </c>
      <c r="Y20" s="9">
        <f t="shared" si="29"/>
        <v>599730520.6200304</v>
      </c>
      <c r="Z20" s="9">
        <f t="shared" si="29"/>
        <v>629069481.37661994</v>
      </c>
      <c r="AA20" s="9">
        <f t="shared" si="29"/>
        <v>659347288.87742031</v>
      </c>
      <c r="AB20" s="9">
        <f t="shared" si="29"/>
        <v>690593986.21824622</v>
      </c>
      <c r="AC20" s="9">
        <f t="shared" si="29"/>
        <v>722840577.8739785</v>
      </c>
      <c r="AD20" s="9">
        <f t="shared" si="29"/>
        <v>756119060.46269429</v>
      </c>
      <c r="AE20" s="9">
        <f t="shared" si="29"/>
        <v>790462454.49424899</v>
      </c>
      <c r="AF20" s="9">
        <f t="shared" si="29"/>
        <v>825904837.13481331</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28238702.09376898</v>
      </c>
      <c r="D22" s="9">
        <f ca="1">'Balance Sheet'!C11</f>
        <v>41403691.607430473</v>
      </c>
      <c r="E22" s="9">
        <f ca="1">'Balance Sheet'!D11</f>
        <v>53478311.964366078</v>
      </c>
      <c r="F22" s="9">
        <f ca="1">'Balance Sheet'!E11</f>
        <v>63790122.865328789</v>
      </c>
      <c r="G22" s="9">
        <f ca="1">'Balance Sheet'!F11</f>
        <v>72630962.425606176</v>
      </c>
      <c r="H22" s="9">
        <f ca="1">'Balance Sheet'!G11</f>
        <v>79416084.073652551</v>
      </c>
      <c r="I22" s="9">
        <f ca="1">'Balance Sheet'!H11</f>
        <v>84985554.832467437</v>
      </c>
      <c r="J22" s="9">
        <f ca="1">'Balance Sheet'!I11</f>
        <v>89670631.074656099</v>
      </c>
      <c r="K22" s="9">
        <f ca="1">'Balance Sheet'!J11</f>
        <v>94544223.570845336</v>
      </c>
      <c r="L22" s="9">
        <f ca="1">'Balance Sheet'!K11</f>
        <v>99776228.658699706</v>
      </c>
      <c r="M22" s="9">
        <f ca="1">'Balance Sheet'!L11</f>
        <v>105361885.30246261</v>
      </c>
      <c r="N22" s="9">
        <f ca="1">'Balance Sheet'!M11</f>
        <v>111293823.24389322</v>
      </c>
      <c r="O22" s="9">
        <f ca="1">'Balance Sheet'!N11</f>
        <v>117561777.60682994</v>
      </c>
      <c r="P22" s="9">
        <f ca="1">'Balance Sheet'!O11</f>
        <v>124152280.71528791</v>
      </c>
      <c r="Q22" s="9">
        <f ca="1">'Balance Sheet'!P11</f>
        <v>131048329.55453441</v>
      </c>
      <c r="R22" s="9">
        <f ca="1">'Balance Sheet'!Q11</f>
        <v>138229027.20509654</v>
      </c>
      <c r="S22" s="9">
        <f ca="1">'Balance Sheet'!R11</f>
        <v>145669196.47419044</v>
      </c>
      <c r="T22" s="9">
        <f ca="1">'Balance Sheet'!S11</f>
        <v>153338963.83727539</v>
      </c>
      <c r="U22" s="9">
        <f ca="1">'Balance Sheet'!T11</f>
        <v>161203311.68396232</v>
      </c>
      <c r="V22" s="9">
        <f ca="1">'Balance Sheet'!U11</f>
        <v>169221596.73695797</v>
      </c>
      <c r="W22" s="9">
        <f ca="1">'Balance Sheet'!V11</f>
        <v>177347032.37969539</v>
      </c>
      <c r="X22" s="9">
        <f ca="1">'Balance Sheet'!W11</f>
        <v>185526132.48735684</v>
      </c>
      <c r="Y22" s="9">
        <f ca="1">'Balance Sheet'!X11</f>
        <v>193698114.20668063</v>
      </c>
      <c r="Z22" s="9">
        <f ca="1">'Balance Sheet'!Y11</f>
        <v>201794256.97177678</v>
      </c>
      <c r="AA22" s="9">
        <f ca="1">'Balance Sheet'!Z11</f>
        <v>209737214.87565094</v>
      </c>
      <c r="AB22" s="9">
        <f ca="1">'Balance Sheet'!AA11</f>
        <v>218353842.59535047</v>
      </c>
      <c r="AC22" s="9">
        <f ca="1">'Balance Sheet'!AB11</f>
        <v>228430914.89839751</v>
      </c>
      <c r="AD22" s="9">
        <f ca="1">'Balance Sheet'!AC11</f>
        <v>240079890.13809839</v>
      </c>
      <c r="AE22" s="9">
        <f ca="1">'Balance Sheet'!AD11</f>
        <v>253418596.42091772</v>
      </c>
      <c r="AF22" s="9">
        <f ca="1">'Balance Sheet'!AE11</f>
        <v>268571547.72613978</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113151477.60698128</v>
      </c>
      <c r="D23" s="9">
        <f t="shared" ref="D23:AF23" ca="1" si="30">D20-D22</f>
        <v>114658557.94049223</v>
      </c>
      <c r="E23" s="9">
        <f t="shared" ca="1" si="30"/>
        <v>117725513.6658386</v>
      </c>
      <c r="F23" s="9">
        <f t="shared" ca="1" si="30"/>
        <v>123039809.28179091</v>
      </c>
      <c r="G23" s="9">
        <f t="shared" ca="1" si="30"/>
        <v>130325111.64696978</v>
      </c>
      <c r="H23" s="9">
        <f t="shared" ca="1" si="30"/>
        <v>140182168.4659943</v>
      </c>
      <c r="I23" s="9">
        <f t="shared" ca="1" si="30"/>
        <v>151787425.88519654</v>
      </c>
      <c r="J23" s="9">
        <f ca="1">J20-J22</f>
        <v>164826669.12272158</v>
      </c>
      <c r="K23" s="9">
        <f t="shared" ca="1" si="30"/>
        <v>178244574.32959685</v>
      </c>
      <c r="L23" s="9">
        <f t="shared" ca="1" si="30"/>
        <v>191889394.87130511</v>
      </c>
      <c r="M23" s="9">
        <f t="shared" ca="1" si="30"/>
        <v>205784622.2772508</v>
      </c>
      <c r="N23" s="9">
        <f t="shared" ca="1" si="30"/>
        <v>219956956.67511946</v>
      </c>
      <c r="O23" s="9">
        <f t="shared" ca="1" si="30"/>
        <v>234436611.36633962</v>
      </c>
      <c r="P23" s="9">
        <f t="shared" ca="1" si="30"/>
        <v>249257640.80177158</v>
      </c>
      <c r="Q23" s="9">
        <f t="shared" ca="1" si="30"/>
        <v>264458293.54781947</v>
      </c>
      <c r="R23" s="9">
        <f t="shared" ca="1" si="30"/>
        <v>280081391.93328112</v>
      </c>
      <c r="S23" s="9">
        <f t="shared" ca="1" si="30"/>
        <v>296174740.17336369</v>
      </c>
      <c r="T23" s="9">
        <f t="shared" ca="1" si="30"/>
        <v>312791562.879749</v>
      </c>
      <c r="U23" s="9">
        <f t="shared" ca="1" si="30"/>
        <v>329990975.98475528</v>
      </c>
      <c r="V23" s="9">
        <f t="shared" ca="1" si="30"/>
        <v>347838492.23390704</v>
      </c>
      <c r="W23" s="9">
        <f t="shared" ca="1" si="30"/>
        <v>366406563.53498578</v>
      </c>
      <c r="X23" s="9">
        <f t="shared" ca="1" si="30"/>
        <v>385775162.59334272</v>
      </c>
      <c r="Y23" s="9">
        <f t="shared" ca="1" si="30"/>
        <v>406032406.41334975</v>
      </c>
      <c r="Z23" s="9">
        <f t="shared" ca="1" si="30"/>
        <v>427275224.40484315</v>
      </c>
      <c r="AA23" s="9">
        <f t="shared" ca="1" si="30"/>
        <v>449610074.00176936</v>
      </c>
      <c r="AB23" s="9">
        <f t="shared" ca="1" si="30"/>
        <v>472240143.62289572</v>
      </c>
      <c r="AC23" s="9">
        <f t="shared" ca="1" si="30"/>
        <v>494409662.97558099</v>
      </c>
      <c r="AD23" s="9">
        <f t="shared" ca="1" si="30"/>
        <v>516039170.32459593</v>
      </c>
      <c r="AE23" s="9">
        <f t="shared" ca="1" si="30"/>
        <v>537043858.07333124</v>
      </c>
      <c r="AF23" s="9">
        <f t="shared" ca="1" si="30"/>
        <v>557333289.40867352</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165</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28238702.09376898</v>
      </c>
      <c r="D5" s="1">
        <f ca="1">C5+C6</f>
        <v>41403691.607430473</v>
      </c>
      <c r="E5" s="1">
        <f t="shared" ref="E5:AF5" ca="1" si="1">D5+D6</f>
        <v>53478311.964366078</v>
      </c>
      <c r="F5" s="1">
        <f t="shared" ca="1" si="1"/>
        <v>63790122.865328789</v>
      </c>
      <c r="G5" s="1">
        <f t="shared" ca="1" si="1"/>
        <v>72630962.425606176</v>
      </c>
      <c r="H5" s="1">
        <f t="shared" ca="1" si="1"/>
        <v>79416084.073652551</v>
      </c>
      <c r="I5" s="1">
        <f t="shared" ca="1" si="1"/>
        <v>84985554.832467437</v>
      </c>
      <c r="J5" s="1">
        <f t="shared" ca="1" si="1"/>
        <v>89670631.074656099</v>
      </c>
      <c r="K5" s="1">
        <f t="shared" ca="1" si="1"/>
        <v>94544223.570845336</v>
      </c>
      <c r="L5" s="1">
        <f t="shared" ca="1" si="1"/>
        <v>99776228.658699706</v>
      </c>
      <c r="M5" s="1">
        <f t="shared" ca="1" si="1"/>
        <v>105361885.30246261</v>
      </c>
      <c r="N5" s="1">
        <f t="shared" ca="1" si="1"/>
        <v>111293823.24389322</v>
      </c>
      <c r="O5" s="1">
        <f t="shared" ca="1" si="1"/>
        <v>117561777.60682994</v>
      </c>
      <c r="P5" s="1">
        <f t="shared" ca="1" si="1"/>
        <v>124152280.71528791</v>
      </c>
      <c r="Q5" s="1">
        <f t="shared" ca="1" si="1"/>
        <v>131048329.55453441</v>
      </c>
      <c r="R5" s="1">
        <f t="shared" ca="1" si="1"/>
        <v>138229027.20509654</v>
      </c>
      <c r="S5" s="1">
        <f t="shared" ca="1" si="1"/>
        <v>145669196.47419044</v>
      </c>
      <c r="T5" s="1">
        <f t="shared" ca="1" si="1"/>
        <v>153338963.83727539</v>
      </c>
      <c r="U5" s="1">
        <f t="shared" ca="1" si="1"/>
        <v>161203311.68396232</v>
      </c>
      <c r="V5" s="1">
        <f t="shared" ca="1" si="1"/>
        <v>169221596.73695797</v>
      </c>
      <c r="W5" s="1">
        <f t="shared" ca="1" si="1"/>
        <v>177347032.37969539</v>
      </c>
      <c r="X5" s="1">
        <f t="shared" ca="1" si="1"/>
        <v>185526132.48735684</v>
      </c>
      <c r="Y5" s="1">
        <f t="shared" ca="1" si="1"/>
        <v>193698114.20668063</v>
      </c>
      <c r="Z5" s="1">
        <f t="shared" ca="1" si="1"/>
        <v>201794256.97177678</v>
      </c>
      <c r="AA5" s="1">
        <f t="shared" ca="1" si="1"/>
        <v>209737214.87565094</v>
      </c>
      <c r="AB5" s="1">
        <f t="shared" ca="1" si="1"/>
        <v>218353842.59535047</v>
      </c>
      <c r="AC5" s="1">
        <f t="shared" ca="1" si="1"/>
        <v>228430914.89839751</v>
      </c>
      <c r="AD5" s="1">
        <f t="shared" ca="1" si="1"/>
        <v>240079890.13809839</v>
      </c>
      <c r="AE5" s="1">
        <f t="shared" ca="1" si="1"/>
        <v>253418596.42091772</v>
      </c>
      <c r="AF5" s="1">
        <f t="shared" ca="1" si="1"/>
        <v>268571547.72613978</v>
      </c>
      <c r="AG5" s="1"/>
      <c r="AH5" s="1"/>
      <c r="AI5" s="1"/>
      <c r="AJ5" s="1"/>
      <c r="AK5" s="1"/>
      <c r="AL5" s="1"/>
      <c r="AM5" s="1"/>
      <c r="AN5" s="1"/>
      <c r="AO5" s="1"/>
      <c r="AP5" s="1"/>
    </row>
    <row r="6" spans="1:42" x14ac:dyDescent="0.35">
      <c r="A6" s="63" t="s">
        <v>3</v>
      </c>
      <c r="C6" s="1">
        <f ca="1">-'Cash Flow'!C13</f>
        <v>13164989.513661493</v>
      </c>
      <c r="D6" s="1">
        <f ca="1">-'Cash Flow'!D13</f>
        <v>12074620.356935602</v>
      </c>
      <c r="E6" s="1">
        <f ca="1">-'Cash Flow'!E13</f>
        <v>10311810.90096271</v>
      </c>
      <c r="F6" s="1">
        <f ca="1">-'Cash Flow'!F13</f>
        <v>8840839.5602773912</v>
      </c>
      <c r="G6" s="1">
        <f ca="1">-'Cash Flow'!G13</f>
        <v>6785121.6480463743</v>
      </c>
      <c r="H6" s="1">
        <f ca="1">-'Cash Flow'!H13</f>
        <v>5569470.7588148862</v>
      </c>
      <c r="I6" s="1">
        <f ca="1">-'Cash Flow'!I13</f>
        <v>4685076.242188666</v>
      </c>
      <c r="J6" s="1">
        <f ca="1">-'Cash Flow'!J13</f>
        <v>4873592.4961892329</v>
      </c>
      <c r="K6" s="1">
        <f ca="1">-'Cash Flow'!K13</f>
        <v>5232005.0878543742</v>
      </c>
      <c r="L6" s="1">
        <f ca="1">-'Cash Flow'!L13</f>
        <v>5585656.6437629014</v>
      </c>
      <c r="M6" s="1">
        <f ca="1">-'Cash Flow'!M13</f>
        <v>5931937.9414306097</v>
      </c>
      <c r="N6" s="1">
        <f ca="1">-'Cash Flow'!N13</f>
        <v>6267954.3629367128</v>
      </c>
      <c r="O6" s="1">
        <f ca="1">-'Cash Flow'!O13</f>
        <v>6590503.1084579639</v>
      </c>
      <c r="P6" s="1">
        <f ca="1">-'Cash Flow'!P13</f>
        <v>6896048.839246504</v>
      </c>
      <c r="Q6" s="1">
        <f ca="1">-'Cash Flow'!Q13</f>
        <v>7180697.6505621374</v>
      </c>
      <c r="R6" s="1">
        <f ca="1">-'Cash Flow'!R13</f>
        <v>7440169.2690938935</v>
      </c>
      <c r="S6" s="1">
        <f ca="1">-'Cash Flow'!S13</f>
        <v>7669767.3630849272</v>
      </c>
      <c r="T6" s="1">
        <f ca="1">-'Cash Flow'!T13</f>
        <v>7864347.846686922</v>
      </c>
      <c r="U6" s="1">
        <f ca="1">-'Cash Flow'!U13</f>
        <v>8018285.0529956371</v>
      </c>
      <c r="V6" s="1">
        <f ca="1">-'Cash Flow'!V13</f>
        <v>8125435.6427374184</v>
      </c>
      <c r="W6" s="1">
        <f ca="1">-'Cash Flow'!W13</f>
        <v>8179100.1076614708</v>
      </c>
      <c r="X6" s="1">
        <f ca="1">-'Cash Flow'!X13</f>
        <v>8171981.7193237916</v>
      </c>
      <c r="Y6" s="1">
        <f ca="1">-'Cash Flow'!Y13</f>
        <v>8096142.7650961727</v>
      </c>
      <c r="Z6" s="1">
        <f ca="1">-'Cash Flow'!Z13</f>
        <v>7942957.9038741738</v>
      </c>
      <c r="AA6" s="1">
        <f ca="1">-'Cash Flow'!AA13</f>
        <v>8616627.7196995392</v>
      </c>
      <c r="AB6" s="1">
        <f ca="1">-'Cash Flow'!AB13</f>
        <v>10077072.303047016</v>
      </c>
      <c r="AC6" s="1">
        <f ca="1">-'Cash Flow'!AC13</f>
        <v>11648975.239700876</v>
      </c>
      <c r="AD6" s="1">
        <f ca="1">-'Cash Flow'!AD13</f>
        <v>13338706.282819331</v>
      </c>
      <c r="AE6" s="1">
        <f ca="1">-'Cash Flow'!AE13</f>
        <v>15152951.305222079</v>
      </c>
      <c r="AF6" s="1">
        <f ca="1">-'Cash Flow'!AF13</f>
        <v>17098726.765807837</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1449129.2062600667</v>
      </c>
      <c r="D8" s="1">
        <f ca="1">IF(SUM(D5:D6)&gt;0,Assumptions!$C$26*SUM(D5:D6),Assumptions!$C$27*(SUM(D5:D6)))</f>
        <v>1871740.918752813</v>
      </c>
      <c r="E8" s="1">
        <f ca="1">IF(SUM(E5:E6)&gt;0,Assumptions!$C$26*SUM(E5:E6),Assumptions!$C$27*(SUM(E5:E6)))</f>
        <v>2232654.3002865077</v>
      </c>
      <c r="F8" s="1">
        <f ca="1">IF(SUM(F5:F6)&gt;0,Assumptions!$C$26*SUM(F5:F6),Assumptions!$C$27*(SUM(F5:F6)))</f>
        <v>2542083.6848962163</v>
      </c>
      <c r="G8" s="1">
        <f ca="1">IF(SUM(G5:G6)&gt;0,Assumptions!$C$26*SUM(G5:G6),Assumptions!$C$27*(SUM(G5:G6)))</f>
        <v>2779562.9425778394</v>
      </c>
      <c r="H8" s="1">
        <f ca="1">IF(SUM(H5:H6)&gt;0,Assumptions!$C$26*SUM(H5:H6),Assumptions!$C$27*(SUM(H5:H6)))</f>
        <v>2974494.4191363608</v>
      </c>
      <c r="I8" s="1">
        <f ca="1">IF(SUM(I5:I6)&gt;0,Assumptions!$C$26*SUM(I5:I6),Assumptions!$C$27*(SUM(I5:I6)))</f>
        <v>3138472.0876129637</v>
      </c>
      <c r="J8" s="1">
        <f ca="1">IF(SUM(J5:J6)&gt;0,Assumptions!$C$26*SUM(J5:J6),Assumptions!$C$27*(SUM(J5:J6)))</f>
        <v>3309047.824979587</v>
      </c>
      <c r="K8" s="1">
        <f ca="1">IF(SUM(K5:K6)&gt;0,Assumptions!$C$26*SUM(K5:K6),Assumptions!$C$27*(SUM(K5:K6)))</f>
        <v>3492168.0030544898</v>
      </c>
      <c r="L8" s="1">
        <f ca="1">IF(SUM(L5:L6)&gt;0,Assumptions!$C$26*SUM(L5:L6),Assumptions!$C$27*(SUM(L5:L6)))</f>
        <v>3687665.9855861915</v>
      </c>
      <c r="M8" s="1">
        <f ca="1">IF(SUM(M5:M6)&gt;0,Assumptions!$C$26*SUM(M5:M6),Assumptions!$C$27*(SUM(M5:M6)))</f>
        <v>3895283.8135362631</v>
      </c>
      <c r="N8" s="1">
        <f ca="1">IF(SUM(N5:N6)&gt;0,Assumptions!$C$26*SUM(N5:N6),Assumptions!$C$27*(SUM(N5:N6)))</f>
        <v>4114662.2162390482</v>
      </c>
      <c r="O8" s="1">
        <f ca="1">IF(SUM(O5:O6)&gt;0,Assumptions!$C$26*SUM(O5:O6),Assumptions!$C$27*(SUM(O5:O6)))</f>
        <v>4345329.8250350775</v>
      </c>
      <c r="P8" s="1">
        <f ca="1">IF(SUM(P5:P6)&gt;0,Assumptions!$C$26*SUM(P5:P6),Assumptions!$C$27*(SUM(P5:P6)))</f>
        <v>4586691.5344087044</v>
      </c>
      <c r="Q8" s="1">
        <f ca="1">IF(SUM(Q5:Q6)&gt;0,Assumptions!$C$26*SUM(Q5:Q6),Assumptions!$C$27*(SUM(Q5:Q6)))</f>
        <v>4838015.9521783795</v>
      </c>
      <c r="R8" s="1">
        <f ca="1">IF(SUM(R5:R6)&gt;0,Assumptions!$C$26*SUM(R5:R6),Assumptions!$C$27*(SUM(R5:R6)))</f>
        <v>5098421.8765966659</v>
      </c>
      <c r="S8" s="1">
        <f ca="1">IF(SUM(S5:S6)&gt;0,Assumptions!$C$26*SUM(S5:S6),Assumptions!$C$27*(SUM(S5:S6)))</f>
        <v>5366863.7343046386</v>
      </c>
      <c r="T8" s="1">
        <f ca="1">IF(SUM(T5:T6)&gt;0,Assumptions!$C$26*SUM(T5:T6),Assumptions!$C$27*(SUM(T5:T6)))</f>
        <v>5642115.9089386817</v>
      </c>
      <c r="U8" s="1">
        <f ca="1">IF(SUM(U5:U6)&gt;0,Assumptions!$C$26*SUM(U5:U6),Assumptions!$C$27*(SUM(U5:U6)))</f>
        <v>5922755.8857935295</v>
      </c>
      <c r="V8" s="1">
        <f ca="1">IF(SUM(V5:V6)&gt;0,Assumptions!$C$26*SUM(V5:V6),Assumptions!$C$27*(SUM(V5:V6)))</f>
        <v>6207146.133289339</v>
      </c>
      <c r="W8" s="1">
        <f ca="1">IF(SUM(W5:W6)&gt;0,Assumptions!$C$26*SUM(W5:W6),Assumptions!$C$27*(SUM(W5:W6)))</f>
        <v>6493414.6370574897</v>
      </c>
      <c r="X8" s="1">
        <f ca="1">IF(SUM(X5:X6)&gt;0,Assumptions!$C$26*SUM(X5:X6),Assumptions!$C$27*(SUM(X5:X6)))</f>
        <v>6779433.9972338229</v>
      </c>
      <c r="Y8" s="1">
        <f ca="1">IF(SUM(Y5:Y6)&gt;0,Assumptions!$C$26*SUM(Y5:Y6),Assumptions!$C$27*(SUM(Y5:Y6)))</f>
        <v>7062798.9940121882</v>
      </c>
      <c r="Z8" s="1">
        <f ca="1">IF(SUM(Z5:Z6)&gt;0,Assumptions!$C$26*SUM(Z5:Z6),Assumptions!$C$27*(SUM(Z5:Z6)))</f>
        <v>7340802.5206477838</v>
      </c>
      <c r="AA8" s="1">
        <f ca="1">IF(SUM(AA5:AA6)&gt;0,Assumptions!$C$26*SUM(AA5:AA6),Assumptions!$C$27*(SUM(AA5:AA6)))</f>
        <v>7642384.4908372676</v>
      </c>
      <c r="AB8" s="1">
        <f ca="1">IF(SUM(AB5:AB6)&gt;0,Assumptions!$C$26*SUM(AB5:AB6),Assumptions!$C$27*(SUM(AB5:AB6)))</f>
        <v>7995082.0214439137</v>
      </c>
      <c r="AC8" s="1">
        <f ca="1">IF(SUM(AC5:AC6)&gt;0,Assumptions!$C$26*SUM(AC5:AC6),Assumptions!$C$27*(SUM(AC5:AC6)))</f>
        <v>8402796.1548334453</v>
      </c>
      <c r="AD8" s="1">
        <f ca="1">IF(SUM(AD5:AD6)&gt;0,Assumptions!$C$26*SUM(AD5:AD6),Assumptions!$C$27*(SUM(AD5:AD6)))</f>
        <v>8869650.8747321218</v>
      </c>
      <c r="AE8" s="1">
        <f ca="1">IF(SUM(AE5:AE6)&gt;0,Assumptions!$C$26*SUM(AE5:AE6),Assumptions!$C$27*(SUM(AE5:AE6)))</f>
        <v>9400004.170414893</v>
      </c>
      <c r="AF8" s="1">
        <f ca="1">IF(SUM(AF5:AF6)&gt;0,Assumptions!$C$26*SUM(AF5:AF6),Assumptions!$C$27*(SUM(AF5:AF6)))</f>
        <v>9998459.6072181687</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6"/>
  <sheetViews>
    <sheetView topLeftCell="A6" zoomScaleNormal="100" workbookViewId="0">
      <selection sqref="A1:XFD1048576"/>
    </sheetView>
  </sheetViews>
  <sheetFormatPr defaultRowHeight="15.5" x14ac:dyDescent="0.35"/>
  <cols>
    <col min="1" max="1" width="107.9140625" style="63" customWidth="1"/>
    <col min="2" max="2" width="18.1640625" style="63" bestFit="1" customWidth="1"/>
    <col min="3" max="3" width="52.08203125" style="63" customWidth="1"/>
    <col min="4" max="16384" width="8.6640625" style="63"/>
  </cols>
  <sheetData>
    <row r="1" spans="1:3" ht="26" x14ac:dyDescent="0.6">
      <c r="A1" s="13" t="s">
        <v>184</v>
      </c>
    </row>
    <row r="2" spans="1:3" ht="26" x14ac:dyDescent="0.6">
      <c r="A2" s="13"/>
    </row>
    <row r="3" spans="1:3" ht="186" x14ac:dyDescent="0.35">
      <c r="A3" s="173" t="s">
        <v>187</v>
      </c>
    </row>
    <row r="4" spans="1:3" ht="26" x14ac:dyDescent="0.6">
      <c r="A4" s="13"/>
    </row>
    <row r="5" spans="1:3" ht="18.5" x14ac:dyDescent="0.45">
      <c r="A5" s="89" t="s">
        <v>176</v>
      </c>
      <c r="B5" s="180"/>
    </row>
    <row r="6" spans="1:3" ht="18.5" x14ac:dyDescent="0.45">
      <c r="A6" s="90"/>
      <c r="B6" s="180"/>
    </row>
    <row r="7" spans="1:3" ht="18.5" x14ac:dyDescent="0.45">
      <c r="A7" s="90" t="s">
        <v>96</v>
      </c>
      <c r="B7" s="181">
        <f>Assumptions!C24</f>
        <v>12079015</v>
      </c>
      <c r="C7" s="179" t="str">
        <f>Assumptions!B24</f>
        <v>RFI Table F10; Lines F10.62 + F10.70 - F10.61</v>
      </c>
    </row>
    <row r="8" spans="1:3" ht="34" x14ac:dyDescent="0.45">
      <c r="A8" s="90" t="s">
        <v>173</v>
      </c>
      <c r="B8" s="182">
        <f>Assumptions!$C$133</f>
        <v>0.7</v>
      </c>
      <c r="C8" s="179" t="s">
        <v>197</v>
      </c>
    </row>
    <row r="9" spans="1:3" ht="18.5" x14ac:dyDescent="0.45">
      <c r="A9" s="90"/>
      <c r="B9" s="183"/>
      <c r="C9" s="179"/>
    </row>
    <row r="10" spans="1:3" ht="68" x14ac:dyDescent="0.45">
      <c r="A10" s="94" t="s">
        <v>102</v>
      </c>
      <c r="B10" s="184">
        <f>Assumptions!C135</f>
        <v>5251.9989050654258</v>
      </c>
      <c r="C10" s="179" t="s">
        <v>198</v>
      </c>
    </row>
    <row r="11" spans="1:3" ht="18.5" x14ac:dyDescent="0.45">
      <c r="A11" s="94"/>
      <c r="B11" s="185"/>
      <c r="C11" s="179"/>
    </row>
    <row r="12" spans="1:3" ht="18.5" x14ac:dyDescent="0.45">
      <c r="A12" s="94" t="s">
        <v>183</v>
      </c>
      <c r="B12" s="181">
        <f>(B7*B8)/B10</f>
        <v>1609.9223653388538</v>
      </c>
      <c r="C12" s="179"/>
    </row>
    <row r="13" spans="1:3" ht="18.5" x14ac:dyDescent="0.45">
      <c r="A13" s="96"/>
      <c r="B13" s="186"/>
      <c r="C13" s="179"/>
    </row>
    <row r="14" spans="1:3" ht="18.5" x14ac:dyDescent="0.45">
      <c r="A14" s="94" t="s">
        <v>103</v>
      </c>
      <c r="B14" s="103">
        <v>1</v>
      </c>
      <c r="C14" s="179"/>
    </row>
    <row r="15" spans="1:3" ht="18.5" x14ac:dyDescent="0.45">
      <c r="A15" s="96"/>
      <c r="B15" s="99"/>
      <c r="C15" s="179"/>
    </row>
    <row r="16" spans="1:3" ht="18.5" x14ac:dyDescent="0.45">
      <c r="A16" s="96" t="s">
        <v>178</v>
      </c>
      <c r="B16" s="187">
        <f>B12/B14</f>
        <v>1609.9223653388538</v>
      </c>
      <c r="C16" s="179"/>
    </row>
    <row r="17" spans="1:3" ht="18.5" x14ac:dyDescent="0.45">
      <c r="A17" s="94"/>
      <c r="B17" s="188"/>
      <c r="C17" s="179"/>
    </row>
    <row r="18" spans="1:3" ht="18.5" x14ac:dyDescent="0.45">
      <c r="A18" s="102" t="s">
        <v>177</v>
      </c>
      <c r="B18" s="188"/>
      <c r="C18" s="179"/>
    </row>
    <row r="19" spans="1:3" ht="18.5" x14ac:dyDescent="0.45">
      <c r="A19" s="94"/>
      <c r="B19" s="188"/>
      <c r="C19" s="179"/>
    </row>
    <row r="20" spans="1:3" ht="34" x14ac:dyDescent="0.45">
      <c r="A20" s="94" t="s">
        <v>65</v>
      </c>
      <c r="B20" s="181">
        <f>'Profit and Loss'!L5</f>
        <v>42082534.113543399</v>
      </c>
      <c r="C20" s="179" t="s">
        <v>199</v>
      </c>
    </row>
    <row r="21" spans="1:3" ht="34" x14ac:dyDescent="0.45">
      <c r="A21" s="94" t="str">
        <f>A8</f>
        <v>Assumed revenue from households</v>
      </c>
      <c r="B21" s="182">
        <f>B8</f>
        <v>0.7</v>
      </c>
      <c r="C21" s="179" t="s">
        <v>197</v>
      </c>
    </row>
    <row r="22" spans="1:3" ht="18.5" x14ac:dyDescent="0.45">
      <c r="A22" s="94"/>
      <c r="B22" s="185"/>
      <c r="C22" s="179"/>
    </row>
    <row r="23" spans="1:3" ht="34" x14ac:dyDescent="0.45">
      <c r="A23" s="94" t="s">
        <v>101</v>
      </c>
      <c r="B23" s="184">
        <f>Assumptions!M135</f>
        <v>5962.8812690428822</v>
      </c>
      <c r="C23" s="179" t="s">
        <v>200</v>
      </c>
    </row>
    <row r="24" spans="1:3" ht="18.5" x14ac:dyDescent="0.45">
      <c r="A24" s="94"/>
      <c r="B24" s="185"/>
      <c r="C24" s="179"/>
    </row>
    <row r="25" spans="1:3" ht="18.5" x14ac:dyDescent="0.45">
      <c r="A25" s="94" t="s">
        <v>182</v>
      </c>
      <c r="B25" s="181">
        <f>(B20*B21)/B23</f>
        <v>4940.191251570689</v>
      </c>
      <c r="C25" s="179"/>
    </row>
    <row r="26" spans="1:3" ht="18.5" x14ac:dyDescent="0.45">
      <c r="A26" s="94"/>
      <c r="B26" s="181"/>
      <c r="C26" s="179"/>
    </row>
    <row r="27" spans="1:3" ht="34" x14ac:dyDescent="0.45">
      <c r="A27" s="94" t="s">
        <v>103</v>
      </c>
      <c r="B27" s="103">
        <f>1.022^11</f>
        <v>1.2704566586717592</v>
      </c>
      <c r="C27" s="179" t="s">
        <v>201</v>
      </c>
    </row>
    <row r="28" spans="1:3" ht="18.5" x14ac:dyDescent="0.45">
      <c r="A28" s="96"/>
      <c r="B28" s="186"/>
      <c r="C28" s="179"/>
    </row>
    <row r="29" spans="1:3" ht="18.5" x14ac:dyDescent="0.45">
      <c r="A29" s="96" t="s">
        <v>179</v>
      </c>
      <c r="B29" s="181">
        <f>B25/B27</f>
        <v>3888.516162948506</v>
      </c>
      <c r="C29" s="179"/>
    </row>
    <row r="30" spans="1:3" ht="18.5" x14ac:dyDescent="0.45">
      <c r="A30" s="96"/>
      <c r="B30" s="186"/>
      <c r="C30" s="179"/>
    </row>
    <row r="31" spans="1:3" ht="18.5" x14ac:dyDescent="0.45">
      <c r="A31" s="102" t="s">
        <v>185</v>
      </c>
      <c r="B31" s="189"/>
      <c r="C31" s="179"/>
    </row>
    <row r="32" spans="1:3" ht="18.5" x14ac:dyDescent="0.45">
      <c r="A32" s="94"/>
      <c r="B32" s="181"/>
      <c r="C32" s="179"/>
    </row>
    <row r="33" spans="1:3" ht="34" x14ac:dyDescent="0.45">
      <c r="A33" s="94" t="s">
        <v>66</v>
      </c>
      <c r="B33" s="181">
        <f>'Profit and Loss'!AF5</f>
        <v>107875645.65996607</v>
      </c>
      <c r="C33" s="179" t="s">
        <v>199</v>
      </c>
    </row>
    <row r="34" spans="1:3" ht="34" x14ac:dyDescent="0.45">
      <c r="A34" s="94" t="str">
        <f>A21</f>
        <v>Assumed revenue from households</v>
      </c>
      <c r="B34" s="182">
        <f>B21</f>
        <v>0.7</v>
      </c>
      <c r="C34" s="179" t="s">
        <v>197</v>
      </c>
    </row>
    <row r="35" spans="1:3" ht="18.5" x14ac:dyDescent="0.45">
      <c r="A35" s="94"/>
      <c r="B35" s="185"/>
      <c r="C35" s="179"/>
    </row>
    <row r="36" spans="1:3" ht="34" x14ac:dyDescent="0.45">
      <c r="A36" s="94" t="s">
        <v>100</v>
      </c>
      <c r="B36" s="184">
        <f>Assumptions!AG135</f>
        <v>7686.333640563359</v>
      </c>
      <c r="C36" s="179" t="s">
        <v>200</v>
      </c>
    </row>
    <row r="37" spans="1:3" ht="18.5" x14ac:dyDescent="0.45">
      <c r="A37" s="94"/>
      <c r="B37" s="185"/>
      <c r="C37" s="179"/>
    </row>
    <row r="38" spans="1:3" ht="18.5" x14ac:dyDescent="0.45">
      <c r="A38" s="94" t="s">
        <v>181</v>
      </c>
      <c r="B38" s="181">
        <f>(B33*B34)/B36</f>
        <v>9824.3135795548988</v>
      </c>
      <c r="C38" s="179"/>
    </row>
    <row r="39" spans="1:3" ht="18.5" x14ac:dyDescent="0.45">
      <c r="A39" s="94"/>
      <c r="B39" s="185"/>
      <c r="C39" s="179"/>
    </row>
    <row r="40" spans="1:3" ht="34" x14ac:dyDescent="0.45">
      <c r="A40" s="94" t="s">
        <v>103</v>
      </c>
      <c r="B40" s="103">
        <f>1.022^31</f>
        <v>1.9632597808456462</v>
      </c>
      <c r="C40" s="179" t="s">
        <v>201</v>
      </c>
    </row>
    <row r="41" spans="1:3" ht="18.5" x14ac:dyDescent="0.45">
      <c r="A41" s="96"/>
      <c r="B41" s="186"/>
    </row>
    <row r="42" spans="1:3" ht="18.5" x14ac:dyDescent="0.45">
      <c r="A42" s="96" t="s">
        <v>180</v>
      </c>
      <c r="B42" s="181">
        <f>B38/B40</f>
        <v>5004.0823305223594</v>
      </c>
    </row>
    <row r="43" spans="1:3" x14ac:dyDescent="0.35">
      <c r="B43" s="190"/>
    </row>
    <row r="44" spans="1:3" x14ac:dyDescent="0.35">
      <c r="B44" s="190"/>
    </row>
    <row r="45" spans="1:3" x14ac:dyDescent="0.35">
      <c r="B45" s="190"/>
    </row>
    <row r="46" spans="1:3" x14ac:dyDescent="0.35">
      <c r="B46" s="19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sqref="A1:XFD1048576"/>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160</v>
      </c>
    </row>
    <row r="2" spans="1:33" ht="26.5" thickBot="1" x14ac:dyDescent="0.4">
      <c r="A2" s="111"/>
      <c r="B2" s="111"/>
      <c r="D2" s="112"/>
    </row>
    <row r="3" spans="1:33" s="114" customFormat="1" ht="21.5" thickBot="1" x14ac:dyDescent="0.4">
      <c r="A3" s="84"/>
      <c r="B3" s="84"/>
      <c r="C3" s="113"/>
      <c r="D3" s="191" t="s">
        <v>27</v>
      </c>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row>
    <row r="4" spans="1:33" s="120" customFormat="1" ht="16" thickBot="1" x14ac:dyDescent="0.4">
      <c r="A4" s="115" t="s">
        <v>25</v>
      </c>
      <c r="B4" s="115" t="s">
        <v>195</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137</v>
      </c>
      <c r="C13" s="127">
        <v>1.2775422338791698E-2</v>
      </c>
      <c r="D13" s="128">
        <f t="shared" ref="D13:AG13" si="3">(1+$C$13)^D8</f>
        <v>1.0127754223387917</v>
      </c>
      <c r="E13" s="128">
        <f t="shared" si="3"/>
        <v>1.0257140560935178</v>
      </c>
      <c r="F13" s="128">
        <f t="shared" si="3"/>
        <v>1.0388179863589475</v>
      </c>
      <c r="G13" s="128">
        <f t="shared" si="3"/>
        <v>1.0520893248678163</v>
      </c>
      <c r="H13" s="128">
        <f t="shared" si="3"/>
        <v>1.0655302103311368</v>
      </c>
      <c r="I13" s="128">
        <f t="shared" si="3"/>
        <v>1.0791428087828585</v>
      </c>
      <c r="J13" s="128">
        <f t="shared" si="3"/>
        <v>1.0929293139289293</v>
      </c>
      <c r="K13" s="128">
        <f t="shared" si="3"/>
        <v>1.1068919475008174</v>
      </c>
      <c r="L13" s="128">
        <f t="shared" si="3"/>
        <v>1.121032959613548</v>
      </c>
      <c r="M13" s="128">
        <f t="shared" si="3"/>
        <v>1.1353546291283168</v>
      </c>
      <c r="N13" s="128">
        <f t="shared" si="3"/>
        <v>1.1498592640197329</v>
      </c>
      <c r="O13" s="128">
        <f t="shared" si="3"/>
        <v>1.1645492017477572</v>
      </c>
      <c r="P13" s="128">
        <f t="shared" si="3"/>
        <v>1.1794268096343876</v>
      </c>
      <c r="Q13" s="128">
        <f t="shared" si="3"/>
        <v>1.1944944852451604</v>
      </c>
      <c r="R13" s="128">
        <f t="shared" si="3"/>
        <v>1.2097546567755249</v>
      </c>
      <c r="S13" s="128">
        <f t="shared" si="3"/>
        <v>1.2252097834421525</v>
      </c>
      <c r="T13" s="128">
        <f t="shared" si="3"/>
        <v>1.2408623558792455</v>
      </c>
      <c r="U13" s="128">
        <f t="shared" si="3"/>
        <v>1.2567148965399109</v>
      </c>
      <c r="V13" s="128">
        <f t="shared" si="3"/>
        <v>1.272769960102659</v>
      </c>
      <c r="W13" s="128">
        <f t="shared" si="3"/>
        <v>1.2890301338830976</v>
      </c>
      <c r="X13" s="128">
        <f t="shared" si="3"/>
        <v>1.3054980382508834</v>
      </c>
      <c r="Y13" s="128">
        <f t="shared" si="3"/>
        <v>1.3221763270520022</v>
      </c>
      <c r="Z13" s="128">
        <f t="shared" si="3"/>
        <v>1.3390676880364438</v>
      </c>
      <c r="AA13" s="128">
        <f t="shared" si="3"/>
        <v>1.356174843291339</v>
      </c>
      <c r="AB13" s="128">
        <f t="shared" si="3"/>
        <v>1.3735005496796304</v>
      </c>
      <c r="AC13" s="128">
        <f t="shared" si="3"/>
        <v>1.3910475992843503</v>
      </c>
      <c r="AD13" s="128">
        <f t="shared" si="3"/>
        <v>1.4088188198585698</v>
      </c>
      <c r="AE13" s="128">
        <f t="shared" si="3"/>
        <v>1.4268170752811011</v>
      </c>
      <c r="AF13" s="128">
        <f t="shared" si="3"/>
        <v>1.4450452660180169</v>
      </c>
      <c r="AG13" s="128">
        <f t="shared" si="3"/>
        <v>1.4635063295900683</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191</v>
      </c>
      <c r="B15" s="178" t="s">
        <v>192</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169</v>
      </c>
      <c r="C17" s="136">
        <f>AVERAGE(C49:C50)</f>
        <v>254346115.51163143</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127173057.75581571</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136</v>
      </c>
      <c r="C20" s="137">
        <v>28238702.09376898</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158</v>
      </c>
      <c r="B22" s="178" t="s">
        <v>192</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202</v>
      </c>
      <c r="C24" s="136">
        <v>12079015</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194</v>
      </c>
      <c r="C25" s="136">
        <v>7530455.0099999988</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159</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243472280.99792996</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265219950.02533293</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170</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170</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719106.07279862883</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1107867.1844355201</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913486.62861707446</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1960082.4316207592</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2841035.5554678668</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2400558.9935443131</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3508426.1779798334</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69" t="s">
        <v>140</v>
      </c>
      <c r="B77" s="86" t="s">
        <v>175</v>
      </c>
      <c r="C77" s="87">
        <v>0</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141</v>
      </c>
      <c r="B79" s="69" t="s">
        <v>154</v>
      </c>
      <c r="C79" s="87">
        <v>400129601.12762731</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142</v>
      </c>
      <c r="B80" s="69" t="s">
        <v>154</v>
      </c>
      <c r="C80" s="87">
        <v>426447256.13600981</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143</v>
      </c>
      <c r="B82" s="69" t="s">
        <v>86</v>
      </c>
      <c r="C82" s="87">
        <f>C79+$C$77</f>
        <v>400129601.12762731</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144</v>
      </c>
      <c r="B83" s="69" t="s">
        <v>86</v>
      </c>
      <c r="C83" s="87">
        <f>C80+$C$77</f>
        <v>426447256.13600981</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149</v>
      </c>
      <c r="B85" s="69" t="s">
        <v>203</v>
      </c>
      <c r="C85" s="150">
        <v>14865.424598842999</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150</v>
      </c>
      <c r="B86" s="69" t="s">
        <v>133</v>
      </c>
      <c r="C86" s="150">
        <v>13495.3694885103</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14180.39704367665</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145</v>
      </c>
      <c r="B89" s="69" t="s">
        <v>86</v>
      </c>
      <c r="C89" s="150">
        <f>C82/$C$87</f>
        <v>28217.094337711358</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145</v>
      </c>
      <c r="B90" s="69" t="s">
        <v>86</v>
      </c>
      <c r="C90" s="150">
        <f>C83/$C$87</f>
        <v>30073.012400324289</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146</v>
      </c>
      <c r="B92" s="69" t="s">
        <v>153</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147</v>
      </c>
      <c r="B94" s="69" t="s">
        <v>86</v>
      </c>
      <c r="C94" s="87">
        <f>IF(C89&lt;$C$92,C89*$C$87,$C$92*$C$87)</f>
        <v>400129601.12762731</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148</v>
      </c>
      <c r="B95" s="69" t="s">
        <v>86</v>
      </c>
      <c r="C95" s="87">
        <f>IF(C90&lt;$C$92,C90*$C$87,$C$92*$C$87)</f>
        <v>426447256.13600981</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152</v>
      </c>
      <c r="B96" s="69" t="s">
        <v>86</v>
      </c>
      <c r="C96" s="87">
        <f>AVERAGE(C94:C95)</f>
        <v>413288428.63181853</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413288428.63181853</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13776280.954393951</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168</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168</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3508426.1779798334</v>
      </c>
      <c r="E111" s="149">
        <f t="shared" si="9"/>
        <v>3508426.1779798334</v>
      </c>
      <c r="F111" s="149">
        <f t="shared" si="9"/>
        <v>3508426.1779798334</v>
      </c>
      <c r="G111" s="149">
        <f t="shared" si="9"/>
        <v>3508426.1779798334</v>
      </c>
      <c r="H111" s="149">
        <f t="shared" si="9"/>
        <v>3508426.1779798334</v>
      </c>
      <c r="I111" s="149">
        <f t="shared" si="9"/>
        <v>3508426.1779798334</v>
      </c>
      <c r="J111" s="149">
        <f t="shared" si="9"/>
        <v>3508426.1779798334</v>
      </c>
      <c r="K111" s="149">
        <f t="shared" si="9"/>
        <v>3508426.1779798334</v>
      </c>
      <c r="L111" s="149">
        <f t="shared" si="9"/>
        <v>3508426.1779798334</v>
      </c>
      <c r="M111" s="149">
        <f t="shared" si="9"/>
        <v>3508426.1779798334</v>
      </c>
      <c r="N111" s="149">
        <f t="shared" si="9"/>
        <v>3508426.1779798334</v>
      </c>
      <c r="O111" s="149">
        <f t="shared" si="9"/>
        <v>3508426.1779798334</v>
      </c>
      <c r="P111" s="149">
        <f t="shared" si="9"/>
        <v>3508426.1779798334</v>
      </c>
      <c r="Q111" s="149">
        <f t="shared" si="9"/>
        <v>3508426.1779798334</v>
      </c>
      <c r="R111" s="149">
        <f t="shared" si="9"/>
        <v>3508426.1779798334</v>
      </c>
      <c r="S111" s="149">
        <f t="shared" si="9"/>
        <v>3508426.1779798334</v>
      </c>
      <c r="T111" s="149">
        <f t="shared" si="9"/>
        <v>3508426.1779798334</v>
      </c>
      <c r="U111" s="149">
        <f t="shared" si="9"/>
        <v>3508426.1779798334</v>
      </c>
      <c r="V111" s="149">
        <f t="shared" si="9"/>
        <v>3508426.1779798334</v>
      </c>
      <c r="W111" s="149">
        <f t="shared" si="9"/>
        <v>3508426.1779798334</v>
      </c>
      <c r="X111" s="149">
        <f t="shared" si="9"/>
        <v>3508426.1779798334</v>
      </c>
      <c r="Y111" s="149">
        <f t="shared" si="9"/>
        <v>3508426.1779798334</v>
      </c>
      <c r="Z111" s="149">
        <f t="shared" si="9"/>
        <v>3508426.1779798334</v>
      </c>
      <c r="AA111" s="149">
        <f t="shared" si="9"/>
        <v>3508426.1779798334</v>
      </c>
      <c r="AB111" s="149">
        <f t="shared" si="9"/>
        <v>3508426.1779798334</v>
      </c>
      <c r="AC111" s="149">
        <f t="shared" si="9"/>
        <v>3508426.1779798334</v>
      </c>
      <c r="AD111" s="149">
        <f t="shared" si="9"/>
        <v>3508426.1779798334</v>
      </c>
      <c r="AE111" s="149">
        <f t="shared" si="9"/>
        <v>3508426.1779798334</v>
      </c>
      <c r="AF111" s="149">
        <f t="shared" si="9"/>
        <v>3508426.1779798334</v>
      </c>
      <c r="AG111" s="149">
        <f t="shared" si="9"/>
        <v>3508426.1779798334</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413288428.63181823</v>
      </c>
      <c r="D113" s="149">
        <f t="shared" ref="D113:AG113" si="10">$C$102</f>
        <v>13776280.954393951</v>
      </c>
      <c r="E113" s="149">
        <f t="shared" si="10"/>
        <v>13776280.954393951</v>
      </c>
      <c r="F113" s="149">
        <f t="shared" si="10"/>
        <v>13776280.954393951</v>
      </c>
      <c r="G113" s="149">
        <f t="shared" si="10"/>
        <v>13776280.954393951</v>
      </c>
      <c r="H113" s="149">
        <f t="shared" si="10"/>
        <v>13776280.954393951</v>
      </c>
      <c r="I113" s="149">
        <f t="shared" si="10"/>
        <v>13776280.954393951</v>
      </c>
      <c r="J113" s="149">
        <f t="shared" si="10"/>
        <v>13776280.954393951</v>
      </c>
      <c r="K113" s="149">
        <f t="shared" si="10"/>
        <v>13776280.954393951</v>
      </c>
      <c r="L113" s="149">
        <f t="shared" si="10"/>
        <v>13776280.954393951</v>
      </c>
      <c r="M113" s="149">
        <f t="shared" si="10"/>
        <v>13776280.954393951</v>
      </c>
      <c r="N113" s="149">
        <f t="shared" si="10"/>
        <v>13776280.954393951</v>
      </c>
      <c r="O113" s="149">
        <f t="shared" si="10"/>
        <v>13776280.954393951</v>
      </c>
      <c r="P113" s="149">
        <f t="shared" si="10"/>
        <v>13776280.954393951</v>
      </c>
      <c r="Q113" s="149">
        <f t="shared" si="10"/>
        <v>13776280.954393951</v>
      </c>
      <c r="R113" s="149">
        <f t="shared" si="10"/>
        <v>13776280.954393951</v>
      </c>
      <c r="S113" s="149">
        <f t="shared" si="10"/>
        <v>13776280.954393951</v>
      </c>
      <c r="T113" s="149">
        <f t="shared" si="10"/>
        <v>13776280.954393951</v>
      </c>
      <c r="U113" s="149">
        <f t="shared" si="10"/>
        <v>13776280.954393951</v>
      </c>
      <c r="V113" s="149">
        <f t="shared" si="10"/>
        <v>13776280.954393951</v>
      </c>
      <c r="W113" s="149">
        <f t="shared" si="10"/>
        <v>13776280.954393951</v>
      </c>
      <c r="X113" s="149">
        <f t="shared" si="10"/>
        <v>13776280.954393951</v>
      </c>
      <c r="Y113" s="149">
        <f t="shared" si="10"/>
        <v>13776280.954393951</v>
      </c>
      <c r="Z113" s="149">
        <f t="shared" si="10"/>
        <v>13776280.954393951</v>
      </c>
      <c r="AA113" s="149">
        <f t="shared" si="10"/>
        <v>13776280.954393951</v>
      </c>
      <c r="AB113" s="149">
        <f t="shared" si="10"/>
        <v>13776280.954393951</v>
      </c>
      <c r="AC113" s="149">
        <f t="shared" si="10"/>
        <v>13776280.954393951</v>
      </c>
      <c r="AD113" s="149">
        <f t="shared" si="10"/>
        <v>13776280.954393951</v>
      </c>
      <c r="AE113" s="149">
        <f t="shared" si="10"/>
        <v>13776280.954393951</v>
      </c>
      <c r="AF113" s="149">
        <f t="shared" si="10"/>
        <v>13776280.954393951</v>
      </c>
      <c r="AG113" s="149">
        <f t="shared" si="10"/>
        <v>13776280.954393951</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13776280.954393951</v>
      </c>
      <c r="E118" s="149">
        <f t="shared" ref="E118:AG118" si="13">E113+E115+E116</f>
        <v>13776280.954393951</v>
      </c>
      <c r="F118" s="149">
        <f>F113+F115+F116</f>
        <v>13776280.954393951</v>
      </c>
      <c r="G118" s="149">
        <f t="shared" si="13"/>
        <v>13776280.954393951</v>
      </c>
      <c r="H118" s="149">
        <f t="shared" si="13"/>
        <v>13776280.954393951</v>
      </c>
      <c r="I118" s="149">
        <f t="shared" si="13"/>
        <v>13776280.954393951</v>
      </c>
      <c r="J118" s="149">
        <f t="shared" si="13"/>
        <v>13776280.954393951</v>
      </c>
      <c r="K118" s="149">
        <f t="shared" si="13"/>
        <v>13776280.954393951</v>
      </c>
      <c r="L118" s="149">
        <f t="shared" si="13"/>
        <v>13776280.954393951</v>
      </c>
      <c r="M118" s="149">
        <f t="shared" si="13"/>
        <v>13776280.954393951</v>
      </c>
      <c r="N118" s="149">
        <f t="shared" si="13"/>
        <v>13776280.954393951</v>
      </c>
      <c r="O118" s="149">
        <f t="shared" si="13"/>
        <v>13776280.954393951</v>
      </c>
      <c r="P118" s="149">
        <f t="shared" si="13"/>
        <v>13776280.954393951</v>
      </c>
      <c r="Q118" s="149">
        <f t="shared" si="13"/>
        <v>13776280.954393951</v>
      </c>
      <c r="R118" s="149">
        <f t="shared" si="13"/>
        <v>13776280.954393951</v>
      </c>
      <c r="S118" s="149">
        <f t="shared" si="13"/>
        <v>13776280.954393951</v>
      </c>
      <c r="T118" s="149">
        <f t="shared" si="13"/>
        <v>13776280.954393951</v>
      </c>
      <c r="U118" s="149">
        <f t="shared" si="13"/>
        <v>13776280.954393951</v>
      </c>
      <c r="V118" s="149">
        <f t="shared" si="13"/>
        <v>13776280.954393951</v>
      </c>
      <c r="W118" s="149">
        <f t="shared" si="13"/>
        <v>13776280.954393951</v>
      </c>
      <c r="X118" s="149">
        <f t="shared" si="13"/>
        <v>13776280.954393951</v>
      </c>
      <c r="Y118" s="149">
        <f t="shared" si="13"/>
        <v>13776280.954393951</v>
      </c>
      <c r="Z118" s="149">
        <f t="shared" si="13"/>
        <v>13776280.954393951</v>
      </c>
      <c r="AA118" s="149">
        <f t="shared" si="13"/>
        <v>13776280.954393951</v>
      </c>
      <c r="AB118" s="149">
        <f t="shared" si="13"/>
        <v>13776280.954393951</v>
      </c>
      <c r="AC118" s="149">
        <f t="shared" si="13"/>
        <v>13776280.954393951</v>
      </c>
      <c r="AD118" s="149">
        <f t="shared" si="13"/>
        <v>13776280.954393951</v>
      </c>
      <c r="AE118" s="149">
        <f t="shared" si="13"/>
        <v>13776280.954393951</v>
      </c>
      <c r="AF118" s="149">
        <f t="shared" si="13"/>
        <v>13776280.954393951</v>
      </c>
      <c r="AG118" s="149">
        <f t="shared" si="13"/>
        <v>13776280.954393951</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330630.74290545483</v>
      </c>
      <c r="E120" s="149">
        <f>(SUM($D$118:E118)*$C$104/$C$106)+(SUM($D$118:E118)*$C$105/$C$107)</f>
        <v>661261.48581090965</v>
      </c>
      <c r="F120" s="149">
        <f>(SUM($D$118:F118)*$C$104/$C$106)+(SUM($D$118:F118)*$C$105/$C$107)</f>
        <v>991892.22871636436</v>
      </c>
      <c r="G120" s="149">
        <f>(SUM($D$118:G118)*$C$104/$C$106)+(SUM($D$118:G118)*$C$105/$C$107)</f>
        <v>1322522.9716218193</v>
      </c>
      <c r="H120" s="149">
        <f>(SUM($D$118:H118)*$C$104/$C$106)+(SUM($D$118:H118)*$C$105/$C$107)</f>
        <v>1653153.7145272742</v>
      </c>
      <c r="I120" s="149">
        <f>(SUM($D$118:I118)*$C$104/$C$106)+(SUM($D$118:I118)*$C$105/$C$107)</f>
        <v>1983784.4574327287</v>
      </c>
      <c r="J120" s="149">
        <f>(SUM($D$118:J118)*$C$104/$C$106)+(SUM($D$118:J118)*$C$105/$C$107)</f>
        <v>2314415.2003381839</v>
      </c>
      <c r="K120" s="149">
        <f>(SUM($D$118:K118)*$C$104/$C$106)+(SUM($D$118:K118)*$C$105/$C$107)</f>
        <v>2645045.9432436386</v>
      </c>
      <c r="L120" s="149">
        <f>(SUM($D$118:L118)*$C$104/$C$106)+(SUM($D$118:L118)*$C$105/$C$107)</f>
        <v>2975676.6861490933</v>
      </c>
      <c r="M120" s="149">
        <f>(SUM($D$118:M118)*$C$104/$C$106)+(SUM($D$118:M118)*$C$105/$C$107)</f>
        <v>3306307.4290545485</v>
      </c>
      <c r="N120" s="149">
        <f>(SUM($D$118:N118)*$C$104/$C$106)+(SUM($D$118:N118)*$C$105/$C$107)</f>
        <v>3636938.1719600027</v>
      </c>
      <c r="O120" s="149">
        <f>(SUM($D$118:O118)*$C$104/$C$106)+(SUM($D$118:O118)*$C$105/$C$107)</f>
        <v>3967568.9148654575</v>
      </c>
      <c r="P120" s="149">
        <f>(SUM($D$118:P118)*$C$104/$C$106)+(SUM($D$118:P118)*$C$105/$C$107)</f>
        <v>4298199.6577709122</v>
      </c>
      <c r="Q120" s="149">
        <f>(SUM($D$118:Q118)*$C$104/$C$106)+(SUM($D$118:Q118)*$C$105/$C$107)</f>
        <v>4628830.4006763678</v>
      </c>
      <c r="R120" s="149">
        <f>(SUM($D$118:R118)*$C$104/$C$106)+(SUM($D$118:R118)*$C$105/$C$107)</f>
        <v>4959461.1435818225</v>
      </c>
      <c r="S120" s="149">
        <f>(SUM($D$118:S118)*$C$104/$C$106)+(SUM($D$118:S118)*$C$105/$C$107)</f>
        <v>5290091.8864872772</v>
      </c>
      <c r="T120" s="149">
        <f>(SUM($D$118:T118)*$C$104/$C$106)+(SUM($D$118:T118)*$C$105/$C$107)</f>
        <v>5620722.6293927329</v>
      </c>
      <c r="U120" s="149">
        <f>(SUM($D$118:U118)*$C$104/$C$106)+(SUM($D$118:U118)*$C$105/$C$107)</f>
        <v>5951353.3722981866</v>
      </c>
      <c r="V120" s="149">
        <f>(SUM($D$118:V118)*$C$104/$C$106)+(SUM($D$118:V118)*$C$105/$C$107)</f>
        <v>6281984.1152036414</v>
      </c>
      <c r="W120" s="149">
        <f>(SUM($D$118:W118)*$C$104/$C$106)+(SUM($D$118:W118)*$C$105/$C$107)</f>
        <v>6612614.858109097</v>
      </c>
      <c r="X120" s="149">
        <f>(SUM($D$118:X118)*$C$104/$C$106)+(SUM($D$118:X118)*$C$105/$C$107)</f>
        <v>6943245.6010145498</v>
      </c>
      <c r="Y120" s="149">
        <f>(SUM($D$118:Y118)*$C$104/$C$106)+(SUM($D$118:Y118)*$C$105/$C$107)</f>
        <v>7273876.3439200046</v>
      </c>
      <c r="Z120" s="149">
        <f>(SUM($D$118:Z118)*$C$104/$C$106)+(SUM($D$118:Z118)*$C$105/$C$107)</f>
        <v>7604507.0868254583</v>
      </c>
      <c r="AA120" s="149">
        <f>(SUM($D$118:AA118)*$C$104/$C$106)+(SUM($D$118:AA118)*$C$105/$C$107)</f>
        <v>7935137.8297309121</v>
      </c>
      <c r="AB120" s="149">
        <f>(SUM($D$118:AB118)*$C$104/$C$106)+(SUM($D$118:AB118)*$C$105/$C$107)</f>
        <v>8265768.5726363678</v>
      </c>
      <c r="AC120" s="149">
        <f>(SUM($D$118:AC118)*$C$104/$C$106)+(SUM($D$118:AC118)*$C$105/$C$107)</f>
        <v>8596399.3155418206</v>
      </c>
      <c r="AD120" s="149">
        <f>(SUM($D$118:AD118)*$C$104/$C$106)+(SUM($D$118:AD118)*$C$105/$C$107)</f>
        <v>8927030.0584472753</v>
      </c>
      <c r="AE120" s="149">
        <f>(SUM($D$118:AE118)*$C$104/$C$106)+(SUM($D$118:AE118)*$C$105/$C$107)</f>
        <v>9257660.8013527282</v>
      </c>
      <c r="AF120" s="149">
        <f>(SUM($D$118:AF118)*$C$104/$C$106)+(SUM($D$118:AF118)*$C$105/$C$107)</f>
        <v>9588291.5442581829</v>
      </c>
      <c r="AG120" s="149">
        <f>(SUM($D$118:AG118)*$C$104/$C$106)+(SUM($D$118:AG118)*$C$105/$C$107)</f>
        <v>9918922.2871636376</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413288.4286318185</v>
      </c>
      <c r="E122" s="72">
        <f>(SUM($D$118:E118)*$C$109)</f>
        <v>826576.85726363701</v>
      </c>
      <c r="F122" s="72">
        <f>(SUM($D$118:F118)*$C$109)</f>
        <v>1239865.2858954554</v>
      </c>
      <c r="G122" s="72">
        <f>(SUM($D$118:G118)*$C$109)</f>
        <v>1653153.714527274</v>
      </c>
      <c r="H122" s="72">
        <f>(SUM($D$118:H118)*$C$109)</f>
        <v>2066442.1431590924</v>
      </c>
      <c r="I122" s="72">
        <f>(SUM($D$118:I118)*$C$109)</f>
        <v>2479730.5717909108</v>
      </c>
      <c r="J122" s="72">
        <f>(SUM($D$118:J118)*$C$109)</f>
        <v>2893019.0004227296</v>
      </c>
      <c r="K122" s="72">
        <f>(SUM($D$118:K118)*$C$109)</f>
        <v>3306307.429054548</v>
      </c>
      <c r="L122" s="72">
        <f>(SUM($D$118:L118)*$C$109)</f>
        <v>3719595.8576863669</v>
      </c>
      <c r="M122" s="72">
        <f>(SUM($D$118:M118)*$C$109)</f>
        <v>4132884.2863181848</v>
      </c>
      <c r="N122" s="72">
        <f>(SUM($D$118:N118)*$C$109)</f>
        <v>4546172.7149500037</v>
      </c>
      <c r="O122" s="72">
        <f>(SUM($D$118:O118)*$C$109)</f>
        <v>4959461.1435818216</v>
      </c>
      <c r="P122" s="72">
        <f>(SUM($D$118:P118)*$C$109)</f>
        <v>5372749.5722136404</v>
      </c>
      <c r="Q122" s="72">
        <f>(SUM($D$118:Q118)*$C$109)</f>
        <v>5786038.0008454593</v>
      </c>
      <c r="R122" s="72">
        <f>(SUM($D$118:R118)*$C$109)</f>
        <v>6199326.4294772781</v>
      </c>
      <c r="S122" s="72">
        <f>(SUM($D$118:S118)*$C$109)</f>
        <v>6612614.8581090961</v>
      </c>
      <c r="T122" s="72">
        <f>(SUM($D$118:T118)*$C$109)</f>
        <v>7025903.2867409149</v>
      </c>
      <c r="U122" s="72">
        <f>(SUM($D$118:U118)*$C$109)</f>
        <v>7439191.7153727338</v>
      </c>
      <c r="V122" s="72">
        <f>(SUM($D$118:V118)*$C$109)</f>
        <v>7852480.1440045517</v>
      </c>
      <c r="W122" s="72">
        <f>(SUM($D$118:W118)*$C$109)</f>
        <v>8265768.5726363696</v>
      </c>
      <c r="X122" s="72">
        <f>(SUM($D$118:X118)*$C$109)</f>
        <v>8679057.0012681875</v>
      </c>
      <c r="Y122" s="72">
        <f>(SUM($D$118:Y118)*$C$109)</f>
        <v>9092345.4299000055</v>
      </c>
      <c r="Z122" s="72">
        <f>(SUM($D$118:Z118)*$C$109)</f>
        <v>9505633.8585318234</v>
      </c>
      <c r="AA122" s="72">
        <f>(SUM($D$118:AA118)*$C$109)</f>
        <v>9918922.2871636413</v>
      </c>
      <c r="AB122" s="72">
        <f>(SUM($D$118:AB118)*$C$109)</f>
        <v>10332210.715795457</v>
      </c>
      <c r="AC122" s="72">
        <f>(SUM($D$118:AC118)*$C$109)</f>
        <v>10745499.144427275</v>
      </c>
      <c r="AD122" s="72">
        <f>(SUM($D$118:AD118)*$C$109)</f>
        <v>11158787.573059093</v>
      </c>
      <c r="AE122" s="72">
        <f>(SUM($D$118:AE118)*$C$109)</f>
        <v>11572076.001690911</v>
      </c>
      <c r="AF122" s="72">
        <f>(SUM($D$118:AF118)*$C$109)</f>
        <v>11985364.430322729</v>
      </c>
      <c r="AG122" s="72">
        <f>(SUM($D$118:AG118)*$C$109)</f>
        <v>12398652.858954547</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151</v>
      </c>
      <c r="B126" s="77" t="s">
        <v>203</v>
      </c>
      <c r="C126" s="150">
        <v>14865.424598842999</v>
      </c>
      <c r="D126" s="140"/>
    </row>
    <row r="127" spans="1:33" x14ac:dyDescent="0.35">
      <c r="A127" s="77" t="s">
        <v>150</v>
      </c>
      <c r="B127" s="77" t="s">
        <v>133</v>
      </c>
      <c r="C127" s="150">
        <v>13495.3694885103</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14180.39704367665</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155</v>
      </c>
      <c r="B133" s="77" t="s">
        <v>156</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5251.9989050654258</v>
      </c>
      <c r="D135" s="157">
        <f t="shared" ref="D135:AG135" si="14">$C$135*D13</f>
        <v>5319.0954092005086</v>
      </c>
      <c r="E135" s="157">
        <f t="shared" si="14"/>
        <v>5387.0490995133723</v>
      </c>
      <c r="F135" s="157">
        <f t="shared" si="14"/>
        <v>5455.8709269194624</v>
      </c>
      <c r="G135" s="157">
        <f t="shared" si="14"/>
        <v>5525.5719822367937</v>
      </c>
      <c r="H135" s="157">
        <f t="shared" si="14"/>
        <v>5596.1634979732635</v>
      </c>
      <c r="I135" s="157">
        <f t="shared" si="14"/>
        <v>5667.656850136801</v>
      </c>
      <c r="J135" s="157">
        <f t="shared" si="14"/>
        <v>5740.0635600686437</v>
      </c>
      <c r="K135" s="157">
        <f t="shared" si="14"/>
        <v>5813.3952963000302</v>
      </c>
      <c r="L135" s="157">
        <f t="shared" si="14"/>
        <v>5887.663876432608</v>
      </c>
      <c r="M135" s="157">
        <f t="shared" si="14"/>
        <v>5962.8812690428822</v>
      </c>
      <c r="N135" s="157">
        <f t="shared" si="14"/>
        <v>6039.0595956109737</v>
      </c>
      <c r="O135" s="157">
        <f t="shared" si="14"/>
        <v>6116.2111324740363</v>
      </c>
      <c r="P135" s="157">
        <f t="shared" si="14"/>
        <v>6194.3483128046119</v>
      </c>
      <c r="Q135" s="157">
        <f t="shared" si="14"/>
        <v>6273.483728614272</v>
      </c>
      <c r="R135" s="157">
        <f t="shared" si="14"/>
        <v>6353.6301327828569</v>
      </c>
      <c r="S135" s="157">
        <f t="shared" si="14"/>
        <v>6434.8004411136326</v>
      </c>
      <c r="T135" s="157">
        <f t="shared" si="14"/>
        <v>6517.0077344147021</v>
      </c>
      <c r="U135" s="157">
        <f t="shared" si="14"/>
        <v>6600.2652606070214</v>
      </c>
      <c r="V135" s="157">
        <f t="shared" si="14"/>
        <v>6684.5864368593302</v>
      </c>
      <c r="W135" s="157">
        <f t="shared" si="14"/>
        <v>6769.9848517503679</v>
      </c>
      <c r="X135" s="157">
        <f t="shared" si="14"/>
        <v>6856.4742674587005</v>
      </c>
      <c r="Y135" s="157">
        <f t="shared" si="14"/>
        <v>6944.068621980542</v>
      </c>
      <c r="Z135" s="157">
        <f t="shared" si="14"/>
        <v>7032.7820313758939</v>
      </c>
      <c r="AA135" s="157">
        <f t="shared" si="14"/>
        <v>7122.6287920433879</v>
      </c>
      <c r="AB135" s="157">
        <f t="shared" si="14"/>
        <v>7213.623383024179</v>
      </c>
      <c r="AC135" s="157">
        <f t="shared" si="14"/>
        <v>7305.780468335297</v>
      </c>
      <c r="AD135" s="157">
        <f t="shared" si="14"/>
        <v>7399.1148993327743</v>
      </c>
      <c r="AE135" s="157">
        <f t="shared" si="14"/>
        <v>7493.6417171049961</v>
      </c>
      <c r="AF135" s="157">
        <f t="shared" si="14"/>
        <v>7589.3761548966013</v>
      </c>
      <c r="AG135" s="157">
        <f t="shared" si="14"/>
        <v>7686.333640563359</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0.2</v>
      </c>
      <c r="F4" s="65">
        <v>0.2</v>
      </c>
      <c r="G4" s="65">
        <v>0.2</v>
      </c>
      <c r="H4" s="65">
        <v>0.15</v>
      </c>
      <c r="I4" s="65">
        <v>0.15</v>
      </c>
      <c r="J4" s="65">
        <v>0.1</v>
      </c>
      <c r="K4" s="65">
        <v>0.08</v>
      </c>
      <c r="L4" s="65">
        <v>4.4999999999999998E-2</v>
      </c>
      <c r="M4" s="65">
        <v>0.04</v>
      </c>
      <c r="N4" s="65">
        <v>0.04</v>
      </c>
      <c r="O4" s="65">
        <v>0.04</v>
      </c>
      <c r="P4" s="65">
        <v>0.04</v>
      </c>
      <c r="Q4" s="65">
        <v>0.04</v>
      </c>
      <c r="R4" s="65">
        <v>0.04</v>
      </c>
      <c r="S4" s="65">
        <v>0.04</v>
      </c>
      <c r="T4" s="65">
        <v>0.04</v>
      </c>
      <c r="U4" s="65">
        <v>0.04</v>
      </c>
      <c r="V4" s="65">
        <v>0.04</v>
      </c>
      <c r="W4" s="65">
        <v>0.04</v>
      </c>
      <c r="X4" s="65">
        <v>0.04</v>
      </c>
      <c r="Y4" s="65">
        <v>0.04</v>
      </c>
      <c r="Z4" s="65">
        <v>0.04</v>
      </c>
      <c r="AA4" s="65">
        <v>0.04</v>
      </c>
      <c r="AB4" s="65">
        <v>0.04</v>
      </c>
      <c r="AC4" s="65">
        <v>0.03</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2.5259673085410559</v>
      </c>
      <c r="C6" s="25"/>
      <c r="D6" s="25"/>
      <c r="E6" s="27">
        <f>'Debt worksheet'!C5/'Profit and Loss'!C5</f>
        <v>1.9236179087683256</v>
      </c>
      <c r="F6" s="28">
        <f ca="1">'Debt worksheet'!D5/'Profit and Loss'!D5</f>
        <v>2.3206986276207786</v>
      </c>
      <c r="G6" s="28">
        <f ca="1">'Debt worksheet'!E5/'Profit and Loss'!E5</f>
        <v>2.4663969299223854</v>
      </c>
      <c r="H6" s="28">
        <f ca="1">'Debt worksheet'!F5/'Profit and Loss'!F5</f>
        <v>2.5259673085410559</v>
      </c>
      <c r="I6" s="28">
        <f ca="1">'Debt worksheet'!G5/'Profit and Loss'!G5</f>
        <v>2.4693638841127545</v>
      </c>
      <c r="J6" s="28">
        <f ca="1">'Debt worksheet'!H5/'Profit and Loss'!H5</f>
        <v>2.4236277868346376</v>
      </c>
      <c r="K6" s="28">
        <f ca="1">'Debt worksheet'!I5/'Profit and Loss'!I5</f>
        <v>2.371186203852532</v>
      </c>
      <c r="L6" s="28">
        <f ca="1">'Debt worksheet'!J5/'Profit and Loss'!J5</f>
        <v>2.3639665535193655</v>
      </c>
      <c r="M6" s="28">
        <f ca="1">'Debt worksheet'!K5/'Profit and Loss'!K5</f>
        <v>2.3663534217364015</v>
      </c>
      <c r="N6" s="28">
        <f ca="1">'Debt worksheet'!L5/'Profit and Loss'!L5</f>
        <v>2.3709653128181931</v>
      </c>
      <c r="O6" s="28">
        <f ca="1">'Debt worksheet'!M5/'Profit and Loss'!M5</f>
        <v>2.3770326997549791</v>
      </c>
      <c r="P6" s="28">
        <f ca="1">'Debt worksheet'!N5/'Profit and Loss'!N5</f>
        <v>2.3838350011663483</v>
      </c>
      <c r="Q6" s="28">
        <f ca="1">'Debt worksheet'!O5/'Profit and Loss'!O5</f>
        <v>2.3906983494084071</v>
      </c>
      <c r="R6" s="28">
        <f ca="1">'Debt worksheet'!P5/'Profit and Loss'!P5</f>
        <v>2.3969934469369245</v>
      </c>
      <c r="S6" s="28">
        <f ca="1">'Debt worksheet'!Q5/'Profit and Loss'!Q5</f>
        <v>2.4021335076868042</v>
      </c>
      <c r="T6" s="28">
        <f ca="1">'Debt worksheet'!R5/'Profit and Loss'!R5</f>
        <v>2.4055722803421382</v>
      </c>
      <c r="U6" s="28">
        <f ca="1">'Debt worksheet'!S5/'Profit and Loss'!S5</f>
        <v>2.4068021504810884</v>
      </c>
      <c r="V6" s="28">
        <f ca="1">'Debt worksheet'!T5/'Profit and Loss'!T5</f>
        <v>2.4053523186860795</v>
      </c>
      <c r="W6" s="28">
        <f ca="1">'Debt worksheet'!U5/'Profit and Loss'!U5</f>
        <v>2.4007870518123733</v>
      </c>
      <c r="X6" s="28">
        <f ca="1">'Debt worksheet'!V5/'Profit and Loss'!V5</f>
        <v>2.3927040047071646</v>
      </c>
      <c r="Y6" s="28">
        <f ca="1">'Debt worksheet'!W5/'Profit and Loss'!W5</f>
        <v>2.3807326097670272</v>
      </c>
      <c r="Z6" s="28">
        <f ca="1">'Debt worksheet'!X5/'Profit and Loss'!X5</f>
        <v>2.364532531813917</v>
      </c>
      <c r="AA6" s="28">
        <f ca="1">'Debt worksheet'!Y5/'Profit and Loss'!Y5</f>
        <v>2.3437921858591619</v>
      </c>
      <c r="AB6" s="28">
        <f ca="1">'Debt worksheet'!Z5/'Profit and Loss'!Z5</f>
        <v>2.3182273154110158</v>
      </c>
      <c r="AC6" s="28">
        <f ca="1">'Debt worksheet'!AA5/'Profit and Loss'!AA5</f>
        <v>2.3097891400263357</v>
      </c>
      <c r="AD6" s="28">
        <f ca="1">'Debt worksheet'!AB5/'Profit and Loss'!AB5</f>
        <v>2.3232376018059995</v>
      </c>
      <c r="AE6" s="28">
        <f ca="1">'Debt worksheet'!AC5/'Profit and Loss'!AC5</f>
        <v>2.3481380118927224</v>
      </c>
      <c r="AF6" s="28">
        <f ca="1">'Debt worksheet'!AD5/'Profit and Loss'!AD5</f>
        <v>2.3842976690423932</v>
      </c>
      <c r="AG6" s="28">
        <f ca="1">'Debt worksheet'!AE5/'Profit and Loss'!AE5</f>
        <v>2.4315271457833205</v>
      </c>
      <c r="AH6" s="28">
        <f ca="1">'Debt worksheet'!AF5/'Profit and Loss'!AF5</f>
        <v>2.489640234207283</v>
      </c>
      <c r="AI6" s="31"/>
    </row>
    <row r="7" spans="1:35" ht="21" x14ac:dyDescent="0.5">
      <c r="A7" s="19" t="s">
        <v>38</v>
      </c>
      <c r="B7" s="26">
        <f ca="1">MIN('Price and Financial ratios'!E7:AH7)</f>
        <v>0.16999128945822836</v>
      </c>
      <c r="C7" s="26"/>
      <c r="D7" s="26"/>
      <c r="E7" s="56">
        <f ca="1">'Cash Flow'!C7/'Debt worksheet'!C5</f>
        <v>0.17755912282997799</v>
      </c>
      <c r="F7" s="32">
        <f ca="1">'Cash Flow'!D7/'Debt worksheet'!D5</f>
        <v>0.16999128945822836</v>
      </c>
      <c r="G7" s="32">
        <f ca="1">'Cash Flow'!E7/'Debt worksheet'!E5</f>
        <v>0.18280469671801297</v>
      </c>
      <c r="H7" s="32">
        <f ca="1">'Cash Flow'!F7/'Debt worksheet'!F5</f>
        <v>0.19226953430769958</v>
      </c>
      <c r="I7" s="32">
        <f ca="1">'Cash Flow'!G7/'Debt worksheet'!G5</f>
        <v>0.21179708485634993</v>
      </c>
      <c r="J7" s="32">
        <f ca="1">'Cash Flow'!H7/'Debt worksheet'!H5</f>
        <v>0.22297082787910466</v>
      </c>
      <c r="K7" s="32">
        <f ca="1">'Cash Flow'!I7/'Debt worksheet'!I5</f>
        <v>0.23237972793542347</v>
      </c>
      <c r="L7" s="32">
        <f ca="1">'Cash Flow'!J7/'Debt worksheet'!J5</f>
        <v>0.2315995232587936</v>
      </c>
      <c r="M7" s="17">
        <f ca="1">'Cash Flow'!K7/'Debt worksheet'!K5</f>
        <v>0.22919199624168865</v>
      </c>
      <c r="N7" s="17">
        <f ca="1">'Cash Flow'!L7/'Debt worksheet'!L5</f>
        <v>0.22679747469116351</v>
      </c>
      <c r="O7" s="17">
        <f ca="1">'Cash Flow'!M7/'Debt worksheet'!M5</f>
        <v>0.22449413706326396</v>
      </c>
      <c r="P7" s="17">
        <f ca="1">'Cash Flow'!N7/'Debt worksheet'!N5</f>
        <v>0.22235136636036415</v>
      </c>
      <c r="Q7" s="17">
        <f ca="1">'Cash Flow'!O7/'Debt worksheet'!O5</f>
        <v>0.2204303582505496</v>
      </c>
      <c r="R7" s="17">
        <f ca="1">'Cash Flow'!P7/'Debt worksheet'!P5</f>
        <v>0.21878507313621909</v>
      </c>
      <c r="S7" s="17">
        <f ca="1">'Cash Flow'!Q7/'Debt worksheet'!Q5</f>
        <v>0.21746341070431627</v>
      </c>
      <c r="T7" s="17">
        <f ca="1">'Cash Flow'!R7/'Debt worksheet'!R5</f>
        <v>0.21650851534651261</v>
      </c>
      <c r="U7" s="17">
        <f ca="1">'Cash Flow'!S7/'Debt worksheet'!S5</f>
        <v>0.21596015031933793</v>
      </c>
      <c r="V7" s="17">
        <f ca="1">'Cash Flow'!T7/'Debt worksheet'!T5</f>
        <v>0.21585610534339641</v>
      </c>
      <c r="W7" s="17">
        <f ca="1">'Cash Flow'!U7/'Debt worksheet'!U5</f>
        <v>0.21623362574753949</v>
      </c>
      <c r="X7" s="17">
        <f ca="1">'Cash Flow'!V7/'Debt worksheet'!V5</f>
        <v>0.21713087153070609</v>
      </c>
      <c r="Y7" s="17">
        <f ca="1">'Cash Flow'!W7/'Debt worksheet'!W5</f>
        <v>0.21858843281692766</v>
      </c>
      <c r="Z7" s="17">
        <f ca="1">'Cash Flow'!X7/'Debt worksheet'!X5</f>
        <v>0.22065094556472289</v>
      </c>
      <c r="AA7" s="17">
        <f ca="1">'Cash Flow'!Y7/'Debt worksheet'!Y5</f>
        <v>0.22336886990161861</v>
      </c>
      <c r="AB7" s="17">
        <f ca="1">'Cash Flow'!Z7/'Debt worksheet'!Z5</f>
        <v>0.22680051539129101</v>
      </c>
      <c r="AC7" s="17">
        <f ca="1">'Cash Flow'!AA7/'Debt worksheet'!AA5</f>
        <v>0.22665867407936482</v>
      </c>
      <c r="AD7" s="17">
        <f ca="1">'Cash Flow'!AB7/'Debt worksheet'!AB5</f>
        <v>0.22268995580586151</v>
      </c>
      <c r="AE7" s="17">
        <f ca="1">'Cash Flow'!AC7/'Debt worksheet'!AC5</f>
        <v>0.21759618569286612</v>
      </c>
      <c r="AF7" s="17">
        <f ca="1">'Cash Flow'!AD7/'Debt worksheet'!AD5</f>
        <v>0.21150458607147338</v>
      </c>
      <c r="AG7" s="17">
        <f ca="1">'Cash Flow'!AE7/'Debt worksheet'!AE5</f>
        <v>0.20456165997483558</v>
      </c>
      <c r="AH7" s="17">
        <f ca="1">'Cash Flow'!AF7/'Debt worksheet'!AF5</f>
        <v>0.19692456883376169</v>
      </c>
      <c r="AI7" s="29"/>
    </row>
    <row r="8" spans="1:35" ht="21" x14ac:dyDescent="0.5">
      <c r="A8" s="19" t="s">
        <v>33</v>
      </c>
      <c r="B8" s="26">
        <f ca="1">MAX('Price and Financial ratios'!E8:AH8)</f>
        <v>0.43359728507414785</v>
      </c>
      <c r="C8" s="26"/>
      <c r="D8" s="176"/>
      <c r="E8" s="17">
        <f>'Balance Sheet'!B11/'Balance Sheet'!B8</f>
        <v>0.22918949998838667</v>
      </c>
      <c r="F8" s="17">
        <f ca="1">'Balance Sheet'!C11/'Balance Sheet'!C8</f>
        <v>0.33448238001872393</v>
      </c>
      <c r="G8" s="17">
        <f ca="1">'Balance Sheet'!D11/'Balance Sheet'!D8</f>
        <v>0.38766182021602785</v>
      </c>
      <c r="H8" s="17">
        <f ca="1">'Balance Sheet'!E11/'Balance Sheet'!E8</f>
        <v>0.4181335535094417</v>
      </c>
      <c r="I8" s="17">
        <f ca="1">'Balance Sheet'!F11/'Balance Sheet'!F8</f>
        <v>0.43329966538398135</v>
      </c>
      <c r="J8" s="17">
        <f ca="1">'Balance Sheet'!G11/'Balance Sheet'!G8</f>
        <v>0.43359728507414785</v>
      </c>
      <c r="K8" s="17">
        <f ca="1">'Balance Sheet'!H11/'Balance Sheet'!H8</f>
        <v>0.42669001490818048</v>
      </c>
      <c r="L8" s="17">
        <f ca="1">'Balance Sheet'!I11/'Balance Sheet'!I8</f>
        <v>0.41573646229706668</v>
      </c>
      <c r="M8" s="17">
        <f ca="1">'Balance Sheet'!J11/'Balance Sheet'!J8</f>
        <v>0.40625212735641858</v>
      </c>
      <c r="N8" s="17">
        <f ca="1">'Balance Sheet'!K11/'Balance Sheet'!K8</f>
        <v>0.39864889111321716</v>
      </c>
      <c r="O8" s="17">
        <f ca="1">'Balance Sheet'!L11/'Balance Sheet'!L8</f>
        <v>0.39256064487813075</v>
      </c>
      <c r="P8" s="17">
        <f ca="1">'Balance Sheet'!M11/'Balance Sheet'!M8</f>
        <v>0.38768676905402061</v>
      </c>
      <c r="Q8" s="17">
        <f ca="1">'Balance Sheet'!N11/'Balance Sheet'!N8</f>
        <v>0.38377655491086798</v>
      </c>
      <c r="R8" s="17">
        <f ca="1">'Balance Sheet'!O11/'Balance Sheet'!O8</f>
        <v>0.38061780085238273</v>
      </c>
      <c r="S8" s="17">
        <f ca="1">'Balance Sheet'!P11/'Balance Sheet'!P8</f>
        <v>0.3780283321122368</v>
      </c>
      <c r="T8" s="17">
        <f ca="1">'Balance Sheet'!Q11/'Balance Sheet'!Q8</f>
        <v>0.37584960368541531</v>
      </c>
      <c r="U8" s="17">
        <f ca="1">'Balance Sheet'!R11/'Balance Sheet'!R8</f>
        <v>0.37394181135063048</v>
      </c>
      <c r="V8" s="17">
        <f ca="1">'Balance Sheet'!S11/'Balance Sheet'!S8</f>
        <v>0.3721801101922444</v>
      </c>
      <c r="W8" s="17">
        <f ca="1">'Balance Sheet'!T11/'Balance Sheet'!T8</f>
        <v>0.37045165716235828</v>
      </c>
      <c r="X8" s="17">
        <f ca="1">'Balance Sheet'!U11/'Balance Sheet'!U8</f>
        <v>0.36865327418310712</v>
      </c>
      <c r="Y8" s="17">
        <f ca="1">'Balance Sheet'!V11/'Balance Sheet'!V8</f>
        <v>0.36668958373713267</v>
      </c>
      <c r="Z8" s="17">
        <f ca="1">'Balance Sheet'!W11/'Balance Sheet'!W8</f>
        <v>0.36447150790448479</v>
      </c>
      <c r="AA8" s="17">
        <f ca="1">'Balance Sheet'!X11/'Balance Sheet'!X8</f>
        <v>0.3619150496185527</v>
      </c>
      <c r="AB8" s="17">
        <f ca="1">'Balance Sheet'!Y11/'Balance Sheet'!Y8</f>
        <v>0.35894029499193719</v>
      </c>
      <c r="AC8" s="17">
        <f ca="1">'Balance Sheet'!Z11/'Balance Sheet'!Z8</f>
        <v>0.35547059022444949</v>
      </c>
      <c r="AD8" s="17">
        <f ca="1">'Balance Sheet'!AA11/'Balance Sheet'!AA8</f>
        <v>0.35290837885448179</v>
      </c>
      <c r="AE8" s="17">
        <f ca="1">'Balance Sheet'!AB11/'Balance Sheet'!AB8</f>
        <v>0.35234234896211625</v>
      </c>
      <c r="AF8" s="17">
        <f ca="1">'Balance Sheet'!AC11/'Balance Sheet'!AC8</f>
        <v>0.35366333948596412</v>
      </c>
      <c r="AG8" s="17">
        <f ca="1">'Balance Sheet'!AD11/'Balance Sheet'!AD8</f>
        <v>0.35677444640667311</v>
      </c>
      <c r="AH8" s="17">
        <f ca="1">'Balance Sheet'!AE11/'Balance Sheet'!AE8</f>
        <v>0.36158941883218598</v>
      </c>
      <c r="AI8" s="29"/>
    </row>
    <row r="9" spans="1:35" ht="21.5" thickBot="1" x14ac:dyDescent="0.55000000000000004">
      <c r="A9" s="20" t="s">
        <v>32</v>
      </c>
      <c r="B9" s="21">
        <f ca="1">MIN('Price and Financial ratios'!E9:AH9)</f>
        <v>4.4600359664042557</v>
      </c>
      <c r="C9" s="21"/>
      <c r="D9" s="177"/>
      <c r="E9" s="21">
        <f ca="1">('Cash Flow'!C7+'Profit and Loss'!C8)/('Profit and Loss'!C8)</f>
        <v>4.4600359664042557</v>
      </c>
      <c r="F9" s="21">
        <f ca="1">('Cash Flow'!D7+'Profit and Loss'!D8)/('Profit and Loss'!D8)</f>
        <v>4.7602783879767419</v>
      </c>
      <c r="G9" s="21">
        <f ca="1">('Cash Flow'!E7+'Profit and Loss'!E8)/('Profit and Loss'!E8)</f>
        <v>5.3786835240828363</v>
      </c>
      <c r="H9" s="21">
        <f ca="1">('Cash Flow'!F7+'Profit and Loss'!F8)/('Profit and Loss'!F8)</f>
        <v>5.8247417225560119</v>
      </c>
      <c r="I9" s="21">
        <f ca="1">('Cash Flow'!G7+'Profit and Loss'!G8)/('Profit and Loss'!G8)</f>
        <v>6.5343327097992798</v>
      </c>
      <c r="J9" s="21">
        <f ca="1">('Cash Flow'!H7+'Profit and Loss'!H8)/('Profit and Loss'!H8)</f>
        <v>6.953102449578715</v>
      </c>
      <c r="K9" s="21">
        <f ca="1">('Cash Flow'!I7+'Profit and Loss'!I8)/('Profit and Loss'!I8)</f>
        <v>7.2925269236440098</v>
      </c>
      <c r="L9" s="21">
        <f ca="1">('Cash Flow'!J7+'Profit and Loss'!J8)/('Profit and Loss'!J8)</f>
        <v>7.2760275782153823</v>
      </c>
      <c r="M9" s="21">
        <f ca="1">('Cash Flow'!K7+'Profit and Loss'!K8)/('Profit and Loss'!K8)</f>
        <v>7.2049647423519003</v>
      </c>
      <c r="N9" s="21">
        <f ca="1">('Cash Flow'!L7+'Profit and Loss'!L8)/('Profit and Loss'!L8)</f>
        <v>7.136400851500678</v>
      </c>
      <c r="O9" s="21">
        <f ca="1">('Cash Flow'!M7+'Profit and Loss'!M8)/('Profit and Loss'!M8)</f>
        <v>7.0722470178268919</v>
      </c>
      <c r="P9" s="21">
        <f ca="1">('Cash Flow'!N7+'Profit and Loss'!N8)/('Profit and Loss'!N8)</f>
        <v>7.0141835137970503</v>
      </c>
      <c r="Q9" s="21">
        <f ca="1">('Cash Flow'!O7+'Profit and Loss'!O8)/('Profit and Loss'!O8)</f>
        <v>6.9636864859241774</v>
      </c>
      <c r="R9" s="21">
        <f ca="1">('Cash Flow'!P7+'Profit and Loss'!P8)/('Profit and Loss'!P8)</f>
        <v>6.9220607299514763</v>
      </c>
      <c r="S9" s="21">
        <f ca="1">('Cash Flow'!Q7+'Profit and Loss'!Q8)/('Profit and Loss'!Q8)</f>
        <v>6.8904759706715337</v>
      </c>
      <c r="T9" s="21">
        <f ca="1">('Cash Flow'!R7+'Profit and Loss'!R8)/('Profit and Loss'!R8)</f>
        <v>6.8700049117837505</v>
      </c>
      <c r="U9" s="21">
        <f ca="1">('Cash Flow'!S7+'Profit and Loss'!S8)/('Profit and Loss'!S8)</f>
        <v>6.8616620665028512</v>
      </c>
      <c r="V9" s="21">
        <f ca="1">('Cash Flow'!T7+'Profit and Loss'!T8)/('Profit and Loss'!T8)</f>
        <v>6.8664430269622612</v>
      </c>
      <c r="W9" s="21">
        <f ca="1">('Cash Flow'!U7+'Profit and Loss'!U8)/('Profit and Loss'!U8)</f>
        <v>6.8853643878087434</v>
      </c>
      <c r="X9" s="21">
        <f ca="1">('Cash Flow'!V7+'Profit and Loss'!V8)/('Profit and Loss'!V8)</f>
        <v>6.9195050337637394</v>
      </c>
      <c r="Y9" s="21">
        <f ca="1">('Cash Flow'!W7+'Profit and Loss'!W8)/('Profit and Loss'!W8)</f>
        <v>6.9700499720710081</v>
      </c>
      <c r="Z9" s="21">
        <f ca="1">('Cash Flow'!X7+'Profit and Loss'!X8)/('Profit and Loss'!X8)</f>
        <v>7.038338388869108</v>
      </c>
      <c r="AA9" s="21">
        <f ca="1">('Cash Flow'!Y7+'Profit and Loss'!Y8)/('Profit and Loss'!Y8)</f>
        <v>7.1259181960440552</v>
      </c>
      <c r="AB9" s="21">
        <f ca="1">('Cash Flow'!Z7+'Profit and Loss'!Z8)/('Profit and Loss'!Z8)</f>
        <v>7.2346100927617538</v>
      </c>
      <c r="AC9" s="21">
        <f ca="1">('Cash Flow'!AA7+'Profit and Loss'!AA8)/('Profit and Loss'!AA8)</f>
        <v>7.220409230366494</v>
      </c>
      <c r="AD9" s="21">
        <f ca="1">('Cash Flow'!AB7+'Profit and Loss'!AB8)/('Profit and Loss'!AB8)</f>
        <v>7.0818897701335786</v>
      </c>
      <c r="AE9" s="21">
        <f ca="1">('Cash Flow'!AC7+'Profit and Loss'!AC8)/('Profit and Loss'!AC8)</f>
        <v>6.9153756511909856</v>
      </c>
      <c r="AF9" s="21">
        <f ca="1">('Cash Flow'!AD7+'Profit and Loss'!AD8)/('Profit and Loss'!AD8)</f>
        <v>6.7249150507603135</v>
      </c>
      <c r="AG9" s="21">
        <f ca="1">('Cash Flow'!AE7+'Profit and Loss'!AE8)/('Profit and Loss'!AE8)</f>
        <v>6.5148623141587159</v>
      </c>
      <c r="AH9" s="21">
        <f ca="1">('Cash Flow'!AF7+'Profit and Loss'!AF8)/('Profit and Loss'!AF8)</f>
        <v>6.2896484373257415</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161</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3508426.1779798334</v>
      </c>
      <c r="D5" s="1">
        <f>Assumptions!E111</f>
        <v>3508426.1779798334</v>
      </c>
      <c r="E5" s="1">
        <f>Assumptions!F111</f>
        <v>3508426.1779798334</v>
      </c>
      <c r="F5" s="1">
        <f>Assumptions!G111</f>
        <v>3508426.1779798334</v>
      </c>
      <c r="G5" s="1">
        <f>Assumptions!H111</f>
        <v>3508426.1779798334</v>
      </c>
      <c r="H5" s="1">
        <f>Assumptions!I111</f>
        <v>3508426.1779798334</v>
      </c>
      <c r="I5" s="1">
        <f>Assumptions!J111</f>
        <v>3508426.1779798334</v>
      </c>
      <c r="J5" s="1">
        <f>Assumptions!K111</f>
        <v>3508426.1779798334</v>
      </c>
      <c r="K5" s="1">
        <f>Assumptions!L111</f>
        <v>3508426.1779798334</v>
      </c>
      <c r="L5" s="1">
        <f>Assumptions!M111</f>
        <v>3508426.1779798334</v>
      </c>
      <c r="M5" s="1">
        <f>Assumptions!N111</f>
        <v>3508426.1779798334</v>
      </c>
      <c r="N5" s="1">
        <f>Assumptions!O111</f>
        <v>3508426.1779798334</v>
      </c>
      <c r="O5" s="1">
        <f>Assumptions!P111</f>
        <v>3508426.1779798334</v>
      </c>
      <c r="P5" s="1">
        <f>Assumptions!Q111</f>
        <v>3508426.1779798334</v>
      </c>
      <c r="Q5" s="1">
        <f>Assumptions!R111</f>
        <v>3508426.1779798334</v>
      </c>
      <c r="R5" s="1">
        <f>Assumptions!S111</f>
        <v>3508426.1779798334</v>
      </c>
      <c r="S5" s="1">
        <f>Assumptions!T111</f>
        <v>3508426.1779798334</v>
      </c>
      <c r="T5" s="1">
        <f>Assumptions!U111</f>
        <v>3508426.1779798334</v>
      </c>
      <c r="U5" s="1">
        <f>Assumptions!V111</f>
        <v>3508426.1779798334</v>
      </c>
      <c r="V5" s="1">
        <f>Assumptions!W111</f>
        <v>3508426.1779798334</v>
      </c>
      <c r="W5" s="1">
        <f>Assumptions!X111</f>
        <v>3508426.1779798334</v>
      </c>
      <c r="X5" s="1">
        <f>Assumptions!Y111</f>
        <v>3508426.1779798334</v>
      </c>
      <c r="Y5" s="1">
        <f>Assumptions!Z111</f>
        <v>3508426.1779798334</v>
      </c>
      <c r="Z5" s="1">
        <f>Assumptions!AA111</f>
        <v>3508426.1779798334</v>
      </c>
      <c r="AA5" s="1">
        <f>Assumptions!AB111</f>
        <v>3508426.1779798334</v>
      </c>
      <c r="AB5" s="1">
        <f>Assumptions!AC111</f>
        <v>3508426.1779798334</v>
      </c>
      <c r="AC5" s="1">
        <f>Assumptions!AD111</f>
        <v>3508426.1779798334</v>
      </c>
      <c r="AD5" s="1">
        <f>Assumptions!AE111</f>
        <v>3508426.1779798334</v>
      </c>
      <c r="AE5" s="1">
        <f>Assumptions!AF111</f>
        <v>3508426.1779798334</v>
      </c>
      <c r="AF5" s="1">
        <f>Assumptions!AG111</f>
        <v>3508426.1779798334</v>
      </c>
    </row>
    <row r="6" spans="1:32" x14ac:dyDescent="0.35">
      <c r="A6" t="s">
        <v>68</v>
      </c>
      <c r="C6" s="1">
        <f>Assumptions!D113</f>
        <v>13776280.954393951</v>
      </c>
      <c r="D6" s="1">
        <f>Assumptions!E113</f>
        <v>13776280.954393951</v>
      </c>
      <c r="E6" s="1">
        <f>Assumptions!F113</f>
        <v>13776280.954393951</v>
      </c>
      <c r="F6" s="1">
        <f>Assumptions!G113</f>
        <v>13776280.954393951</v>
      </c>
      <c r="G6" s="1">
        <f>Assumptions!H113</f>
        <v>13776280.954393951</v>
      </c>
      <c r="H6" s="1">
        <f>Assumptions!I113</f>
        <v>13776280.954393951</v>
      </c>
      <c r="I6" s="1">
        <f>Assumptions!J113</f>
        <v>13776280.954393951</v>
      </c>
      <c r="J6" s="1">
        <f>Assumptions!K113</f>
        <v>13776280.954393951</v>
      </c>
      <c r="K6" s="1">
        <f>Assumptions!L113</f>
        <v>13776280.954393951</v>
      </c>
      <c r="L6" s="1">
        <f>Assumptions!M113</f>
        <v>13776280.954393951</v>
      </c>
      <c r="M6" s="1">
        <f>Assumptions!N113</f>
        <v>13776280.954393951</v>
      </c>
      <c r="N6" s="1">
        <f>Assumptions!O113</f>
        <v>13776280.954393951</v>
      </c>
      <c r="O6" s="1">
        <f>Assumptions!P113</f>
        <v>13776280.954393951</v>
      </c>
      <c r="P6" s="1">
        <f>Assumptions!Q113</f>
        <v>13776280.954393951</v>
      </c>
      <c r="Q6" s="1">
        <f>Assumptions!R113</f>
        <v>13776280.954393951</v>
      </c>
      <c r="R6" s="1">
        <f>Assumptions!S113</f>
        <v>13776280.954393951</v>
      </c>
      <c r="S6" s="1">
        <f>Assumptions!T113</f>
        <v>13776280.954393951</v>
      </c>
      <c r="T6" s="1">
        <f>Assumptions!U113</f>
        <v>13776280.954393951</v>
      </c>
      <c r="U6" s="1">
        <f>Assumptions!V113</f>
        <v>13776280.954393951</v>
      </c>
      <c r="V6" s="1">
        <f>Assumptions!W113</f>
        <v>13776280.954393951</v>
      </c>
      <c r="W6" s="1">
        <f>Assumptions!X113</f>
        <v>13776280.954393951</v>
      </c>
      <c r="X6" s="1">
        <f>Assumptions!Y113</f>
        <v>13776280.954393951</v>
      </c>
      <c r="Y6" s="1">
        <f>Assumptions!Z113</f>
        <v>13776280.954393951</v>
      </c>
      <c r="Z6" s="1">
        <f>Assumptions!AA113</f>
        <v>13776280.954393951</v>
      </c>
      <c r="AA6" s="1">
        <f>Assumptions!AB113</f>
        <v>13776280.954393951</v>
      </c>
      <c r="AB6" s="1">
        <f>Assumptions!AC113</f>
        <v>13776280.954393951</v>
      </c>
      <c r="AC6" s="1">
        <f>Assumptions!AD113</f>
        <v>13776280.954393951</v>
      </c>
      <c r="AD6" s="1">
        <f>Assumptions!AE113</f>
        <v>13776280.954393951</v>
      </c>
      <c r="AE6" s="1">
        <f>Assumptions!AF113</f>
        <v>13776280.954393951</v>
      </c>
      <c r="AF6" s="1">
        <f>Assumptions!AG113</f>
        <v>13776280.954393951</v>
      </c>
    </row>
    <row r="7" spans="1:32" x14ac:dyDescent="0.35">
      <c r="A7" t="s">
        <v>73</v>
      </c>
      <c r="C7" s="1">
        <f>Assumptions!D120</f>
        <v>330630.74290545483</v>
      </c>
      <c r="D7" s="1">
        <f>Assumptions!E120</f>
        <v>661261.48581090965</v>
      </c>
      <c r="E7" s="1">
        <f>Assumptions!F120</f>
        <v>991892.22871636436</v>
      </c>
      <c r="F7" s="1">
        <f>Assumptions!G120</f>
        <v>1322522.9716218193</v>
      </c>
      <c r="G7" s="1">
        <f>Assumptions!H120</f>
        <v>1653153.7145272742</v>
      </c>
      <c r="H7" s="1">
        <f>Assumptions!I120</f>
        <v>1983784.4574327287</v>
      </c>
      <c r="I7" s="1">
        <f>Assumptions!J120</f>
        <v>2314415.2003381839</v>
      </c>
      <c r="J7" s="1">
        <f>Assumptions!K120</f>
        <v>2645045.9432436386</v>
      </c>
      <c r="K7" s="1">
        <f>Assumptions!L120</f>
        <v>2975676.6861490933</v>
      </c>
      <c r="L7" s="1">
        <f>Assumptions!M120</f>
        <v>3306307.4290545485</v>
      </c>
      <c r="M7" s="1">
        <f>Assumptions!N120</f>
        <v>3636938.1719600027</v>
      </c>
      <c r="N7" s="1">
        <f>Assumptions!O120</f>
        <v>3967568.9148654575</v>
      </c>
      <c r="O7" s="1">
        <f>Assumptions!P120</f>
        <v>4298199.6577709122</v>
      </c>
      <c r="P7" s="1">
        <f>Assumptions!Q120</f>
        <v>4628830.4006763678</v>
      </c>
      <c r="Q7" s="1">
        <f>Assumptions!R120</f>
        <v>4959461.1435818225</v>
      </c>
      <c r="R7" s="1">
        <f>Assumptions!S120</f>
        <v>5290091.8864872772</v>
      </c>
      <c r="S7" s="1">
        <f>Assumptions!T120</f>
        <v>5620722.6293927329</v>
      </c>
      <c r="T7" s="1">
        <f>Assumptions!U120</f>
        <v>5951353.3722981866</v>
      </c>
      <c r="U7" s="1">
        <f>Assumptions!V120</f>
        <v>6281984.1152036414</v>
      </c>
      <c r="V7" s="1">
        <f>Assumptions!W120</f>
        <v>6612614.858109097</v>
      </c>
      <c r="W7" s="1">
        <f>Assumptions!X120</f>
        <v>6943245.6010145498</v>
      </c>
      <c r="X7" s="1">
        <f>Assumptions!Y120</f>
        <v>7273876.3439200046</v>
      </c>
      <c r="Y7" s="1">
        <f>Assumptions!Z120</f>
        <v>7604507.0868254583</v>
      </c>
      <c r="Z7" s="1">
        <f>Assumptions!AA120</f>
        <v>7935137.8297309121</v>
      </c>
      <c r="AA7" s="1">
        <f>Assumptions!AB120</f>
        <v>8265768.5726363678</v>
      </c>
      <c r="AB7" s="1">
        <f>Assumptions!AC120</f>
        <v>8596399.3155418206</v>
      </c>
      <c r="AC7" s="1">
        <f>Assumptions!AD120</f>
        <v>8927030.0584472753</v>
      </c>
      <c r="AD7" s="1">
        <f>Assumptions!AE120</f>
        <v>9257660.8013527282</v>
      </c>
      <c r="AE7" s="1">
        <f>Assumptions!AF120</f>
        <v>9588291.5442581829</v>
      </c>
      <c r="AF7" s="1">
        <f>Assumptions!AG120</f>
        <v>9918922.2871636376</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3620695.8156751883</v>
      </c>
      <c r="D11" s="1">
        <f>D5*D$9</f>
        <v>3736558.081776794</v>
      </c>
      <c r="E11" s="1">
        <f t="shared" ref="D11:AF13" si="1">E5*E$9</f>
        <v>3856127.9403936514</v>
      </c>
      <c r="F11" s="1">
        <f t="shared" si="1"/>
        <v>3979524.0344862482</v>
      </c>
      <c r="G11" s="1">
        <f t="shared" si="1"/>
        <v>4106868.8035898083</v>
      </c>
      <c r="H11" s="1">
        <f t="shared" si="1"/>
        <v>4238288.6053046817</v>
      </c>
      <c r="I11" s="1">
        <f t="shared" si="1"/>
        <v>4373913.8406744311</v>
      </c>
      <c r="J11" s="1">
        <f t="shared" si="1"/>
        <v>4513879.0835760133</v>
      </c>
      <c r="K11" s="1">
        <f t="shared" si="1"/>
        <v>4658323.2142504463</v>
      </c>
      <c r="L11" s="1">
        <f t="shared" si="1"/>
        <v>4807389.5571064604</v>
      </c>
      <c r="M11" s="1">
        <f t="shared" si="1"/>
        <v>4961226.0229338668</v>
      </c>
      <c r="N11" s="1">
        <f t="shared" si="1"/>
        <v>5119985.2556677507</v>
      </c>
      <c r="O11" s="1">
        <f t="shared" si="1"/>
        <v>5283824.7838491192</v>
      </c>
      <c r="P11" s="1">
        <f t="shared" si="1"/>
        <v>5452907.1769322902</v>
      </c>
      <c r="Q11" s="1">
        <f t="shared" si="1"/>
        <v>5627400.2065941226</v>
      </c>
      <c r="R11" s="1">
        <f t="shared" si="1"/>
        <v>5807477.0132051352</v>
      </c>
      <c r="S11" s="1">
        <f t="shared" si="1"/>
        <v>5993316.2776277</v>
      </c>
      <c r="T11" s="1">
        <f t="shared" si="1"/>
        <v>6185102.398511786</v>
      </c>
      <c r="U11" s="1">
        <f t="shared" si="1"/>
        <v>6383025.675264162</v>
      </c>
      <c r="V11" s="1">
        <f t="shared" si="1"/>
        <v>6587282.496872616</v>
      </c>
      <c r="W11" s="1">
        <f t="shared" si="1"/>
        <v>6798075.5367725408</v>
      </c>
      <c r="X11" s="1">
        <f t="shared" si="1"/>
        <v>7015613.9539492615</v>
      </c>
      <c r="Y11" s="1">
        <f t="shared" si="1"/>
        <v>7240113.6004756363</v>
      </c>
      <c r="Z11" s="1">
        <f t="shared" si="1"/>
        <v>7471797.2356908573</v>
      </c>
      <c r="AA11" s="1">
        <f t="shared" si="1"/>
        <v>7710894.7472329661</v>
      </c>
      <c r="AB11" s="1">
        <f t="shared" si="1"/>
        <v>7957643.3791444199</v>
      </c>
      <c r="AC11" s="1">
        <f t="shared" si="1"/>
        <v>8212287.9672770407</v>
      </c>
      <c r="AD11" s="1">
        <f t="shared" si="1"/>
        <v>8475081.1822299063</v>
      </c>
      <c r="AE11" s="1">
        <f t="shared" si="1"/>
        <v>8746283.7800612636</v>
      </c>
      <c r="AF11" s="1">
        <f t="shared" si="1"/>
        <v>9026164.861023223</v>
      </c>
    </row>
    <row r="12" spans="1:32" x14ac:dyDescent="0.35">
      <c r="A12" t="s">
        <v>71</v>
      </c>
      <c r="C12" s="1">
        <f t="shared" ref="C12:R12" si="2">C6*C$9</f>
        <v>14217121.944934558</v>
      </c>
      <c r="D12" s="1">
        <f t="shared" si="2"/>
        <v>14672069.847172463</v>
      </c>
      <c r="E12" s="1">
        <f t="shared" si="2"/>
        <v>15141576.082281981</v>
      </c>
      <c r="F12" s="1">
        <f t="shared" si="2"/>
        <v>15626106.516915005</v>
      </c>
      <c r="G12" s="1">
        <f t="shared" si="2"/>
        <v>16126141.925456287</v>
      </c>
      <c r="H12" s="1">
        <f t="shared" si="2"/>
        <v>16642178.467070885</v>
      </c>
      <c r="I12" s="1">
        <f t="shared" si="2"/>
        <v>17174728.178017151</v>
      </c>
      <c r="J12" s="1">
        <f t="shared" si="2"/>
        <v>17724319.479713704</v>
      </c>
      <c r="K12" s="1">
        <f t="shared" si="2"/>
        <v>18291497.703064542</v>
      </c>
      <c r="L12" s="1">
        <f t="shared" si="2"/>
        <v>18876825.629562605</v>
      </c>
      <c r="M12" s="1">
        <f t="shared" si="2"/>
        <v>19480884.049708609</v>
      </c>
      <c r="N12" s="1">
        <f t="shared" si="2"/>
        <v>20104272.339299284</v>
      </c>
      <c r="O12" s="1">
        <f t="shared" si="2"/>
        <v>20747609.054156866</v>
      </c>
      <c r="P12" s="1">
        <f t="shared" si="2"/>
        <v>21411532.54388988</v>
      </c>
      <c r="Q12" s="1">
        <f t="shared" si="2"/>
        <v>22096701.585294351</v>
      </c>
      <c r="R12" s="1">
        <f t="shared" si="2"/>
        <v>22803796.036023777</v>
      </c>
      <c r="S12" s="1">
        <f t="shared" si="1"/>
        <v>23533517.509176541</v>
      </c>
      <c r="T12" s="1">
        <f t="shared" si="1"/>
        <v>24286590.069470186</v>
      </c>
      <c r="U12" s="1">
        <f t="shared" si="1"/>
        <v>25063760.951693229</v>
      </c>
      <c r="V12" s="1">
        <f t="shared" si="1"/>
        <v>25865801.302147415</v>
      </c>
      <c r="W12" s="1">
        <f t="shared" si="1"/>
        <v>26693506.943816137</v>
      </c>
      <c r="X12" s="1">
        <f t="shared" si="1"/>
        <v>27547699.166018248</v>
      </c>
      <c r="Y12" s="1">
        <f t="shared" si="1"/>
        <v>28429225.539330829</v>
      </c>
      <c r="Z12" s="1">
        <f t="shared" si="1"/>
        <v>29338960.756589416</v>
      </c>
      <c r="AA12" s="1">
        <f t="shared" si="1"/>
        <v>30277807.500800285</v>
      </c>
      <c r="AB12" s="1">
        <f t="shared" si="1"/>
        <v>31246697.340825889</v>
      </c>
      <c r="AC12" s="1">
        <f t="shared" si="1"/>
        <v>32246591.655732315</v>
      </c>
      <c r="AD12" s="1">
        <f t="shared" si="1"/>
        <v>33278482.588715754</v>
      </c>
      <c r="AE12" s="1">
        <f t="shared" si="1"/>
        <v>34343394.031554654</v>
      </c>
      <c r="AF12" s="1">
        <f t="shared" si="1"/>
        <v>35442382.640564397</v>
      </c>
    </row>
    <row r="13" spans="1:32" x14ac:dyDescent="0.35">
      <c r="A13" t="s">
        <v>74</v>
      </c>
      <c r="C13" s="1">
        <f>C7*C$9</f>
        <v>341210.92667842942</v>
      </c>
      <c r="D13" s="1">
        <f t="shared" si="1"/>
        <v>704259.35266427824</v>
      </c>
      <c r="E13" s="1">
        <f t="shared" si="1"/>
        <v>1090193.4779243025</v>
      </c>
      <c r="F13" s="1">
        <f t="shared" si="1"/>
        <v>1500106.2256238405</v>
      </c>
      <c r="G13" s="1">
        <f t="shared" si="1"/>
        <v>1935137.0310547545</v>
      </c>
      <c r="H13" s="1">
        <f t="shared" si="1"/>
        <v>2396473.6992582073</v>
      </c>
      <c r="I13" s="1">
        <f t="shared" si="1"/>
        <v>2885354.3339068815</v>
      </c>
      <c r="J13" s="1">
        <f t="shared" si="1"/>
        <v>3403069.3401050312</v>
      </c>
      <c r="K13" s="1">
        <f t="shared" si="1"/>
        <v>3950963.5038619409</v>
      </c>
      <c r="L13" s="1">
        <f t="shared" si="1"/>
        <v>4530438.1510950262</v>
      </c>
      <c r="M13" s="1">
        <f t="shared" si="1"/>
        <v>5142953.3891230719</v>
      </c>
      <c r="N13" s="1">
        <f t="shared" si="1"/>
        <v>5790030.4337181933</v>
      </c>
      <c r="O13" s="1">
        <f t="shared" si="1"/>
        <v>6473254.0248969411</v>
      </c>
      <c r="P13" s="1">
        <f t="shared" si="1"/>
        <v>7194274.9347470002</v>
      </c>
      <c r="Q13" s="1">
        <f t="shared" si="1"/>
        <v>7954812.570705967</v>
      </c>
      <c r="R13" s="1">
        <f t="shared" si="1"/>
        <v>8756657.6778331306</v>
      </c>
      <c r="S13" s="1">
        <f t="shared" si="1"/>
        <v>9601675.1437440291</v>
      </c>
      <c r="T13" s="1">
        <f t="shared" si="1"/>
        <v>10491806.91001112</v>
      </c>
      <c r="U13" s="1">
        <f t="shared" si="1"/>
        <v>11429074.993972111</v>
      </c>
      <c r="V13" s="1">
        <f t="shared" si="1"/>
        <v>12415584.62503076</v>
      </c>
      <c r="W13" s="1">
        <f t="shared" si="1"/>
        <v>13453527.49968333</v>
      </c>
      <c r="X13" s="1">
        <f t="shared" si="1"/>
        <v>14545185.159657631</v>
      </c>
      <c r="Y13" s="1">
        <f t="shared" si="1"/>
        <v>15692932.497710612</v>
      </c>
      <c r="Z13" s="1">
        <f t="shared" si="1"/>
        <v>16899241.395795494</v>
      </c>
      <c r="AA13" s="1">
        <f t="shared" si="1"/>
        <v>18166684.500480164</v>
      </c>
      <c r="AB13" s="1">
        <f t="shared" si="1"/>
        <v>19497939.140675344</v>
      </c>
      <c r="AC13" s="1">
        <f t="shared" si="1"/>
        <v>20895791.392914526</v>
      </c>
      <c r="AD13" s="1">
        <f t="shared" si="1"/>
        <v>22363140.29961697</v>
      </c>
      <c r="AE13" s="1">
        <f t="shared" si="1"/>
        <v>23903002.245962024</v>
      </c>
      <c r="AF13" s="1">
        <f t="shared" si="1"/>
        <v>25518515.50120635</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18179028.687288176</v>
      </c>
      <c r="D25" s="40">
        <f>SUM(D11:D13,D18:D23)</f>
        <v>19112887.281613536</v>
      </c>
      <c r="E25" s="40">
        <f t="shared" ref="E25:AF25" si="7">SUM(E11:E13,E18:E23)</f>
        <v>20087897.500599936</v>
      </c>
      <c r="F25" s="40">
        <f t="shared" si="7"/>
        <v>21105736.777025096</v>
      </c>
      <c r="G25" s="40">
        <f t="shared" si="7"/>
        <v>22168147.760100849</v>
      </c>
      <c r="H25" s="40">
        <f t="shared" si="7"/>
        <v>23276940.771633774</v>
      </c>
      <c r="I25" s="40">
        <f t="shared" si="7"/>
        <v>24433996.352598462</v>
      </c>
      <c r="J25" s="40">
        <f t="shared" si="7"/>
        <v>25641267.903394748</v>
      </c>
      <c r="K25" s="40">
        <f t="shared" si="7"/>
        <v>26900784.421176929</v>
      </c>
      <c r="L25" s="40">
        <f t="shared" si="7"/>
        <v>28214653.337764092</v>
      </c>
      <c r="M25" s="40">
        <f t="shared" si="7"/>
        <v>29585063.461765546</v>
      </c>
      <c r="N25" s="40">
        <f t="shared" si="7"/>
        <v>31014288.028685227</v>
      </c>
      <c r="O25" s="40">
        <f t="shared" si="7"/>
        <v>32504687.862902928</v>
      </c>
      <c r="P25" s="40">
        <f t="shared" si="7"/>
        <v>34058714.655569173</v>
      </c>
      <c r="Q25" s="40">
        <f t="shared" si="7"/>
        <v>35678914.362594441</v>
      </c>
      <c r="R25" s="40">
        <f t="shared" si="7"/>
        <v>37367930.727062047</v>
      </c>
      <c r="S25" s="40">
        <f t="shared" si="7"/>
        <v>39128508.930548266</v>
      </c>
      <c r="T25" s="40">
        <f t="shared" si="7"/>
        <v>40963499.377993092</v>
      </c>
      <c r="U25" s="40">
        <f t="shared" si="7"/>
        <v>42875861.620929502</v>
      </c>
      <c r="V25" s="40">
        <f t="shared" si="7"/>
        <v>44868668.424050793</v>
      </c>
      <c r="W25" s="40">
        <f t="shared" si="7"/>
        <v>46945109.98027201</v>
      </c>
      <c r="X25" s="40">
        <f t="shared" si="7"/>
        <v>49108498.279625133</v>
      </c>
      <c r="Y25" s="40">
        <f t="shared" si="7"/>
        <v>51362271.63751708</v>
      </c>
      <c r="Z25" s="40">
        <f t="shared" si="7"/>
        <v>53709999.388075769</v>
      </c>
      <c r="AA25" s="40">
        <f t="shared" si="7"/>
        <v>56155386.748513415</v>
      </c>
      <c r="AB25" s="40">
        <f t="shared" si="7"/>
        <v>58702279.860645652</v>
      </c>
      <c r="AC25" s="40">
        <f t="shared" si="7"/>
        <v>61354671.01592388</v>
      </c>
      <c r="AD25" s="40">
        <f t="shared" si="7"/>
        <v>64116704.070562631</v>
      </c>
      <c r="AE25" s="40">
        <f t="shared" si="7"/>
        <v>66992680.057577938</v>
      </c>
      <c r="AF25" s="40">
        <f t="shared" si="7"/>
        <v>69987063.002793968</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14679995.42167392</v>
      </c>
      <c r="D5" s="59">
        <f>C5*('Price and Financial ratios'!F4+1)*(1+Assumptions!$C$13)</f>
        <v>17841046.275740799</v>
      </c>
      <c r="E5" s="59">
        <f>D5*('Price and Financial ratios'!G4+1)*(1+Assumptions!$C$13)</f>
        <v>21682767.812255174</v>
      </c>
      <c r="F5" s="59">
        <f>E5*('Price and Financial ratios'!H4+1)*(1+Assumptions!$C$13)</f>
        <v>25253740.477810293</v>
      </c>
      <c r="G5" s="59">
        <f>F5*('Price and Financial ratios'!I4+1)*(1+Assumptions!$C$13)</f>
        <v>29412822.829755839</v>
      </c>
      <c r="H5" s="59">
        <f>G5*('Price and Financial ratios'!J4+1)*(1+Assumptions!$C$13)</f>
        <v>32767442.46994023</v>
      </c>
      <c r="I5" s="59">
        <f>H5*('Price and Financial ratios'!K4+1)*(1+Assumptions!$C$13)</f>
        <v>35840945.217372239</v>
      </c>
      <c r="J5" s="59">
        <f>I5*('Price and Financial ratios'!L4+1)*(1+Assumptions!$C$13)</f>
        <v>37932275.708875217</v>
      </c>
      <c r="K5" s="59">
        <f>J5*('Price and Financial ratios'!M4+1)*(1+Assumptions!$C$13)</f>
        <v>39953551.613380693</v>
      </c>
      <c r="L5" s="59">
        <f>K5*('Price and Financial ratios'!N4+1)*(1+Assumptions!$C$13)</f>
        <v>42082534.113543399</v>
      </c>
      <c r="M5" s="59">
        <f>L5*('Price and Financial ratios'!O4+1)*(1+Assumptions!$C$13)</f>
        <v>44324962.510327749</v>
      </c>
      <c r="N5" s="59">
        <f>M5*('Price and Financial ratios'!P4+1)*(1+Assumptions!$C$13)</f>
        <v>46686881.931610227</v>
      </c>
      <c r="O5" s="59">
        <f>N5*('Price and Financial ratios'!Q4+1)*(1+Assumptions!$C$13)</f>
        <v>49174659.628606565</v>
      </c>
      <c r="P5" s="59">
        <f>O5*('Price and Financial ratios'!R4+1)*(1+Assumptions!$C$13)</f>
        <v>51795002.140677482</v>
      </c>
      <c r="Q5" s="59">
        <f>P5*('Price and Financial ratios'!S4+1)*(1+Assumptions!$C$13)</f>
        <v>54554973.374785788</v>
      </c>
      <c r="R5" s="59">
        <f>Q5*('Price and Financial ratios'!T4+1)*(1+Assumptions!$C$13)</f>
        <v>57462013.648343422</v>
      </c>
      <c r="S5" s="59">
        <f>R5*('Price and Financial ratios'!U4+1)*(1+Assumptions!$C$13)</f>
        <v>60523959.746783957</v>
      </c>
      <c r="T5" s="59">
        <f>S5*('Price and Financial ratios'!V4+1)*(1+Assumptions!$C$13)</f>
        <v>63749066.049931757</v>
      </c>
      <c r="U5" s="59">
        <f>T5*('Price and Financial ratios'!W4+1)*(1+Assumptions!$C$13)</f>
        <v>67146026.784120083</v>
      </c>
      <c r="V5" s="59">
        <f>U5*('Price and Financial ratios'!X4+1)*(1+Assumptions!$C$13)</f>
        <v>70723999.460045397</v>
      </c>
      <c r="W5" s="59">
        <f>V5*('Price and Financial ratios'!Y4+1)*(1+Assumptions!$C$13)</f>
        <v>74492629.559541404</v>
      </c>
      <c r="X5" s="59">
        <f>W5*('Price and Financial ratios'!Z4+1)*(1+Assumptions!$C$13)</f>
        <v>78462076.537823379</v>
      </c>
      <c r="Y5" s="59">
        <f>X5*('Price and Financial ratios'!AA4+1)*(1+Assumptions!$C$13)</f>
        <v>82643041.211299568</v>
      </c>
      <c r="Z5" s="59">
        <f>Y5*('Price and Financial ratios'!AB4+1)*(1+Assumptions!$C$13)</f>
        <v>87046794.604781538</v>
      </c>
      <c r="AA5" s="59">
        <f>Z5*('Price and Financial ratios'!AC4+1)*(1+Assumptions!$C$13)</f>
        <v>90803619.794168547</v>
      </c>
      <c r="AB5" s="59">
        <f>AA5*('Price and Financial ratios'!AD4+1)*(1+Assumptions!$C$13)</f>
        <v>93986875.223442584</v>
      </c>
      <c r="AC5" s="59">
        <f>AB5*('Price and Financial ratios'!AE4+1)*(1+Assumptions!$C$13)</f>
        <v>97281724.388197348</v>
      </c>
      <c r="AD5" s="59">
        <f>AC5*('Price and Financial ratios'!AF4+1)*(1+Assumptions!$C$13)</f>
        <v>100692079.37217076</v>
      </c>
      <c r="AE5" s="59">
        <f>AD5*('Price and Financial ratios'!AG4+1)*(1+Assumptions!$C$13)</f>
        <v>104221989.40299246</v>
      </c>
      <c r="AF5" s="59">
        <f>AE5*('Price and Financial ratios'!AH4+1)*(1+Assumptions!$C$13)</f>
        <v>107875645.65996607</v>
      </c>
    </row>
    <row r="6" spans="1:32" s="11" customFormat="1" x14ac:dyDescent="0.35">
      <c r="A6" s="11" t="s">
        <v>20</v>
      </c>
      <c r="C6" s="59">
        <f>C27</f>
        <v>8216827.0417871708</v>
      </c>
      <c r="D6" s="59">
        <f t="shared" ref="D6:AF6" si="1">D27</f>
        <v>8931038.4323100522</v>
      </c>
      <c r="E6" s="59">
        <f>E27</f>
        <v>9674026.9123314414</v>
      </c>
      <c r="F6" s="59">
        <f t="shared" si="1"/>
        <v>10446759.576166373</v>
      </c>
      <c r="G6" s="59">
        <f t="shared" si="1"/>
        <v>11250233.775123527</v>
      </c>
      <c r="H6" s="59">
        <f t="shared" si="1"/>
        <v>12085478.03798498</v>
      </c>
      <c r="I6" s="59">
        <f t="shared" si="1"/>
        <v>12953553.019349476</v>
      </c>
      <c r="J6" s="59">
        <f t="shared" si="1"/>
        <v>13855552.476690112</v>
      </c>
      <c r="K6" s="59">
        <f t="shared" si="1"/>
        <v>14792604.27700365</v>
      </c>
      <c r="L6" s="59">
        <f t="shared" si="1"/>
        <v>15765871.433956016</v>
      </c>
      <c r="M6" s="59">
        <f t="shared" si="1"/>
        <v>16776553.176456548</v>
      </c>
      <c r="N6" s="59">
        <f t="shared" si="1"/>
        <v>17825886.049622662</v>
      </c>
      <c r="O6" s="59">
        <f t="shared" si="1"/>
        <v>18915145.049126524</v>
      </c>
      <c r="P6" s="59">
        <f t="shared" si="1"/>
        <v>20045644.789946109</v>
      </c>
      <c r="Q6" s="59">
        <f t="shared" si="1"/>
        <v>21218740.710575104</v>
      </c>
      <c r="R6" s="59">
        <f t="shared" si="1"/>
        <v>22435830.313778598</v>
      </c>
      <c r="S6" s="59">
        <f t="shared" si="1"/>
        <v>23698354.445015982</v>
      </c>
      <c r="T6" s="59">
        <f t="shared" si="1"/>
        <v>25007798.6096869</v>
      </c>
      <c r="U6" s="59">
        <f t="shared" si="1"/>
        <v>26365694.330392692</v>
      </c>
      <c r="V6" s="59">
        <f t="shared" si="1"/>
        <v>27773620.545442682</v>
      </c>
      <c r="W6" s="59">
        <f t="shared" si="1"/>
        <v>29233205.049873374</v>
      </c>
      <c r="X6" s="59">
        <f t="shared" si="1"/>
        <v>30746125.980288215</v>
      </c>
      <c r="Y6" s="59">
        <f t="shared" si="1"/>
        <v>32314113.344866473</v>
      </c>
      <c r="Z6" s="59">
        <f t="shared" si="1"/>
        <v>33938950.599932157</v>
      </c>
      <c r="AA6" s="59">
        <f t="shared" si="1"/>
        <v>35622476.274517402</v>
      </c>
      <c r="AB6" s="59">
        <f t="shared" si="1"/>
        <v>37366585.64440003</v>
      </c>
      <c r="AC6" s="59">
        <f t="shared" si="1"/>
        <v>39173232.4571409</v>
      </c>
      <c r="AD6" s="59">
        <f t="shared" si="1"/>
        <v>41044430.709695339</v>
      </c>
      <c r="AE6" s="59">
        <f t="shared" si="1"/>
        <v>42982256.480221711</v>
      </c>
      <c r="AF6" s="59">
        <f t="shared" si="1"/>
        <v>44988849.815761767</v>
      </c>
    </row>
    <row r="7" spans="1:32" x14ac:dyDescent="0.35">
      <c r="A7" t="s">
        <v>21</v>
      </c>
      <c r="C7" s="4">
        <f>Depreciation!C8+Depreciation!C9</f>
        <v>3961906.7423536177</v>
      </c>
      <c r="D7" s="4">
        <f>Depreciation!D8+Depreciation!D9</f>
        <v>4440817.4344410719</v>
      </c>
      <c r="E7" s="4">
        <f>Depreciation!E8+Depreciation!E9</f>
        <v>4946321.4183179541</v>
      </c>
      <c r="F7" s="4">
        <f>Depreciation!F8+Depreciation!F9</f>
        <v>5479630.2601100886</v>
      </c>
      <c r="G7" s="4">
        <f>Depreciation!G8+Depreciation!G9</f>
        <v>6042005.8346445626</v>
      </c>
      <c r="H7" s="4">
        <f>Depreciation!H8+Depreciation!H9</f>
        <v>6634762.304562889</v>
      </c>
      <c r="I7" s="4">
        <f>Depreciation!I8+Depreciation!I9</f>
        <v>7259268.1745813126</v>
      </c>
      <c r="J7" s="4">
        <f>Depreciation!J8+Depreciation!J9</f>
        <v>7916948.423681045</v>
      </c>
      <c r="K7" s="4">
        <f>Depreciation!K8+Depreciation!K9</f>
        <v>8609286.7181123868</v>
      </c>
      <c r="L7" s="4">
        <f>Depreciation!L8+Depreciation!L9</f>
        <v>9337827.7082014866</v>
      </c>
      <c r="M7" s="4">
        <f>Depreciation!M8+Depreciation!M9</f>
        <v>10104179.412056938</v>
      </c>
      <c r="N7" s="4">
        <f>Depreciation!N8+Depreciation!N9</f>
        <v>10910015.689385943</v>
      </c>
      <c r="O7" s="4">
        <f>Depreciation!O8+Depreciation!O9</f>
        <v>11757078.80874606</v>
      </c>
      <c r="P7" s="4">
        <f>Depreciation!P8+Depreciation!P9</f>
        <v>12647182.111679289</v>
      </c>
      <c r="Q7" s="4">
        <f>Depreciation!Q8+Depreciation!Q9</f>
        <v>13582212.77730009</v>
      </c>
      <c r="R7" s="4">
        <f>Depreciation!R8+Depreciation!R9</f>
        <v>14564134.691038266</v>
      </c>
      <c r="S7" s="4">
        <f>Depreciation!S8+Depreciation!S9</f>
        <v>15594991.421371728</v>
      </c>
      <c r="T7" s="4">
        <f>Depreciation!T8+Depreciation!T9</f>
        <v>16676909.308522906</v>
      </c>
      <c r="U7" s="4">
        <f>Depreciation!U8+Depreciation!U9</f>
        <v>17812100.669236273</v>
      </c>
      <c r="V7" s="4">
        <f>Depreciation!V8+Depreciation!V9</f>
        <v>19002867.121903375</v>
      </c>
      <c r="W7" s="4">
        <f>Depreciation!W8+Depreciation!W9</f>
        <v>20251603.03645587</v>
      </c>
      <c r="X7" s="4">
        <f>Depreciation!X8+Depreciation!X9</f>
        <v>21560799.113606893</v>
      </c>
      <c r="Y7" s="4">
        <f>Depreciation!Y8+Depreciation!Y9</f>
        <v>22933046.098186247</v>
      </c>
      <c r="Z7" s="4">
        <f>Depreciation!Z8+Depreciation!Z9</f>
        <v>24371038.631486353</v>
      </c>
      <c r="AA7" s="4">
        <f>Depreciation!AA8+Depreciation!AA9</f>
        <v>25877579.24771313</v>
      </c>
      <c r="AB7" s="4">
        <f>Depreciation!AB8+Depreciation!AB9</f>
        <v>27455582.519819763</v>
      </c>
      <c r="AC7" s="4">
        <f>Depreciation!AC8+Depreciation!AC9</f>
        <v>29108079.360191569</v>
      </c>
      <c r="AD7" s="4">
        <f>Depreciation!AD8+Depreciation!AD9</f>
        <v>30838221.481846876</v>
      </c>
      <c r="AE7" s="4">
        <f>Depreciation!AE8+Depreciation!AE9</f>
        <v>32649286.026023287</v>
      </c>
      <c r="AF7" s="4">
        <f>Depreciation!AF8+Depreciation!AF9</f>
        <v>34544680.362229571</v>
      </c>
    </row>
    <row r="8" spans="1:32" x14ac:dyDescent="0.35">
      <c r="A8" t="s">
        <v>6</v>
      </c>
      <c r="C8" s="4">
        <f ca="1">'Debt worksheet'!C8</f>
        <v>1449129.2062600667</v>
      </c>
      <c r="D8" s="4">
        <f ca="1">'Debt worksheet'!D8</f>
        <v>1871740.918752813</v>
      </c>
      <c r="E8" s="4">
        <f ca="1">'Debt worksheet'!E8</f>
        <v>2232654.3002865077</v>
      </c>
      <c r="F8" s="4">
        <f ca="1">'Debt worksheet'!F8</f>
        <v>2542083.6848962163</v>
      </c>
      <c r="G8" s="4">
        <f ca="1">'Debt worksheet'!G8</f>
        <v>2779562.9425778394</v>
      </c>
      <c r="H8" s="4">
        <f ca="1">'Debt worksheet'!H8</f>
        <v>2974494.4191363608</v>
      </c>
      <c r="I8" s="4">
        <f ca="1">'Debt worksheet'!I8</f>
        <v>3138472.0876129637</v>
      </c>
      <c r="J8" s="4">
        <f ca="1">'Debt worksheet'!J8</f>
        <v>3309047.824979587</v>
      </c>
      <c r="K8" s="4">
        <f ca="1">'Debt worksheet'!K8</f>
        <v>3492168.0030544898</v>
      </c>
      <c r="L8" s="4">
        <f ca="1">'Debt worksheet'!L8</f>
        <v>3687665.9855861915</v>
      </c>
      <c r="M8" s="4">
        <f ca="1">'Debt worksheet'!M8</f>
        <v>3895283.8135362631</v>
      </c>
      <c r="N8" s="4">
        <f ca="1">'Debt worksheet'!N8</f>
        <v>4114662.2162390482</v>
      </c>
      <c r="O8" s="4">
        <f ca="1">'Debt worksheet'!O8</f>
        <v>4345329.8250350775</v>
      </c>
      <c r="P8" s="4">
        <f ca="1">'Debt worksheet'!P8</f>
        <v>4586691.5344087044</v>
      </c>
      <c r="Q8" s="4">
        <f ca="1">'Debt worksheet'!Q8</f>
        <v>4838015.9521783795</v>
      </c>
      <c r="R8" s="4">
        <f ca="1">'Debt worksheet'!R8</f>
        <v>5098421.8765966659</v>
      </c>
      <c r="S8" s="4">
        <f ca="1">'Debt worksheet'!S8</f>
        <v>5366863.7343046386</v>
      </c>
      <c r="T8" s="4">
        <f ca="1">'Debt worksheet'!T8</f>
        <v>5642115.9089386817</v>
      </c>
      <c r="U8" s="4">
        <f ca="1">'Debt worksheet'!U8</f>
        <v>5922755.8857935295</v>
      </c>
      <c r="V8" s="4">
        <f ca="1">'Debt worksheet'!V8</f>
        <v>6207146.133289339</v>
      </c>
      <c r="W8" s="4">
        <f ca="1">'Debt worksheet'!W8</f>
        <v>6493414.6370574897</v>
      </c>
      <c r="X8" s="4">
        <f ca="1">'Debt worksheet'!X8</f>
        <v>6779433.9972338229</v>
      </c>
      <c r="Y8" s="4">
        <f ca="1">'Debt worksheet'!Y8</f>
        <v>7062798.9940121882</v>
      </c>
      <c r="Z8" s="4">
        <f ca="1">'Debt worksheet'!Z8</f>
        <v>7340802.5206477838</v>
      </c>
      <c r="AA8" s="4">
        <f ca="1">'Debt worksheet'!AA8</f>
        <v>7642384.4908372676</v>
      </c>
      <c r="AB8" s="4">
        <f ca="1">'Debt worksheet'!AB8</f>
        <v>7995082.0214439137</v>
      </c>
      <c r="AC8" s="4">
        <f ca="1">'Debt worksheet'!AC8</f>
        <v>8402796.1548334453</v>
      </c>
      <c r="AD8" s="4">
        <f ca="1">'Debt worksheet'!AD8</f>
        <v>8869650.8747321218</v>
      </c>
      <c r="AE8" s="4">
        <f ca="1">'Debt worksheet'!AE8</f>
        <v>9400004.170414893</v>
      </c>
      <c r="AF8" s="4">
        <f ca="1">'Debt worksheet'!AF8</f>
        <v>9998459.6072181687</v>
      </c>
    </row>
    <row r="9" spans="1:32" x14ac:dyDescent="0.35">
      <c r="A9" t="s">
        <v>22</v>
      </c>
      <c r="C9" s="4">
        <f ca="1">C5-C6-C7-C8</f>
        <v>1052132.4312730648</v>
      </c>
      <c r="D9" s="4">
        <f t="shared" ref="D9:AF9" ca="1" si="2">D5-D6-D7-D8</f>
        <v>2597449.4902368616</v>
      </c>
      <c r="E9" s="4">
        <f t="shared" ca="1" si="2"/>
        <v>4829765.1813192703</v>
      </c>
      <c r="F9" s="4">
        <f t="shared" ca="1" si="2"/>
        <v>6785266.9566376172</v>
      </c>
      <c r="G9" s="4">
        <f t="shared" ca="1" si="2"/>
        <v>9341020.2774099112</v>
      </c>
      <c r="H9" s="4">
        <f t="shared" ca="1" si="2"/>
        <v>11072707.708255999</v>
      </c>
      <c r="I9" s="4">
        <f t="shared" ca="1" si="2"/>
        <v>12489651.935828485</v>
      </c>
      <c r="J9" s="4">
        <f t="shared" ca="1" si="2"/>
        <v>12850726.983524472</v>
      </c>
      <c r="K9" s="4">
        <f t="shared" ca="1" si="2"/>
        <v>13059492.615210166</v>
      </c>
      <c r="L9" s="4">
        <f t="shared" ca="1" si="2"/>
        <v>13291168.985799704</v>
      </c>
      <c r="M9" s="4">
        <f t="shared" ca="1" si="2"/>
        <v>13548946.108277999</v>
      </c>
      <c r="N9" s="4">
        <f t="shared" ca="1" si="2"/>
        <v>13836317.976362573</v>
      </c>
      <c r="O9" s="4">
        <f t="shared" ca="1" si="2"/>
        <v>14157105.945698906</v>
      </c>
      <c r="P9" s="4">
        <f t="shared" ca="1" si="2"/>
        <v>14515483.70464338</v>
      </c>
      <c r="Q9" s="4">
        <f t="shared" ca="1" si="2"/>
        <v>14916003.934732215</v>
      </c>
      <c r="R9" s="4">
        <f t="shared" ca="1" si="2"/>
        <v>15363626.766929887</v>
      </c>
      <c r="S9" s="4">
        <f t="shared" ca="1" si="2"/>
        <v>15863750.146091608</v>
      </c>
      <c r="T9" s="4">
        <f t="shared" ca="1" si="2"/>
        <v>16422242.222783266</v>
      </c>
      <c r="U9" s="4">
        <f t="shared" ca="1" si="2"/>
        <v>17045475.898697592</v>
      </c>
      <c r="V9" s="4">
        <f t="shared" ca="1" si="2"/>
        <v>17740365.65941</v>
      </c>
      <c r="W9" s="4">
        <f t="shared" ca="1" si="2"/>
        <v>18514406.83615467</v>
      </c>
      <c r="X9" s="4">
        <f t="shared" ca="1" si="2"/>
        <v>19375717.446694449</v>
      </c>
      <c r="Y9" s="4">
        <f t="shared" ca="1" si="2"/>
        <v>20333082.774234664</v>
      </c>
      <c r="Z9" s="4">
        <f t="shared" ca="1" si="2"/>
        <v>21396002.852715246</v>
      </c>
      <c r="AA9" s="4">
        <f t="shared" ca="1" si="2"/>
        <v>21661179.781100746</v>
      </c>
      <c r="AB9" s="4">
        <f t="shared" ca="1" si="2"/>
        <v>21169625.037778877</v>
      </c>
      <c r="AC9" s="4">
        <f t="shared" ca="1" si="2"/>
        <v>20597616.416031435</v>
      </c>
      <c r="AD9" s="4">
        <f t="shared" ca="1" si="2"/>
        <v>19939776.305896424</v>
      </c>
      <c r="AE9" s="4">
        <f t="shared" ca="1" si="2"/>
        <v>19190442.726332568</v>
      </c>
      <c r="AF9" s="4">
        <f t="shared" ca="1" si="2"/>
        <v>18343655.87475656</v>
      </c>
    </row>
    <row r="12" spans="1:32" x14ac:dyDescent="0.35">
      <c r="A12" t="s">
        <v>79</v>
      </c>
      <c r="C12" s="2">
        <f>Assumptions!$C$25*Assumptions!D9*Assumptions!D13</f>
        <v>7794446.2677254518</v>
      </c>
      <c r="D12" s="2">
        <f>Assumptions!$C$25*Assumptions!E9*Assumptions!E13</f>
        <v>8067692.1301279003</v>
      </c>
      <c r="E12" s="2">
        <f>Assumptions!$C$25*Assumptions!F9*Assumptions!F13</f>
        <v>8350517.0310862018</v>
      </c>
      <c r="F12" s="2">
        <f>Assumptions!$C$25*Assumptions!G9*Assumptions!G13</f>
        <v>8643256.7779895253</v>
      </c>
      <c r="G12" s="2">
        <f>Assumptions!$C$25*Assumptions!H9*Assumptions!H13</f>
        <v>8946258.9504526053</v>
      </c>
      <c r="H12" s="2">
        <f>Assumptions!$C$25*Assumptions!I9*Assumptions!I13</f>
        <v>9259883.3130085617</v>
      </c>
      <c r="I12" s="2">
        <f>Assumptions!$C$25*Assumptions!J9*Assumptions!J13</f>
        <v>9584502.2422692589</v>
      </c>
      <c r="J12" s="2">
        <f>Assumptions!$C$25*Assumptions!K9*Assumptions!K13</f>
        <v>9920501.1690604184</v>
      </c>
      <c r="K12" s="2">
        <f>Assumptions!$C$25*Assumptions!L9*Assumptions!L13</f>
        <v>10268279.036056409</v>
      </c>
      <c r="L12" s="2">
        <f>Assumptions!$C$25*Assumptions!M9*Assumptions!M13</f>
        <v>10628248.771458151</v>
      </c>
      <c r="M12" s="2">
        <f>Assumptions!$C$25*Assumptions!N9*Assumptions!N13</f>
        <v>11000837.779276447</v>
      </c>
      <c r="N12" s="2">
        <f>Assumptions!$C$25*Assumptions!O9*Assumptions!O13</f>
        <v>11386488.446802959</v>
      </c>
      <c r="O12" s="2">
        <f>Assumptions!$C$25*Assumptions!P9*Assumptions!P13</f>
        <v>11785658.669871306</v>
      </c>
      <c r="P12" s="2">
        <f>Assumptions!$C$25*Assumptions!Q9*Assumptions!Q13</f>
        <v>12198822.396531984</v>
      </c>
      <c r="Q12" s="2">
        <f>Assumptions!$C$25*Assumptions!R9*Assumptions!R13</f>
        <v>12626470.189786632</v>
      </c>
      <c r="R12" s="2">
        <f>Assumptions!$C$25*Assumptions!S9*Assumptions!S13</f>
        <v>13069109.810049728</v>
      </c>
      <c r="S12" s="2">
        <f>Assumptions!$C$25*Assumptions!T9*Assumptions!T13</f>
        <v>13527266.818029393</v>
      </c>
      <c r="T12" s="2">
        <f>Assumptions!$C$25*Assumptions!U9*Assumptions!U13</f>
        <v>14001485.198743062</v>
      </c>
      <c r="U12" s="2">
        <f>Assumptions!$C$25*Assumptions!V9*Assumptions!V13</f>
        <v>14492328.007408945</v>
      </c>
      <c r="V12" s="2">
        <f>Assumptions!$C$25*Assumptions!W9*Assumptions!W13</f>
        <v>15000378.037980167</v>
      </c>
      <c r="W12" s="2">
        <f>Assumptions!$C$25*Assumptions!X9*Assumptions!X13</f>
        <v>15526238.515115352</v>
      </c>
      <c r="X12" s="2">
        <f>Assumptions!$C$25*Assumptions!Y9*Assumptions!Y13</f>
        <v>16070533.810407292</v>
      </c>
      <c r="Y12" s="2">
        <f>Assumptions!$C$25*Assumptions!Z9*Assumptions!Z13</f>
        <v>16633910.183720067</v>
      </c>
      <c r="Z12" s="2">
        <f>Assumptions!$C$25*Assumptions!AA9*Assumptions!AA13</f>
        <v>17217036.550514802</v>
      </c>
      <c r="AA12" s="2">
        <f>Assumptions!$C$25*Assumptions!AB9*Assumptions!AB13</f>
        <v>17820605.276075181</v>
      </c>
      <c r="AB12" s="2">
        <f>Assumptions!$C$25*Assumptions!AC9*Assumptions!AC13</f>
        <v>18445332.99757576</v>
      </c>
      <c r="AC12" s="2">
        <f>Assumptions!$C$25*Assumptions!AD9*Assumptions!AD13</f>
        <v>19091961.474969026</v>
      </c>
      <c r="AD12" s="2">
        <f>Assumptions!$C$25*Assumptions!AE9*Assumptions!AE13</f>
        <v>19761258.471701626</v>
      </c>
      <c r="AE12" s="2">
        <f>Assumptions!$C$25*Assumptions!AF9*Assumptions!AF13</f>
        <v>20454018.666305359</v>
      </c>
      <c r="AF12" s="2">
        <f>Assumptions!$C$25*Assumptions!AG9*Assumptions!AG13</f>
        <v>21171064.595945381</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422380.77406171855</v>
      </c>
      <c r="D14" s="5">
        <f>Assumptions!E122*Assumptions!E9</f>
        <v>863346.30218215263</v>
      </c>
      <c r="E14" s="5">
        <f>Assumptions!F122*Assumptions!F9</f>
        <v>1323509.8812452399</v>
      </c>
      <c r="F14" s="5">
        <f>Assumptions!G122*Assumptions!G9</f>
        <v>1803502.7981768472</v>
      </c>
      <c r="G14" s="5">
        <f>Assumptions!H122*Assumptions!H9</f>
        <v>2303974.824670922</v>
      </c>
      <c r="H14" s="5">
        <f>Assumptions!I122*Assumptions!I9</f>
        <v>2825594.7249764185</v>
      </c>
      <c r="I14" s="5">
        <f>Assumptions!J122*Assumptions!J9</f>
        <v>3369050.7770802169</v>
      </c>
      <c r="J14" s="5">
        <f>Assumptions!K122*Assumptions!K9</f>
        <v>3935051.3076296938</v>
      </c>
      <c r="K14" s="5">
        <f>Assumptions!L122*Assumptions!L9</f>
        <v>4524325.24094724</v>
      </c>
      <c r="L14" s="5">
        <f>Assumptions!M122*Assumptions!M9</f>
        <v>5137622.662497866</v>
      </c>
      <c r="M14" s="5">
        <f>Assumptions!N122*Assumptions!N9</f>
        <v>5775715.3971801018</v>
      </c>
      <c r="N14" s="5">
        <f>Assumptions!O122*Assumptions!O9</f>
        <v>6439397.6028197054</v>
      </c>
      <c r="O14" s="5">
        <f>Assumptions!P122*Assumptions!P9</f>
        <v>7129486.3792552175</v>
      </c>
      <c r="P14" s="5">
        <f>Assumptions!Q122*Assumptions!Q9</f>
        <v>7846822.3934141267</v>
      </c>
      <c r="Q14" s="5">
        <f>Assumptions!R122*Assumptions!R9</f>
        <v>8592270.5207884703</v>
      </c>
      <c r="R14" s="5">
        <f>Assumptions!S122*Assumptions!S9</f>
        <v>9366720.5037288703</v>
      </c>
      <c r="S14" s="5">
        <f>Assumptions!T122*Assumptions!T9</f>
        <v>10171087.626986587</v>
      </c>
      <c r="T14" s="5">
        <f>Assumptions!U122*Assumptions!U9</f>
        <v>11006313.410943838</v>
      </c>
      <c r="U14" s="5">
        <f>Assumptions!V122*Assumptions!V9</f>
        <v>11873366.322983747</v>
      </c>
      <c r="V14" s="5">
        <f>Assumptions!W122*Assumptions!W9</f>
        <v>12773242.507462515</v>
      </c>
      <c r="W14" s="5">
        <f>Assumptions!X122*Assumptions!X9</f>
        <v>13706966.534758024</v>
      </c>
      <c r="X14" s="5">
        <f>Assumptions!Y122*Assumptions!Y9</f>
        <v>14675592.169880923</v>
      </c>
      <c r="Y14" s="5">
        <f>Assumptions!Z122*Assumptions!Z9</f>
        <v>15680203.161146406</v>
      </c>
      <c r="Z14" s="5">
        <f>Assumptions!AA122*Assumptions!AA9</f>
        <v>16721914.049417352</v>
      </c>
      <c r="AA14" s="5">
        <f>Assumptions!AB122*Assumptions!AB9</f>
        <v>17801870.998442218</v>
      </c>
      <c r="AB14" s="5">
        <f>Assumptions!AC122*Assumptions!AC9</f>
        <v>18921252.646824267</v>
      </c>
      <c r="AC14" s="5">
        <f>Assumptions!AD122*Assumptions!AD9</f>
        <v>20081270.982171874</v>
      </c>
      <c r="AD14" s="5">
        <f>Assumptions!AE122*Assumptions!AE9</f>
        <v>21283172.237993717</v>
      </c>
      <c r="AE14" s="5">
        <f>Assumptions!AF122*Assumptions!AF9</f>
        <v>22528237.813916352</v>
      </c>
      <c r="AF14" s="5">
        <f>Assumptions!AG122*Assumptions!AG9</f>
        <v>23817785.219816387</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193</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8216827.0417871708</v>
      </c>
      <c r="D27" s="2">
        <f t="shared" ref="D27:AF27" si="8">D12+D13+D14+D19+D20+D22+D24+D25</f>
        <v>8931038.4323100522</v>
      </c>
      <c r="E27" s="2">
        <f t="shared" si="8"/>
        <v>9674026.9123314414</v>
      </c>
      <c r="F27" s="2">
        <f t="shared" si="8"/>
        <v>10446759.576166373</v>
      </c>
      <c r="G27" s="2">
        <f t="shared" si="8"/>
        <v>11250233.775123527</v>
      </c>
      <c r="H27" s="2">
        <f t="shared" si="8"/>
        <v>12085478.03798498</v>
      </c>
      <c r="I27" s="2">
        <f t="shared" si="8"/>
        <v>12953553.019349476</v>
      </c>
      <c r="J27" s="2">
        <f t="shared" si="8"/>
        <v>13855552.476690112</v>
      </c>
      <c r="K27" s="2">
        <f t="shared" si="8"/>
        <v>14792604.27700365</v>
      </c>
      <c r="L27" s="2">
        <f t="shared" si="8"/>
        <v>15765871.433956016</v>
      </c>
      <c r="M27" s="2">
        <f t="shared" si="8"/>
        <v>16776553.176456548</v>
      </c>
      <c r="N27" s="2">
        <f t="shared" si="8"/>
        <v>17825886.049622662</v>
      </c>
      <c r="O27" s="2">
        <f t="shared" si="8"/>
        <v>18915145.049126524</v>
      </c>
      <c r="P27" s="2">
        <f t="shared" si="8"/>
        <v>20045644.789946109</v>
      </c>
      <c r="Q27" s="2">
        <f t="shared" si="8"/>
        <v>21218740.710575104</v>
      </c>
      <c r="R27" s="2">
        <f t="shared" si="8"/>
        <v>22435830.313778598</v>
      </c>
      <c r="S27" s="2">
        <f t="shared" si="8"/>
        <v>23698354.445015982</v>
      </c>
      <c r="T27" s="2">
        <f t="shared" si="8"/>
        <v>25007798.6096869</v>
      </c>
      <c r="U27" s="2">
        <f t="shared" si="8"/>
        <v>26365694.330392692</v>
      </c>
      <c r="V27" s="2">
        <f t="shared" si="8"/>
        <v>27773620.545442682</v>
      </c>
      <c r="W27" s="2">
        <f t="shared" si="8"/>
        <v>29233205.049873374</v>
      </c>
      <c r="X27" s="2">
        <f t="shared" si="8"/>
        <v>30746125.980288215</v>
      </c>
      <c r="Y27" s="2">
        <f t="shared" si="8"/>
        <v>32314113.344866473</v>
      </c>
      <c r="Z27" s="2">
        <f t="shared" si="8"/>
        <v>33938950.599932157</v>
      </c>
      <c r="AA27" s="2">
        <f t="shared" si="8"/>
        <v>35622476.274517402</v>
      </c>
      <c r="AB27" s="2">
        <f t="shared" si="8"/>
        <v>37366585.64440003</v>
      </c>
      <c r="AC27" s="2">
        <f t="shared" si="8"/>
        <v>39173232.4571409</v>
      </c>
      <c r="AD27" s="2">
        <f t="shared" si="8"/>
        <v>41044430.709695339</v>
      </c>
      <c r="AE27" s="2">
        <f t="shared" si="8"/>
        <v>42982256.480221711</v>
      </c>
      <c r="AF27" s="2">
        <f t="shared" si="8"/>
        <v>44988849.815761767</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3W2DU3RAJ5R2-1900874439-786</_dlc_DocId>
    <_dlc_DocIdUrl xmlns="f54e2983-00ce-40fc-8108-18f351fc47bf">
      <Url>https://dia.cohesion.net.nz/Sites/LGV/TWRP/CAE/_layouts/15/DocIdRedir.aspx?ID=3W2DU3RAJ5R2-1900874439-786</Url>
      <Description>3W2DU3RAJ5R2-1900874439-786</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0FE3422-9954-47F3-9CA4-5222B67529A2}"/>
</file>

<file path=customXml/itemProps2.xml><?xml version="1.0" encoding="utf-8"?>
<ds:datastoreItem xmlns:ds="http://schemas.openxmlformats.org/officeDocument/2006/customXml" ds:itemID="{CBCC2D2A-763C-48F8-A3E5-6B0A81386C39}">
  <ds:schemaRefs>
    <ds:schemaRef ds:uri="http://schemas.microsoft.com/office/2006/documentManagement/types"/>
    <ds:schemaRef ds:uri="http://purl.org/dc/terms/"/>
    <ds:schemaRef ds:uri="http://schemas.microsoft.com/office/infopath/2007/PartnerControls"/>
    <ds:schemaRef ds:uri="http://schemas.microsoft.com/sharepoint/v3"/>
    <ds:schemaRef ds:uri="http://schemas.openxmlformats.org/package/2006/metadata/core-properties"/>
    <ds:schemaRef ds:uri="http://www.w3.org/XML/1998/namespace"/>
    <ds:schemaRef ds:uri="http://purl.org/dc/elements/1.1/"/>
    <ds:schemaRef ds:uri="08a23fc5-e034-477c-ac83-93bc1440f322"/>
    <ds:schemaRef ds:uri="65b6d800-2dda-48d6-88d8-9e2b35e6f7ea"/>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4.xml><?xml version="1.0" encoding="utf-8"?>
<ds:datastoreItem xmlns:ds="http://schemas.openxmlformats.org/officeDocument/2006/customXml" ds:itemID="{713B53A3-05B6-48D0-8FAE-2A6A0CD59D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2021-07-01T15:07:07Z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fee75f85-d620-4c83-8948-02892e0a8380</vt:lpwstr>
  </property>
</Properties>
</file>