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303" documentId="8_{CFC54477-C99D-4B61-B847-74FFB67DDAAB}" xr6:coauthVersionLast="47" xr6:coauthVersionMax="47" xr10:uidLastSave="{04BA20C0-DADA-4D34-B3AD-4825CDFDB819}"/>
  <bookViews>
    <workbookView xWindow="2070" yWindow="342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<sst xmlns="http://schemas.openxmlformats.org/spreadsheetml/2006/main" count="277" uniqueCount="205">
  <si>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</si>
  <si>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</si>
  <si>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</si>
  <si>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</si>
  <si>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</si>
  <si>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</si>
  <si>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</si>
  <si>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</si>
  <si>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</si>
  <si>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</si>
  <si>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</si>
  <si>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</si>
  <si>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</si>
  <si>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</si>
  <si>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</si>
  <si>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</si>
  <si>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</si>
  <si>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</si>
  <si>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</si>
  <si>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</si>
  <si>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</si>
  <si>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</si>
  <si>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</si>
  <si>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</si>
  <si>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</si>
  <si>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</si>
  <si>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</si>
  <si>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</si>
  <si>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</si>
  <si>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</si>
  <si>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</si>
  <si>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</si>
  <si>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</si>
  <si>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</si>
  <si>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</si>
  <si>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</si>
  <si>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</si>
  <si>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</si>
  <si>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</si>
  <si>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</si>
  <si>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</si>
  <si>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</si>
  <si>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</si>
  <si>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</si>
  <si>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</si>
  <si>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</si>
  <si>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</si>
  <si>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</si>
  <si>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</si>
  <si>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</si>
  <si>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</si>
  <si>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</si>
  <si>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</si>
  <si>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</si>
  <si>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</si>
  <si>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</si>
  <si>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</si>
  <si>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</si>
  <si>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</si>
  <si>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</si>
  <si>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</si>
  <si>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</si>
  <si>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</si>
  <si>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</si>
  <si>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</si>
  <si>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</si>
  <si>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</si>
  <si>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</si>
  <si>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</si>
  <si>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</si>
  <si>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</si>
  <si>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</si>
  <si>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</si>
  <si>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</si>
  <si>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</si>
  <si>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</si>
  <si>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</si>
  <si>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</si>
  <si>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</si>
  <si>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</si>
  <si>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</si>
  <si>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</si>
  <si>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</si>
  <si>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</si>
  <si>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</si>
  <si>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</si>
  <si>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</si>
  <si>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</si>
  <si>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RFI Table G1</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</si>
  <si>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</si>
  <si>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</si>
  <si>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</si>
  <si>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</si>
  <si>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</si>
  <si>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</si>
  <si>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</si>
  <si>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</si>
  <si>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</si>
  <si>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</si>
  <si>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</si>
  <si>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</si>
  <si>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</si>
  <si>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</si>
  <si>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</si>
  <si>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</si>
  <si>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</si>
  <si>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</si>
  <si>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</si>
  <si>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</si>
  <si>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</si>
  <si>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</si>
  <si>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</si>
  <si>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</si>
  <si>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</si>
  <si>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</si>
  <si>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</si>
  <si>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</si>
  <si>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</si>
  <si>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</si>
  <si>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</si>
  <si>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</si>
  <si>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</si>
  <si>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</si>
  <si>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</si>
  <si>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</si>
  <si>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</si>
  <si>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</si>
  <si>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</si>
  <si>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</si>
  <si>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</si>
  <si>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</si>
  <si>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</si>
  <si>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</si>
  <si>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</si>
  <si>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</si>
  <si>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</si>
  <si>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</si>
  <si>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</si>
  <si>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</si>
  <si>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</si>
  <si>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</si>
  <si>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</si>
  <si>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</si>
  <si>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</si>
  <si>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</si>
  <si>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</si>
  <si>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</si>
  <si>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</si>
  <si>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</si>
  <si>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</si>
  <si>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</si>
  <si>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</si>
  <si>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</si>
  <si>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</si>
  <si>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</si>
  <si>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</si>
  <si>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</si>
  <si>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</si>
  <si>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</si>
  <si>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</si>
  <si>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</si>
  <si>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</si>
  <si>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</si>
  <si>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</si>
  <si>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</si>
  <si>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</si>
  <si>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</si>
  <si>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</si>
  <si>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</si>
  <si>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</si>
  <si>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</si>
  <si>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</si>
  <si>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</si>
  <si>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</si>
  <si>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</si>
  <si>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</si>
  <si>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</si>
  <si>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</si>
  <si>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</si>
  <si>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</si>
  <si>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</si>
  <si>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</si>
  <si>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</si>
  <si>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</si>
  <si>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</si>
  <si>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</si>
  <si>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</si>
  <si>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</si>
  <si>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</si>
  <si>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</si>
  <si>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</si>
  <si>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</si>
  <si>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</si>
  <si>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</si>
  <si>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</si>
  <si>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</si>
  <si>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</si>
  <si>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</si>
  <si>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Hastings Stand-alone Council</t>
  </si>
  <si>
    <t>RFI Table F10; Lines F10.62 - F10.61 + F10.70</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</si>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</sst>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2">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96</v>
      </c>
      <c r="D1" s="61"/>
      <c r="E1" s="61"/>
      <c r="F1" s="61"/>
    </row>
    <row r="2" spans="1:6" x14ac:dyDescent="0.35">
      <c r="A2" s="63" t="s">
        <v>97</v>
      </c>
      <c r="B2" s="60" t="s">
        <v>198</v>
      </c>
      <c r="C2" s="171"/>
      <c r="D2" s="60"/>
      <c r="E2" s="14"/>
      <c r="F2" s="60"/>
    </row>
    <row r="3" spans="1:6" x14ac:dyDescent="0.35">
      <c r="C3" s="14"/>
      <c r="D3" s="14"/>
    </row>
    <row r="4" spans="1:6" x14ac:dyDescent="0.35">
      <c r="A4" s="14" t="s">
        <v>160</v>
      </c>
      <c r="B4" s="14"/>
      <c r="D4" s="14"/>
    </row>
    <row r="6" spans="1:6" ht="21" x14ac:dyDescent="0.5">
      <c r="A6" s="15" t="s">
        <v>169</v>
      </c>
    </row>
    <row r="7" spans="1:6" ht="241" customHeight="1" x14ac:dyDescent="0.35">
      <c r="A7" s="107">
        <v>1</v>
      </c>
      <c r="B7" s="104" t="s">
        <v>170</v>
      </c>
    </row>
    <row r="8" spans="1:6" ht="408" customHeight="1" x14ac:dyDescent="0.35">
      <c r="A8" s="107">
        <v>2</v>
      </c>
      <c r="B8" s="104" t="s">
        <v>190</v>
      </c>
    </row>
    <row r="9" spans="1:6" ht="195.5" customHeight="1" x14ac:dyDescent="0.35">
      <c r="A9" s="107">
        <f>A8+1</f>
        <v>3</v>
      </c>
      <c r="B9" s="105" t="s">
        <v>174</v>
      </c>
    </row>
    <row r="10" spans="1:6" ht="236" customHeight="1" x14ac:dyDescent="0.35">
      <c r="A10" s="107">
        <v>4</v>
      </c>
      <c r="B10" s="105" t="s">
        <v>175</v>
      </c>
    </row>
    <row r="11" spans="1:6" ht="21" x14ac:dyDescent="0.35">
      <c r="A11" s="107">
        <f>A10+1</f>
        <v>5</v>
      </c>
      <c r="B11" s="63" t="s">
        <v>188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166</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191</v>
      </c>
      <c r="B6" s="1">
        <f>Assumptions!C17</f>
        <v>1193501426.9712496</v>
      </c>
      <c r="C6" s="12">
        <f ca="1">B6+Depreciation!C18+'Cash Flow'!C13</f>
        <v>1213380810.4942203</v>
      </c>
      <c r="D6" s="1">
        <f ca="1">C6+Depreciation!D18</f>
        <v>1302498286.4963894</v>
      </c>
      <c r="E6" s="1">
        <f ca="1">D6+Depreciation!E18</f>
        <v>1396139621.8828695</v>
      </c>
      <c r="F6" s="1">
        <f ca="1">E6+Depreciation!F18</f>
        <v>1494503087.35883</v>
      </c>
      <c r="G6" s="1">
        <f ca="1">F6+Depreciation!G18</f>
        <v>1597777678.7344258</v>
      </c>
      <c r="H6" s="1">
        <f ca="1">G6+Depreciation!H18</f>
        <v>1706176568.7459221</v>
      </c>
      <c r="I6" s="1">
        <f ca="1">H6+Depreciation!I18</f>
        <v>1819921531.0052619</v>
      </c>
      <c r="J6" s="1">
        <f ca="1">I6+Depreciation!J18</f>
        <v>1939243271.7483635</v>
      </c>
      <c r="K6" s="1">
        <f ca="1">J6+Depreciation!K18</f>
        <v>2064381773.9947062</v>
      </c>
      <c r="L6" s="1">
        <f ca="1">K6+Depreciation!L18</f>
        <v>2195598806.5371799</v>
      </c>
      <c r="M6" s="1">
        <f ca="1">L6+Depreciation!M18</f>
        <v>2333155058.0191393</v>
      </c>
      <c r="N6" s="1">
        <f ca="1">M6+Depreciation!N18</f>
        <v>2477321670.5054936</v>
      </c>
      <c r="O6" s="1">
        <f ca="1">N6+Depreciation!O18</f>
        <v>2628380641.3575335</v>
      </c>
      <c r="P6" s="1">
        <f ca="1">O6+Depreciation!P18</f>
        <v>2786625240.1170917</v>
      </c>
      <c r="Q6" s="1">
        <f ca="1">P6+Depreciation!Q18</f>
        <v>2952363602.6293979</v>
      </c>
      <c r="R6" s="1">
        <f ca="1">Q6+Depreciation!R18</f>
        <v>3125913134.5753388</v>
      </c>
      <c r="S6" s="1">
        <f ca="1">R6+Depreciation!S18</f>
        <v>3307603877.1075292</v>
      </c>
      <c r="T6" s="1">
        <f ca="1">S6+Depreciation!T18</f>
        <v>3497778990.3413029</v>
      </c>
      <c r="U6" s="1">
        <f ca="1">T6+Depreciation!U18</f>
        <v>3696795254.8454313</v>
      </c>
      <c r="V6" s="1">
        <f ca="1">U6+Depreciation!V18</f>
        <v>3905031000.2857742</v>
      </c>
      <c r="W6" s="1">
        <f ca="1">V6+Depreciation!W18</f>
        <v>4122872480.7873964</v>
      </c>
      <c r="X6" s="1">
        <f ca="1">W6+Depreciation!X18</f>
        <v>4350721229.9908895</v>
      </c>
      <c r="Y6" s="1">
        <f ca="1">X6+Depreciation!Y18</f>
        <v>4588994643.4171391</v>
      </c>
      <c r="Z6" s="1">
        <f ca="1">Y6+Depreciation!Z18</f>
        <v>4838126582.4572172</v>
      </c>
      <c r="AA6" s="1">
        <f ca="1">Z6+Depreciation!AA18</f>
        <v>5098568000.7750607</v>
      </c>
      <c r="AB6" s="1">
        <f ca="1">AA6+Depreciation!AB18</f>
        <v>5370787593.9388685</v>
      </c>
      <c r="AC6" s="1">
        <f ca="1">AB6+Depreciation!AC18</f>
        <v>5655272473.1264257</v>
      </c>
      <c r="AD6" s="1">
        <f ca="1">AC6+Depreciation!AD18</f>
        <v>5952528863.7798529</v>
      </c>
      <c r="AE6" s="1">
        <f ca="1">AD6+Depreciation!AE18</f>
        <v>6263082830.1166773</v>
      </c>
      <c r="AF6" s="1"/>
      <c r="AG6" s="1"/>
      <c r="AH6" s="1"/>
      <c r="AI6" s="1"/>
      <c r="AJ6" s="1"/>
      <c r="AK6" s="1"/>
      <c r="AL6" s="1"/>
      <c r="AM6" s="1"/>
      <c r="AN6" s="1"/>
      <c r="AO6" s="1"/>
      <c r="AP6" s="1"/>
    </row>
    <row r="7" spans="1:42" x14ac:dyDescent="0.35">
      <c r="A7" t="s">
        <v>12</v>
      </c>
      <c r="B7" s="1">
        <f>Depreciation!C12</f>
        <v>616117690.57277954</v>
      </c>
      <c r="C7" s="1">
        <f>Depreciation!D12</f>
        <v>637724663.01222861</v>
      </c>
      <c r="D7" s="1">
        <f>Depreciation!E12</f>
        <v>661695158.72198141</v>
      </c>
      <c r="E7" s="1">
        <f>Depreciation!F12</f>
        <v>688158317.65155947</v>
      </c>
      <c r="F7" s="1">
        <f>Depreciation!G12</f>
        <v>717248718.2456404</v>
      </c>
      <c r="G7" s="1">
        <f>Depreciation!H12</f>
        <v>749106986.57900703</v>
      </c>
      <c r="H7" s="1">
        <f>Depreciation!I12</f>
        <v>783880045.18668139</v>
      </c>
      <c r="I7" s="1">
        <f>Depreciation!J12</f>
        <v>821721371.61339462</v>
      </c>
      <c r="J7" s="1">
        <f>Depreciation!K12</f>
        <v>862791267.0492152</v>
      </c>
      <c r="K7" s="1">
        <f>Depreciation!L12</f>
        <v>907257420.2433424</v>
      </c>
      <c r="L7" s="1">
        <f>Depreciation!M12</f>
        <v>955294939.9034071</v>
      </c>
      <c r="M7" s="1">
        <f>Depreciation!N12</f>
        <v>1007086657.665965</v>
      </c>
      <c r="N7" s="1">
        <f>Depreciation!O12</f>
        <v>1062823442.8528875</v>
      </c>
      <c r="O7" s="1">
        <f>Depreciation!P12</f>
        <v>1122704529.45751</v>
      </c>
      <c r="P7" s="1">
        <f>Depreciation!Q12</f>
        <v>1186937929.9226134</v>
      </c>
      <c r="Q7" s="1">
        <f>Depreciation!R12</f>
        <v>1255740720.9838333</v>
      </c>
      <c r="R7" s="1">
        <f>Depreciation!S12</f>
        <v>1329339410.6283171</v>
      </c>
      <c r="S7" s="1">
        <f>Depreciation!T12</f>
        <v>1407970319.2520652</v>
      </c>
      <c r="T7" s="1">
        <f>Depreciation!U12</f>
        <v>1491879975.5487516</v>
      </c>
      <c r="U7" s="1">
        <f>Depreciation!V12</f>
        <v>1581325701.3190141</v>
      </c>
      <c r="V7" s="1">
        <f>Depreciation!W12</f>
        <v>1676575881.5211134</v>
      </c>
      <c r="W7" s="1">
        <f>Depreciation!X12</f>
        <v>1777910408.8154986</v>
      </c>
      <c r="X7" s="1">
        <f>Depreciation!Y12</f>
        <v>1885621145.2315488</v>
      </c>
      <c r="Y7" s="1">
        <f>Depreciation!Z12</f>
        <v>2000012401.5971014</v>
      </c>
      <c r="Z7" s="1">
        <f>Depreciation!AA12</f>
        <v>2121401435.3948343</v>
      </c>
      <c r="AA7" s="1">
        <f>Depreciation!AB12</f>
        <v>2250118967.7338886</v>
      </c>
      <c r="AB7" s="1">
        <f>Depreciation!AC12</f>
        <v>2386509720.1503005</v>
      </c>
      <c r="AC7" s="1">
        <f>Depreciation!AD12</f>
        <v>2530932971.9759049</v>
      </c>
      <c r="AD7" s="1">
        <f>Depreciation!AE12</f>
        <v>2683763139.0424161</v>
      </c>
      <c r="AE7" s="1">
        <f>Depreciation!AF12</f>
        <v>2845390374.5153828</v>
      </c>
      <c r="AF7" s="1"/>
      <c r="AG7" s="1"/>
      <c r="AH7" s="1"/>
      <c r="AI7" s="1"/>
      <c r="AJ7" s="1"/>
      <c r="AK7" s="1"/>
      <c r="AL7" s="1"/>
      <c r="AM7" s="1"/>
      <c r="AN7" s="1"/>
      <c r="AO7" s="1"/>
      <c r="AP7" s="1"/>
    </row>
    <row r="8" spans="1:42" x14ac:dyDescent="0.35">
      <c r="A8" t="s">
        <v>192</v>
      </c>
      <c r="B8" s="1">
        <f t="shared" ref="B8:AE8" si="1">B6-B7</f>
        <v>577383736.39847004</v>
      </c>
      <c r="C8" s="1">
        <f t="shared" ca="1" si="1"/>
        <v>575656147.48199165</v>
      </c>
      <c r="D8" s="1">
        <f ca="1">D6-D7</f>
        <v>640803127.77440798</v>
      </c>
      <c r="E8" s="1">
        <f t="shared" ca="1" si="1"/>
        <v>707981304.23131001</v>
      </c>
      <c r="F8" s="1">
        <f t="shared" ca="1" si="1"/>
        <v>777254369.11318958</v>
      </c>
      <c r="G8" s="1">
        <f t="shared" ca="1" si="1"/>
        <v>848670692.15541875</v>
      </c>
      <c r="H8" s="1">
        <f t="shared" ca="1" si="1"/>
        <v>922296523.5592407</v>
      </c>
      <c r="I8" s="1">
        <f t="shared" ca="1" si="1"/>
        <v>998200159.39186728</v>
      </c>
      <c r="J8" s="1">
        <f t="shared" ca="1" si="1"/>
        <v>1076452004.6991482</v>
      </c>
      <c r="K8" s="1">
        <f t="shared" ca="1" si="1"/>
        <v>1157124353.7513638</v>
      </c>
      <c r="L8" s="1">
        <f t="shared" ca="1" si="1"/>
        <v>1240303866.6337729</v>
      </c>
      <c r="M8" s="1">
        <f t="shared" ca="1" si="1"/>
        <v>1326068400.3531742</v>
      </c>
      <c r="N8" s="1">
        <f t="shared" ca="1" si="1"/>
        <v>1414498227.652606</v>
      </c>
      <c r="O8" s="1">
        <f t="shared" ca="1" si="1"/>
        <v>1505676111.9000235</v>
      </c>
      <c r="P8" s="1">
        <f t="shared" ca="1" si="1"/>
        <v>1599687310.1944783</v>
      </c>
      <c r="Q8" s="1">
        <f t="shared" ca="1" si="1"/>
        <v>1696622881.6455646</v>
      </c>
      <c r="R8" s="1">
        <f t="shared" ca="1" si="1"/>
        <v>1796573723.9470217</v>
      </c>
      <c r="S8" s="1">
        <f t="shared" ca="1" si="1"/>
        <v>1899633557.855464</v>
      </c>
      <c r="T8" s="1">
        <f t="shared" ca="1" si="1"/>
        <v>2005899014.7925513</v>
      </c>
      <c r="U8" s="1">
        <f t="shared" ca="1" si="1"/>
        <v>2115469553.5264173</v>
      </c>
      <c r="V8" s="1">
        <f t="shared" ca="1" si="1"/>
        <v>2228455118.7646608</v>
      </c>
      <c r="W8" s="1">
        <f t="shared" ca="1" si="1"/>
        <v>2344962071.9718981</v>
      </c>
      <c r="X8" s="1">
        <f t="shared" ca="1" si="1"/>
        <v>2465100084.7593408</v>
      </c>
      <c r="Y8" s="1">
        <f t="shared" ca="1" si="1"/>
        <v>2588982241.8200378</v>
      </c>
      <c r="Z8" s="1">
        <f t="shared" ca="1" si="1"/>
        <v>2716725147.0623827</v>
      </c>
      <c r="AA8" s="1">
        <f t="shared" ca="1" si="1"/>
        <v>2848449033.041172</v>
      </c>
      <c r="AB8" s="1">
        <f t="shared" ca="1" si="1"/>
        <v>2984277873.788568</v>
      </c>
      <c r="AC8" s="1">
        <f t="shared" ca="1" si="1"/>
        <v>3124339501.1505208</v>
      </c>
      <c r="AD8" s="1">
        <f t="shared" ca="1" si="1"/>
        <v>3268765724.7374368</v>
      </c>
      <c r="AE8" s="1">
        <f t="shared" ca="1" si="1"/>
        <v>3417692455.6012945</v>
      </c>
      <c r="AF8" s="1"/>
      <c r="AG8" s="1"/>
      <c r="AH8" s="1"/>
      <c r="AI8" s="1"/>
      <c r="AJ8" s="1"/>
      <c r="AK8" s="1"/>
      <c r="AL8" s="1"/>
      <c r="AM8" s="1"/>
      <c r="AN8" s="1"/>
      <c r="AO8" s="1"/>
      <c r="AP8" s="1"/>
    </row>
    <row r="10" spans="1:42" x14ac:dyDescent="0.35">
      <c r="A10" t="s">
        <v>17</v>
      </c>
      <c r="B10" s="1">
        <f>B8-B11</f>
        <v>472367537.71847004</v>
      </c>
      <c r="C10" s="1">
        <f ca="1">C8-C11</f>
        <v>405735200.62276852</v>
      </c>
      <c r="D10" s="1">
        <f ca="1">D8-D11</f>
        <v>424221298.33703995</v>
      </c>
      <c r="E10" s="1">
        <f t="shared" ref="E10:AE10" ca="1" si="2">E8-E11</f>
        <v>458593986.76134551</v>
      </c>
      <c r="F10" s="1">
        <f t="shared" ca="1" si="2"/>
        <v>499009221.72303218</v>
      </c>
      <c r="G10" s="1">
        <f ca="1">G8-G11</f>
        <v>542711219.18894362</v>
      </c>
      <c r="H10" s="1">
        <f t="shared" ca="1" si="2"/>
        <v>590443466.52483153</v>
      </c>
      <c r="I10" s="1">
        <f t="shared" ca="1" si="2"/>
        <v>643056135.02159679</v>
      </c>
      <c r="J10" s="1">
        <f t="shared" ca="1" si="2"/>
        <v>701518308.787938</v>
      </c>
      <c r="K10" s="1">
        <f t="shared" ca="1" si="2"/>
        <v>763772316.05124772</v>
      </c>
      <c r="L10" s="1">
        <f t="shared" ca="1" si="2"/>
        <v>827012229.96593618</v>
      </c>
      <c r="M10" s="1">
        <f t="shared" ca="1" si="2"/>
        <v>891342877.53653061</v>
      </c>
      <c r="N10" s="1">
        <f t="shared" ca="1" si="2"/>
        <v>956883992.04553771</v>
      </c>
      <c r="O10" s="1">
        <f t="shared" ca="1" si="2"/>
        <v>1023771655.7607684</v>
      </c>
      <c r="P10" s="1">
        <f t="shared" ca="1" si="2"/>
        <v>1092159781.0104795</v>
      </c>
      <c r="Q10" s="1">
        <f t="shared" ca="1" si="2"/>
        <v>1162219156.6855736</v>
      </c>
      <c r="R10" s="1">
        <f t="shared" ca="1" si="2"/>
        <v>1234143987.8072648</v>
      </c>
      <c r="S10" s="1">
        <f t="shared" ca="1" si="2"/>
        <v>1308151736.0785191</v>
      </c>
      <c r="T10" s="1">
        <f t="shared" ca="1" si="2"/>
        <v>1384485203.1159315</v>
      </c>
      <c r="U10" s="1">
        <f t="shared" ca="1" si="2"/>
        <v>1463414596.2723191</v>
      </c>
      <c r="V10" s="1">
        <f t="shared" ca="1" si="2"/>
        <v>1545232771.2765472</v>
      </c>
      <c r="W10" s="1">
        <f t="shared" ca="1" si="2"/>
        <v>1630270870.2010608</v>
      </c>
      <c r="X10" s="1">
        <f t="shared" ca="1" si="2"/>
        <v>1718895218.4499791</v>
      </c>
      <c r="Y10" s="1">
        <f t="shared" ca="1" si="2"/>
        <v>1811510290.8882129</v>
      </c>
      <c r="Z10" s="1">
        <f t="shared" ca="1" si="2"/>
        <v>1904995061.6326196</v>
      </c>
      <c r="AA10" s="1">
        <f t="shared" ca="1" si="2"/>
        <v>1996378353.7375765</v>
      </c>
      <c r="AB10" s="1">
        <f t="shared" ca="1" si="2"/>
        <v>2085325557.2678447</v>
      </c>
      <c r="AC10" s="1">
        <f t="shared" ca="1" si="2"/>
        <v>2171480201.5475221</v>
      </c>
      <c r="AD10" s="1">
        <f t="shared" ca="1" si="2"/>
        <v>2254462826.2451363</v>
      </c>
      <c r="AE10" s="1">
        <f t="shared" ca="1" si="2"/>
        <v>2333869800.3900399</v>
      </c>
      <c r="AF10" s="1"/>
      <c r="AG10" s="1"/>
      <c r="AH10" s="1"/>
      <c r="AI10" s="1"/>
      <c r="AJ10" s="1"/>
      <c r="AK10" s="1"/>
      <c r="AL10" s="1"/>
      <c r="AM10" s="1"/>
      <c r="AN10" s="1"/>
      <c r="AO10" s="1"/>
    </row>
    <row r="11" spans="1:42" x14ac:dyDescent="0.35">
      <c r="A11" t="s">
        <v>9</v>
      </c>
      <c r="B11" s="1">
        <f>Assumptions!$C$20</f>
        <v>105016198.68000002</v>
      </c>
      <c r="C11" s="1">
        <f ca="1">'Debt worksheet'!D5</f>
        <v>169920946.85922313</v>
      </c>
      <c r="D11" s="1">
        <f ca="1">'Debt worksheet'!E5</f>
        <v>216581829.43736804</v>
      </c>
      <c r="E11" s="1">
        <f ca="1">'Debt worksheet'!F5</f>
        <v>249387317.46996447</v>
      </c>
      <c r="F11" s="1">
        <f ca="1">'Debt worksheet'!G5</f>
        <v>278245147.3901574</v>
      </c>
      <c r="G11" s="1">
        <f ca="1">'Debt worksheet'!H5</f>
        <v>305959472.96647507</v>
      </c>
      <c r="H11" s="1">
        <f ca="1">'Debt worksheet'!I5</f>
        <v>331853057.03440917</v>
      </c>
      <c r="I11" s="1">
        <f ca="1">'Debt worksheet'!J5</f>
        <v>355144024.37027049</v>
      </c>
      <c r="J11" s="1">
        <f ca="1">'Debt worksheet'!K5</f>
        <v>374933695.91121018</v>
      </c>
      <c r="K11" s="1">
        <f ca="1">'Debt worksheet'!L5</f>
        <v>393352037.70011604</v>
      </c>
      <c r="L11" s="1">
        <f ca="1">'Debt worksheet'!M5</f>
        <v>413291636.66783673</v>
      </c>
      <c r="M11" s="1">
        <f ca="1">'Debt worksheet'!N5</f>
        <v>434725522.8166436</v>
      </c>
      <c r="N11" s="1">
        <f ca="1">'Debt worksheet'!O5</f>
        <v>457614235.60706836</v>
      </c>
      <c r="O11" s="1">
        <f ca="1">'Debt worksheet'!P5</f>
        <v>481904456.13925505</v>
      </c>
      <c r="P11" s="1">
        <f ca="1">'Debt worksheet'!Q5</f>
        <v>507527529.1839987</v>
      </c>
      <c r="Q11" s="1">
        <f ca="1">'Debt worksheet'!R5</f>
        <v>534403724.95999086</v>
      </c>
      <c r="R11" s="1">
        <f ca="1">'Debt worksheet'!S5</f>
        <v>562429736.13975704</v>
      </c>
      <c r="S11" s="1">
        <f ca="1">'Debt worksheet'!T5</f>
        <v>591481821.77694488</v>
      </c>
      <c r="T11" s="1">
        <f ca="1">'Debt worksheet'!U5</f>
        <v>621413811.67661989</v>
      </c>
      <c r="U11" s="1">
        <f ca="1">'Debt worksheet'!V5</f>
        <v>652054957.25409818</v>
      </c>
      <c r="V11" s="1">
        <f ca="1">'Debt worksheet'!W5</f>
        <v>683222347.48811364</v>
      </c>
      <c r="W11" s="1">
        <f ca="1">'Debt worksheet'!X5</f>
        <v>714691201.77083731</v>
      </c>
      <c r="X11" s="1">
        <f ca="1">'Debt worksheet'!Y5</f>
        <v>746204866.3093617</v>
      </c>
      <c r="Y11" s="1">
        <f ca="1">'Debt worksheet'!Z5</f>
        <v>777471950.93182492</v>
      </c>
      <c r="Z11" s="1">
        <f ca="1">'Debt worksheet'!AA5</f>
        <v>811730085.42976308</v>
      </c>
      <c r="AA11" s="1">
        <f ca="1">'Debt worksheet'!AB5</f>
        <v>852070679.30359554</v>
      </c>
      <c r="AB11" s="1">
        <f ca="1">'Debt worksheet'!AC5</f>
        <v>898952316.52072334</v>
      </c>
      <c r="AC11" s="1">
        <f ca="1">'Debt worksheet'!AD5</f>
        <v>952859299.60299873</v>
      </c>
      <c r="AD11" s="1">
        <f ca="1">'Debt worksheet'!AE5</f>
        <v>1014302898.4923007</v>
      </c>
      <c r="AE11" s="1">
        <f ca="1">'Debt worksheet'!AF5</f>
        <v>1083822655.2112546</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167</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512406.43581584562</v>
      </c>
      <c r="D5" s="4">
        <f ca="1">'Profit and Loss'!D9</f>
        <v>20849620.984575253</v>
      </c>
      <c r="E5" s="4">
        <f ca="1">'Profit and Loss'!E9</f>
        <v>36865351.644130759</v>
      </c>
      <c r="F5" s="4">
        <f ca="1">'Profit and Loss'!F9</f>
        <v>43042476.626189575</v>
      </c>
      <c r="G5" s="4">
        <f ca="1">'Profit and Loss'!G9</f>
        <v>46469865.205197304</v>
      </c>
      <c r="H5" s="4">
        <f ca="1">'Profit and Loss'!H9</f>
        <v>50647037.610195518</v>
      </c>
      <c r="I5" s="4">
        <f ca="1">'Profit and Loss'!I9</f>
        <v>55680936.315804109</v>
      </c>
      <c r="J5" s="4">
        <f ca="1">'Profit and Loss'!J9</f>
        <v>61690742.775448523</v>
      </c>
      <c r="K5" s="4">
        <f ca="1">'Profit and Loss'!K9</f>
        <v>65650265.021616131</v>
      </c>
      <c r="L5" s="4">
        <f ca="1">'Profit and Loss'!L9</f>
        <v>66811280.38062609</v>
      </c>
      <c r="M5" s="4">
        <f ca="1">'Profit and Loss'!M9</f>
        <v>68084845.673087776</v>
      </c>
      <c r="N5" s="4">
        <f ca="1">'Profit and Loss'!N9</f>
        <v>69486181.933371589</v>
      </c>
      <c r="O5" s="4">
        <f ca="1">'Profit and Loss'!O9</f>
        <v>71031965.132930338</v>
      </c>
      <c r="P5" s="4">
        <f ca="1">'Profit and Loss'!P9</f>
        <v>72740439.110191941</v>
      </c>
      <c r="Q5" s="4">
        <f ca="1">'Profit and Loss'!Q9</f>
        <v>74628766.271210909</v>
      </c>
      <c r="R5" s="4">
        <f ca="1">'Profit and Loss'!R9</f>
        <v>76720729.704954863</v>
      </c>
      <c r="S5" s="4">
        <f ca="1">'Profit and Loss'!S9</f>
        <v>79039967.250518471</v>
      </c>
      <c r="T5" s="4">
        <f ca="1">'Profit and Loss'!T9</f>
        <v>81612214.710350901</v>
      </c>
      <c r="U5" s="4">
        <f ca="1">'Profit and Loss'!U9</f>
        <v>84465462.62996383</v>
      </c>
      <c r="V5" s="4">
        <f ca="1">'Profit and Loss'!V9</f>
        <v>87622629.436064735</v>
      </c>
      <c r="W5" s="4">
        <f ca="1">'Profit and Loss'!W9</f>
        <v>91122446.016799167</v>
      </c>
      <c r="X5" s="4">
        <f ca="1">'Profit and Loss'!X9</f>
        <v>95000557.370583087</v>
      </c>
      <c r="Y5" s="4">
        <f ca="1">'Profit and Loss'!Y9</f>
        <v>99295592.387735784</v>
      </c>
      <c r="Z5" s="4">
        <f ca="1">'Profit and Loss'!Z9</f>
        <v>100482548.17658713</v>
      </c>
      <c r="AA5" s="4">
        <f ca="1">'Profit and Loss'!AA9</f>
        <v>98711790.646277666</v>
      </c>
      <c r="AB5" s="4">
        <f ca="1">'Profit and Loss'!AB9</f>
        <v>96620423.607625812</v>
      </c>
      <c r="AC5" s="4">
        <f ca="1">'Profit and Loss'!AC9</f>
        <v>94187143.68887043</v>
      </c>
      <c r="AD5" s="4">
        <f ca="1">'Profit and Loss'!AD9</f>
        <v>91389539.938520387</v>
      </c>
      <c r="AE5" s="4">
        <f ca="1">'Profit and Loss'!AE9</f>
        <v>88204042.551358879</v>
      </c>
      <c r="AF5" s="4">
        <f ca="1">'Profit and Loss'!AF9</f>
        <v>84605869.376884311</v>
      </c>
      <c r="AG5" s="4"/>
      <c r="AH5" s="4"/>
      <c r="AI5" s="4"/>
      <c r="AJ5" s="4"/>
      <c r="AK5" s="4"/>
      <c r="AL5" s="4"/>
      <c r="AM5" s="4"/>
      <c r="AN5" s="4"/>
      <c r="AO5" s="4"/>
      <c r="AP5" s="4"/>
    </row>
    <row r="6" spans="1:42" x14ac:dyDescent="0.35">
      <c r="A6" t="s">
        <v>21</v>
      </c>
      <c r="C6" s="4">
        <f>Depreciation!C8+Depreciation!C9</f>
        <v>19366977.087154746</v>
      </c>
      <c r="D6" s="4">
        <f>Depreciation!D8+Depreciation!D9</f>
        <v>21606972.439448979</v>
      </c>
      <c r="E6" s="4">
        <f>Depreciation!E8+Depreciation!E9</f>
        <v>23970495.709752798</v>
      </c>
      <c r="F6" s="4">
        <f>Depreciation!F8+Depreciation!F9</f>
        <v>26463158.92957807</v>
      </c>
      <c r="G6" s="4">
        <f>Depreciation!G8+Depreciation!G9</f>
        <v>29090400.594080929</v>
      </c>
      <c r="H6" s="4">
        <f>Depreciation!H8+Depreciation!H9</f>
        <v>31858268.333366625</v>
      </c>
      <c r="I6" s="4">
        <f>Depreciation!I8+Depreciation!I9</f>
        <v>34773058.607674323</v>
      </c>
      <c r="J6" s="4">
        <f>Depreciation!J8+Depreciation!J9</f>
        <v>37841326.426713228</v>
      </c>
      <c r="K6" s="4">
        <f>Depreciation!K8+Depreciation!K9</f>
        <v>41069895.43582058</v>
      </c>
      <c r="L6" s="4">
        <f>Depreciation!L8+Depreciation!L9</f>
        <v>44466153.194127157</v>
      </c>
      <c r="M6" s="4">
        <f>Depreciation!M8+Depreciation!M9</f>
        <v>48037519.660064697</v>
      </c>
      <c r="N6" s="4">
        <f>Depreciation!N8+Depreciation!N9</f>
        <v>51791717.762557872</v>
      </c>
      <c r="O6" s="4">
        <f>Depreciation!O8+Depreciation!O9</f>
        <v>55736785.186922535</v>
      </c>
      <c r="P6" s="4">
        <f>Depreciation!P8+Depreciation!P9</f>
        <v>59881086.604622498</v>
      </c>
      <c r="Q6" s="4">
        <f>Depreciation!Q8+Depreciation!Q9</f>
        <v>64233400.465103291</v>
      </c>
      <c r="R6" s="4">
        <f>Depreciation!R8+Depreciation!R9</f>
        <v>68802791.061219916</v>
      </c>
      <c r="S6" s="4">
        <f>Depreciation!S8+Depreciation!S9</f>
        <v>73598689.644483909</v>
      </c>
      <c r="T6" s="4">
        <f>Depreciation!T8+Depreciation!T9</f>
        <v>78630908.623748004</v>
      </c>
      <c r="U6" s="4">
        <f>Depreciation!U8+Depreciation!U9</f>
        <v>83909656.296686545</v>
      </c>
      <c r="V6" s="4">
        <f>Depreciation!V8+Depreciation!V9</f>
        <v>89445725.770262465</v>
      </c>
      <c r="W6" s="4">
        <f>Depreciation!W8+Depreciation!W9</f>
        <v>95250180.202099413</v>
      </c>
      <c r="X6" s="4">
        <f>Depreciation!X8+Depreciation!X9</f>
        <v>101334527.29438516</v>
      </c>
      <c r="Y6" s="4">
        <f>Depreciation!Y8+Depreciation!Y9</f>
        <v>107710736.41605026</v>
      </c>
      <c r="Z6" s="4">
        <f>Depreciation!Z8+Depreciation!Z9</f>
        <v>114391256.36555248</v>
      </c>
      <c r="AA6" s="4">
        <f>Depreciation!AA8+Depreciation!AA9</f>
        <v>121389033.79773286</v>
      </c>
      <c r="AB6" s="4">
        <f>Depreciation!AB8+Depreciation!AB9</f>
        <v>128717532.33905438</v>
      </c>
      <c r="AC6" s="4">
        <f>Depreciation!AC8+Depreciation!AC9</f>
        <v>136390752.41641158</v>
      </c>
      <c r="AD6" s="4">
        <f>Depreciation!AD8+Depreciation!AD9</f>
        <v>144423251.82560453</v>
      </c>
      <c r="AE6" s="4">
        <f>Depreciation!AE8+Depreciation!AE9</f>
        <v>152830167.06651139</v>
      </c>
      <c r="AF6" s="4">
        <f>Depreciation!AF8+Depreciation!AF9</f>
        <v>161627235.47296685</v>
      </c>
      <c r="AG6" s="4"/>
      <c r="AH6" s="4"/>
      <c r="AI6" s="4"/>
      <c r="AJ6" s="4"/>
      <c r="AK6" s="4"/>
      <c r="AL6" s="4"/>
      <c r="AM6" s="4"/>
      <c r="AN6" s="4"/>
      <c r="AO6" s="4"/>
      <c r="AP6" s="4"/>
    </row>
    <row r="7" spans="1:42" x14ac:dyDescent="0.35">
      <c r="A7" t="s">
        <v>23</v>
      </c>
      <c r="C7" s="4">
        <f ca="1">C6+C5</f>
        <v>19879383.522970591</v>
      </c>
      <c r="D7" s="4">
        <f ca="1">D6+D5</f>
        <v>42456593.424024232</v>
      </c>
      <c r="E7" s="4">
        <f t="shared" ref="E7:AF7" ca="1" si="1">E6+E5</f>
        <v>60835847.353883557</v>
      </c>
      <c r="F7" s="4">
        <f t="shared" ca="1" si="1"/>
        <v>69505635.55576764</v>
      </c>
      <c r="G7" s="4">
        <f ca="1">G6+G5</f>
        <v>75560265.799278229</v>
      </c>
      <c r="H7" s="4">
        <f t="shared" ca="1" si="1"/>
        <v>82505305.94356215</v>
      </c>
      <c r="I7" s="4">
        <f t="shared" ca="1" si="1"/>
        <v>90453994.923478425</v>
      </c>
      <c r="J7" s="4">
        <f t="shared" ca="1" si="1"/>
        <v>99532069.202161759</v>
      </c>
      <c r="K7" s="4">
        <f t="shared" ca="1" si="1"/>
        <v>106720160.45743671</v>
      </c>
      <c r="L7" s="4">
        <f t="shared" ca="1" si="1"/>
        <v>111277433.57475325</v>
      </c>
      <c r="M7" s="4">
        <f t="shared" ca="1" si="1"/>
        <v>116122365.33315247</v>
      </c>
      <c r="N7" s="4">
        <f t="shared" ca="1" si="1"/>
        <v>121277899.69592947</v>
      </c>
      <c r="O7" s="4">
        <f t="shared" ca="1" si="1"/>
        <v>126768750.31985287</v>
      </c>
      <c r="P7" s="4">
        <f t="shared" ca="1" si="1"/>
        <v>132621525.71481444</v>
      </c>
      <c r="Q7" s="4">
        <f t="shared" ca="1" si="1"/>
        <v>138862166.73631421</v>
      </c>
      <c r="R7" s="4">
        <f t="shared" ca="1" si="1"/>
        <v>145523520.76617479</v>
      </c>
      <c r="S7" s="4">
        <f t="shared" ca="1" si="1"/>
        <v>152638656.89500237</v>
      </c>
      <c r="T7" s="4">
        <f t="shared" ca="1" si="1"/>
        <v>160243123.33409891</v>
      </c>
      <c r="U7" s="4">
        <f t="shared" ca="1" si="1"/>
        <v>168375118.92665038</v>
      </c>
      <c r="V7" s="4">
        <f t="shared" ca="1" si="1"/>
        <v>177068355.2063272</v>
      </c>
      <c r="W7" s="4">
        <f t="shared" ca="1" si="1"/>
        <v>186372626.21889859</v>
      </c>
      <c r="X7" s="4">
        <f t="shared" ca="1" si="1"/>
        <v>196335084.66496825</v>
      </c>
      <c r="Y7" s="4">
        <f t="shared" ca="1" si="1"/>
        <v>207006328.80378604</v>
      </c>
      <c r="Z7" s="4">
        <f t="shared" ca="1" si="1"/>
        <v>214873804.54213962</v>
      </c>
      <c r="AA7" s="4">
        <f t="shared" ca="1" si="1"/>
        <v>220100824.44401053</v>
      </c>
      <c r="AB7" s="4">
        <f t="shared" ca="1" si="1"/>
        <v>225337955.94668019</v>
      </c>
      <c r="AC7" s="4">
        <f t="shared" ca="1" si="1"/>
        <v>230577896.10528201</v>
      </c>
      <c r="AD7" s="4">
        <f t="shared" ca="1" si="1"/>
        <v>235812791.76412493</v>
      </c>
      <c r="AE7" s="4">
        <f t="shared" ca="1" si="1"/>
        <v>241034209.61787027</v>
      </c>
      <c r="AF7" s="4">
        <f t="shared" ca="1" si="1"/>
        <v>246233104.84985116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84784131.702193677</v>
      </c>
      <c r="D10" s="9">
        <f>Investment!D25</f>
        <v>89117476.002169147</v>
      </c>
      <c r="E10" s="9">
        <f>Investment!E25</f>
        <v>93641335.386480004</v>
      </c>
      <c r="F10" s="9">
        <f>Investment!F25</f>
        <v>98363465.475960553</v>
      </c>
      <c r="G10" s="9">
        <f>Investment!G25</f>
        <v>103274591.37559588</v>
      </c>
      <c r="H10" s="9">
        <f>Investment!H25</f>
        <v>108398890.01149623</v>
      </c>
      <c r="I10" s="9">
        <f>Investment!I25</f>
        <v>113744962.25933975</v>
      </c>
      <c r="J10" s="9">
        <f>Investment!J25</f>
        <v>119321740.74310148</v>
      </c>
      <c r="K10" s="9">
        <f>Investment!K25</f>
        <v>125138502.24634257</v>
      </c>
      <c r="L10" s="9">
        <f>Investment!L25</f>
        <v>131217032.54247396</v>
      </c>
      <c r="M10" s="9">
        <f>Investment!M25</f>
        <v>137556251.48195934</v>
      </c>
      <c r="N10" s="9">
        <f>Investment!N25</f>
        <v>144166612.48635423</v>
      </c>
      <c r="O10" s="9">
        <f>Investment!O25</f>
        <v>151058970.85203958</v>
      </c>
      <c r="P10" s="9">
        <f>Investment!P25</f>
        <v>158244598.75955808</v>
      </c>
      <c r="Q10" s="9">
        <f>Investment!Q25</f>
        <v>165738362.51230639</v>
      </c>
      <c r="R10" s="9">
        <f>Investment!R25</f>
        <v>173549531.945941</v>
      </c>
      <c r="S10" s="9">
        <f>Investment!S25</f>
        <v>181690742.5321902</v>
      </c>
      <c r="T10" s="9">
        <f>Investment!T25</f>
        <v>190175113.23377389</v>
      </c>
      <c r="U10" s="9">
        <f>Investment!U25</f>
        <v>199016264.50412863</v>
      </c>
      <c r="V10" s="9">
        <f>Investment!V25</f>
        <v>208235745.44034269</v>
      </c>
      <c r="W10" s="9">
        <f>Investment!W25</f>
        <v>217841480.50162226</v>
      </c>
      <c r="X10" s="9">
        <f>Investment!X25</f>
        <v>227848749.2034927</v>
      </c>
      <c r="Y10" s="9">
        <f>Investment!Y25</f>
        <v>238273413.42624924</v>
      </c>
      <c r="Z10" s="9">
        <f>Investment!Z25</f>
        <v>249131939.04007778</v>
      </c>
      <c r="AA10" s="9">
        <f>Investment!AA25</f>
        <v>260441418.31784305</v>
      </c>
      <c r="AB10" s="9">
        <f>Investment!AB25</f>
        <v>272219593.16380805</v>
      </c>
      <c r="AC10" s="9">
        <f>Investment!AC25</f>
        <v>284484879.18755734</v>
      </c>
      <c r="AD10" s="9">
        <f>Investment!AD25</f>
        <v>297256390.653427</v>
      </c>
      <c r="AE10" s="9">
        <f>Investment!AE25</f>
        <v>310553966.33682418</v>
      </c>
      <c r="AF10" s="9">
        <f>Investment!AF25</f>
        <v>324398196.3199296</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-64904748.17922309</v>
      </c>
      <c r="D12" s="1">
        <f t="shared" ref="D12:AF12" ca="1" si="2">D7-D9-D10</f>
        <v>-46660882.578144915</v>
      </c>
      <c r="E12" s="1">
        <f ca="1">E7-E9-E10</f>
        <v>-32805488.032596447</v>
      </c>
      <c r="F12" s="1">
        <f t="shared" ca="1" si="2"/>
        <v>-28857829.920192912</v>
      </c>
      <c r="G12" s="1">
        <f ca="1">G7-G9-G10</f>
        <v>-27714325.576317653</v>
      </c>
      <c r="H12" s="1">
        <f t="shared" ca="1" si="2"/>
        <v>-25893584.067934081</v>
      </c>
      <c r="I12" s="1">
        <f t="shared" ca="1" si="2"/>
        <v>-23290967.335861325</v>
      </c>
      <c r="J12" s="1">
        <f t="shared" ca="1" si="2"/>
        <v>-19789671.540939718</v>
      </c>
      <c r="K12" s="1">
        <f t="shared" ca="1" si="2"/>
        <v>-18418341.788905859</v>
      </c>
      <c r="L12" s="1">
        <f t="shared" ca="1" si="2"/>
        <v>-19939598.967720702</v>
      </c>
      <c r="M12" s="1">
        <f t="shared" ca="1" si="2"/>
        <v>-21433886.14880687</v>
      </c>
      <c r="N12" s="1">
        <f t="shared" ca="1" si="2"/>
        <v>-22888712.790424764</v>
      </c>
      <c r="O12" s="1">
        <f t="shared" ca="1" si="2"/>
        <v>-24290220.532186702</v>
      </c>
      <c r="P12" s="1">
        <f t="shared" ca="1" si="2"/>
        <v>-25623073.044743642</v>
      </c>
      <c r="Q12" s="1">
        <f t="shared" ca="1" si="2"/>
        <v>-26876195.775992185</v>
      </c>
      <c r="R12" s="1">
        <f t="shared" ca="1" si="2"/>
        <v>-28026011.179766208</v>
      </c>
      <c r="S12" s="1">
        <f t="shared" ca="1" si="2"/>
        <v>-29052085.637187839</v>
      </c>
      <c r="T12" s="1">
        <f t="shared" ca="1" si="2"/>
        <v>-29931989.899674982</v>
      </c>
      <c r="U12" s="1">
        <f t="shared" ca="1" si="2"/>
        <v>-30641145.57747826</v>
      </c>
      <c r="V12" s="1">
        <f t="shared" ca="1" si="2"/>
        <v>-31167390.234015495</v>
      </c>
      <c r="W12" s="1">
        <f t="shared" ca="1" si="2"/>
        <v>-31468854.282723665</v>
      </c>
      <c r="X12" s="1">
        <f t="shared" ca="1" si="2"/>
        <v>-31513664.538524449</v>
      </c>
      <c r="Y12" s="1">
        <f t="shared" ca="1" si="2"/>
        <v>-31267084.622463197</v>
      </c>
      <c r="Z12" s="1">
        <f t="shared" ca="1" si="2"/>
        <v>-34258134.497938156</v>
      </c>
      <c r="AA12" s="1">
        <f t="shared" ca="1" si="2"/>
        <v>-40340593.873832524</v>
      </c>
      <c r="AB12" s="1">
        <f t="shared" ca="1" si="2"/>
        <v>-46881637.21712786</v>
      </c>
      <c r="AC12" s="1">
        <f t="shared" ca="1" si="2"/>
        <v>-53906983.082275331</v>
      </c>
      <c r="AD12" s="1">
        <f t="shared" ca="1" si="2"/>
        <v>-61443598.889302075</v>
      </c>
      <c r="AE12" s="1">
        <f t="shared" ca="1" si="2"/>
        <v>-69519756.718953907</v>
      </c>
      <c r="AF12" s="1">
        <f t="shared" ca="1" si="2"/>
        <v>-78165091.470078439</v>
      </c>
      <c r="AG12" s="1"/>
      <c r="AH12" s="1"/>
      <c r="AI12" s="1"/>
      <c r="AJ12" s="1"/>
      <c r="AK12" s="1"/>
      <c r="AL12" s="1"/>
      <c r="AM12" s="1"/>
      <c r="AN12" s="1"/>
      <c r="AO12" s="1"/>
      <c r="AP12" s="1"/>
    </row>
    <row r="13" spans="1:42" x14ac:dyDescent="0.35">
      <c r="A13" t="s">
        <v>19</v>
      </c>
      <c r="C13" s="1">
        <f ca="1">C12</f>
        <v>-64904748.17922309</v>
      </c>
      <c r="D13" s="1">
        <f ca="1">D12</f>
        <v>-46660882.578144915</v>
      </c>
      <c r="E13" s="1">
        <f ca="1">E12</f>
        <v>-32805488.032596447</v>
      </c>
      <c r="F13" s="1">
        <f t="shared" ref="F13:AF13" ca="1" si="3">F12</f>
        <v>-28857829.920192912</v>
      </c>
      <c r="G13" s="1">
        <f ca="1">G12</f>
        <v>-27714325.576317653</v>
      </c>
      <c r="H13" s="1">
        <f t="shared" ca="1" si="3"/>
        <v>-25893584.067934081</v>
      </c>
      <c r="I13" s="1">
        <f t="shared" ca="1" si="3"/>
        <v>-23290967.335861325</v>
      </c>
      <c r="J13" s="1">
        <f t="shared" ca="1" si="3"/>
        <v>-19789671.540939718</v>
      </c>
      <c r="K13" s="1">
        <f t="shared" ca="1" si="3"/>
        <v>-18418341.788905859</v>
      </c>
      <c r="L13" s="1">
        <f t="shared" ca="1" si="3"/>
        <v>-19939598.967720702</v>
      </c>
      <c r="M13" s="1">
        <f t="shared" ca="1" si="3"/>
        <v>-21433886.14880687</v>
      </c>
      <c r="N13" s="1">
        <f t="shared" ca="1" si="3"/>
        <v>-22888712.790424764</v>
      </c>
      <c r="O13" s="1">
        <f t="shared" ca="1" si="3"/>
        <v>-24290220.532186702</v>
      </c>
      <c r="P13" s="1">
        <f t="shared" ca="1" si="3"/>
        <v>-25623073.044743642</v>
      </c>
      <c r="Q13" s="1">
        <f t="shared" ca="1" si="3"/>
        <v>-26876195.775992185</v>
      </c>
      <c r="R13" s="1">
        <f t="shared" ca="1" si="3"/>
        <v>-28026011.179766208</v>
      </c>
      <c r="S13" s="1">
        <f t="shared" ca="1" si="3"/>
        <v>-29052085.637187839</v>
      </c>
      <c r="T13" s="1">
        <f t="shared" ca="1" si="3"/>
        <v>-29931989.899674982</v>
      </c>
      <c r="U13" s="1">
        <f t="shared" ca="1" si="3"/>
        <v>-30641145.57747826</v>
      </c>
      <c r="V13" s="1">
        <f t="shared" ca="1" si="3"/>
        <v>-31167390.234015495</v>
      </c>
      <c r="W13" s="1">
        <f t="shared" ca="1" si="3"/>
        <v>-31468854.282723665</v>
      </c>
      <c r="X13" s="1">
        <f t="shared" ca="1" si="3"/>
        <v>-31513664.538524449</v>
      </c>
      <c r="Y13" s="1">
        <f t="shared" ca="1" si="3"/>
        <v>-31267084.622463197</v>
      </c>
      <c r="Z13" s="1">
        <f t="shared" ca="1" si="3"/>
        <v>-34258134.497938156</v>
      </c>
      <c r="AA13" s="1">
        <f t="shared" ca="1" si="3"/>
        <v>-40340593.873832524</v>
      </c>
      <c r="AB13" s="1">
        <f t="shared" ca="1" si="3"/>
        <v>-46881637.21712786</v>
      </c>
      <c r="AC13" s="1">
        <f t="shared" ca="1" si="3"/>
        <v>-53906983.082275331</v>
      </c>
      <c r="AD13" s="1">
        <f t="shared" ca="1" si="3"/>
        <v>-61443598.889302075</v>
      </c>
      <c r="AE13" s="1">
        <f t="shared" ca="1" si="3"/>
        <v>-69519756.718953907</v>
      </c>
      <c r="AF13" s="1">
        <f t="shared" ca="1" si="3"/>
        <v>-78165091.470078439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141</v>
      </c>
      <c r="C6" s="9">
        <f>Assumptions!C17</f>
        <v>1193501426.9712496</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596750713.48562479</v>
      </c>
      <c r="D7" s="9">
        <f>C12</f>
        <v>616117690.57277954</v>
      </c>
      <c r="E7" s="9">
        <f>D12</f>
        <v>637724663.01222861</v>
      </c>
      <c r="F7" s="9">
        <f t="shared" ref="F7:H7" si="1">E12</f>
        <v>661695158.72198141</v>
      </c>
      <c r="G7" s="9">
        <f t="shared" si="1"/>
        <v>688158317.65155947</v>
      </c>
      <c r="H7" s="9">
        <f t="shared" si="1"/>
        <v>717248718.2456404</v>
      </c>
      <c r="I7" s="9">
        <f t="shared" ref="I7" si="2">H12</f>
        <v>749106986.57900703</v>
      </c>
      <c r="J7" s="9">
        <f t="shared" ref="J7" si="3">I12</f>
        <v>783880045.18668139</v>
      </c>
      <c r="K7" s="9">
        <f t="shared" ref="K7" si="4">J12</f>
        <v>821721371.61339462</v>
      </c>
      <c r="L7" s="9">
        <f t="shared" ref="L7" si="5">K12</f>
        <v>862791267.0492152</v>
      </c>
      <c r="M7" s="9">
        <f t="shared" ref="M7" si="6">L12</f>
        <v>907257420.2433424</v>
      </c>
      <c r="N7" s="9">
        <f t="shared" ref="N7" si="7">M12</f>
        <v>955294939.9034071</v>
      </c>
      <c r="O7" s="9">
        <f t="shared" ref="O7" si="8">N12</f>
        <v>1007086657.665965</v>
      </c>
      <c r="P7" s="9">
        <f t="shared" ref="P7" si="9">O12</f>
        <v>1062823442.8528875</v>
      </c>
      <c r="Q7" s="9">
        <f t="shared" ref="Q7" si="10">P12</f>
        <v>1122704529.45751</v>
      </c>
      <c r="R7" s="9">
        <f t="shared" ref="R7" si="11">Q12</f>
        <v>1186937929.9226134</v>
      </c>
      <c r="S7" s="9">
        <f t="shared" ref="S7" si="12">R12</f>
        <v>1255740720.9838333</v>
      </c>
      <c r="T7" s="9">
        <f t="shared" ref="T7" si="13">S12</f>
        <v>1329339410.6283171</v>
      </c>
      <c r="U7" s="9">
        <f t="shared" ref="U7" si="14">T12</f>
        <v>1407970319.2520652</v>
      </c>
      <c r="V7" s="9">
        <f t="shared" ref="V7" si="15">U12</f>
        <v>1491879975.5487516</v>
      </c>
      <c r="W7" s="9">
        <f t="shared" ref="W7" si="16">V12</f>
        <v>1581325701.3190141</v>
      </c>
      <c r="X7" s="9">
        <f t="shared" ref="X7" si="17">W12</f>
        <v>1676575881.5211134</v>
      </c>
      <c r="Y7" s="9">
        <f t="shared" ref="Y7" si="18">X12</f>
        <v>1777910408.8154986</v>
      </c>
      <c r="Z7" s="9">
        <f t="shared" ref="Z7" si="19">Y12</f>
        <v>1885621145.2315488</v>
      </c>
      <c r="AA7" s="9">
        <f t="shared" ref="AA7" si="20">Z12</f>
        <v>2000012401.5971014</v>
      </c>
      <c r="AB7" s="9">
        <f t="shared" ref="AB7" si="21">AA12</f>
        <v>2121401435.3948343</v>
      </c>
      <c r="AC7" s="9">
        <f t="shared" ref="AC7" si="22">AB12</f>
        <v>2250118967.7338886</v>
      </c>
      <c r="AD7" s="9">
        <f t="shared" ref="AD7" si="23">AC12</f>
        <v>2386509720.1503005</v>
      </c>
      <c r="AE7" s="9">
        <f t="shared" ref="AE7" si="24">AD12</f>
        <v>2530932971.9759049</v>
      </c>
      <c r="AF7" s="9">
        <f t="shared" ref="AF7" si="25">AE12</f>
        <v>2683763139.0424161</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142</v>
      </c>
      <c r="C8" s="9">
        <f>Assumptions!D111*Assumptions!D11</f>
        <v>17796965.37639381</v>
      </c>
      <c r="D8" s="9">
        <f>Assumptions!E111*Assumptions!E11</f>
        <v>18366468.26843841</v>
      </c>
      <c r="E8" s="9">
        <f>Assumptions!F111*Assumptions!F11</f>
        <v>18954195.253028437</v>
      </c>
      <c r="F8" s="9">
        <f>Assumptions!G111*Assumptions!G11</f>
        <v>19560729.501125351</v>
      </c>
      <c r="G8" s="9">
        <f>Assumptions!H111*Assumptions!H11</f>
        <v>20186672.845161363</v>
      </c>
      <c r="H8" s="9">
        <f>Assumptions!I111*Assumptions!I11</f>
        <v>20832646.376206525</v>
      </c>
      <c r="I8" s="9">
        <f>Assumptions!J111*Assumptions!J11</f>
        <v>21499291.06024513</v>
      </c>
      <c r="J8" s="9">
        <f>Assumptions!K111*Assumptions!K11</f>
        <v>22187268.374172978</v>
      </c>
      <c r="K8" s="9">
        <f>Assumptions!L111*Assumptions!L11</f>
        <v>22897260.962146513</v>
      </c>
      <c r="L8" s="9">
        <f>Assumptions!M111*Assumptions!M11</f>
        <v>23629973.3129352</v>
      </c>
      <c r="M8" s="9">
        <f>Assumptions!N111*Assumptions!N11</f>
        <v>24386132.458949126</v>
      </c>
      <c r="N8" s="9">
        <f>Assumptions!O111*Assumptions!O11</f>
        <v>25166488.697635498</v>
      </c>
      <c r="O8" s="9">
        <f>Assumptions!P111*Assumptions!P11</f>
        <v>25971816.335959837</v>
      </c>
      <c r="P8" s="9">
        <f>Assumptions!Q111*Assumptions!Q11</f>
        <v>26802914.458710548</v>
      </c>
      <c r="Q8" s="9">
        <f>Assumptions!R111*Assumptions!R11</f>
        <v>27660607.721389279</v>
      </c>
      <c r="R8" s="9">
        <f>Assumptions!S111*Assumptions!S11</f>
        <v>28545747.168473743</v>
      </c>
      <c r="S8" s="9">
        <f>Assumptions!T111*Assumptions!T11</f>
        <v>29459211.077864904</v>
      </c>
      <c r="T8" s="9">
        <f>Assumptions!U111*Assumptions!U11</f>
        <v>30401905.83235658</v>
      </c>
      <c r="U8" s="9">
        <f>Assumptions!V111*Assumptions!V11</f>
        <v>31374766.818991985</v>
      </c>
      <c r="V8" s="9">
        <f>Assumptions!W111*Assumptions!W11</f>
        <v>32378759.357199732</v>
      </c>
      <c r="W8" s="9">
        <f>Assumptions!X111*Assumptions!X11</f>
        <v>33414879.656630129</v>
      </c>
      <c r="X8" s="9">
        <f>Assumptions!Y111*Assumptions!Y11</f>
        <v>34484155.805642284</v>
      </c>
      <c r="Y8" s="9">
        <f>Assumptions!Z111*Assumptions!Z11</f>
        <v>35587648.791422836</v>
      </c>
      <c r="Z8" s="9">
        <f>Assumptions!AA111*Assumptions!AA11</f>
        <v>36726453.552748367</v>
      </c>
      <c r="AA8" s="9">
        <f>Assumptions!AB111*Assumptions!AB11</f>
        <v>37901700.066436328</v>
      </c>
      <c r="AB8" s="9">
        <f>Assumptions!AC111*Assumptions!AC11</f>
        <v>39114554.468562283</v>
      </c>
      <c r="AC8" s="9">
        <f>Assumptions!AD111*Assumptions!AD11</f>
        <v>40366220.211556271</v>
      </c>
      <c r="AD8" s="9">
        <f>Assumptions!AE111*Assumptions!AE11</f>
        <v>41657939.258326076</v>
      </c>
      <c r="AE8" s="9">
        <f>Assumptions!AF111*Assumptions!AF11</f>
        <v>42990993.31459251</v>
      </c>
      <c r="AF8" s="9">
        <f>Assumptions!AG111*Assumptions!AG11</f>
        <v>44366705.10065946</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1570011.7107609343</v>
      </c>
      <c r="D9" s="9">
        <f>Assumptions!E120*Assumptions!E11</f>
        <v>3240504.1710105678</v>
      </c>
      <c r="E9" s="9">
        <f>Assumptions!F120*Assumptions!F11</f>
        <v>5016300.4567243597</v>
      </c>
      <c r="F9" s="9">
        <f>Assumptions!G120*Assumptions!G11</f>
        <v>6902429.4284527181</v>
      </c>
      <c r="G9" s="9">
        <f>Assumptions!H120*Assumptions!H11</f>
        <v>8903727.7489195652</v>
      </c>
      <c r="H9" s="9">
        <f>Assumptions!I120*Assumptions!I11</f>
        <v>11025621.957160102</v>
      </c>
      <c r="I9" s="9">
        <f>Assumptions!J120*Assumptions!J11</f>
        <v>13273767.547429195</v>
      </c>
      <c r="J9" s="9">
        <f>Assumptions!K120*Assumptions!K11</f>
        <v>15654058.052540246</v>
      </c>
      <c r="K9" s="9">
        <f>Assumptions!L120*Assumptions!L11</f>
        <v>18172634.473674063</v>
      </c>
      <c r="L9" s="9">
        <f>Assumptions!M120*Assumptions!M11</f>
        <v>20836179.881191954</v>
      </c>
      <c r="M9" s="9">
        <f>Assumptions!N120*Assumptions!N11</f>
        <v>23651387.201115567</v>
      </c>
      <c r="N9" s="9">
        <f>Assumptions!O120*Assumptions!O11</f>
        <v>26625229.064922374</v>
      </c>
      <c r="O9" s="9">
        <f>Assumptions!P120*Assumptions!P11</f>
        <v>29764968.850962702</v>
      </c>
      <c r="P9" s="9">
        <f>Assumptions!Q120*Assumptions!Q11</f>
        <v>33078172.145911951</v>
      </c>
      <c r="Q9" s="9">
        <f>Assumptions!R120*Assumptions!R11</f>
        <v>36572792.743714012</v>
      </c>
      <c r="R9" s="9">
        <f>Assumptions!S120*Assumptions!S11</f>
        <v>40257043.892746173</v>
      </c>
      <c r="S9" s="9">
        <f>Assumptions!T120*Assumptions!T11</f>
        <v>44139478.566619001</v>
      </c>
      <c r="T9" s="9">
        <f>Assumptions!U120*Assumptions!U11</f>
        <v>48229002.791391432</v>
      </c>
      <c r="U9" s="9">
        <f>Assumptions!V120*Assumptions!V11</f>
        <v>52534889.477694556</v>
      </c>
      <c r="V9" s="9">
        <f>Assumptions!W120*Assumptions!W11</f>
        <v>57066966.413062729</v>
      </c>
      <c r="W9" s="9">
        <f>Assumptions!X120*Assumptions!X11</f>
        <v>61835300.545469292</v>
      </c>
      <c r="X9" s="9">
        <f>Assumptions!Y120*Assumptions!Y11</f>
        <v>66850371.488742881</v>
      </c>
      <c r="Y9" s="9">
        <f>Assumptions!Z120*Assumptions!Z11</f>
        <v>72123087.624627426</v>
      </c>
      <c r="Z9" s="9">
        <f>Assumptions!AA120*Assumptions!AA11</f>
        <v>77664802.812804118</v>
      </c>
      <c r="AA9" s="9">
        <f>Assumptions!AB120*Assumptions!AB11</f>
        <v>83487333.731296524</v>
      </c>
      <c r="AB9" s="9">
        <f>Assumptions!AC120*Assumptions!AC11</f>
        <v>89602977.870492086</v>
      </c>
      <c r="AC9" s="9">
        <f>Assumptions!AD120*Assumptions!AD11</f>
        <v>96024532.204855323</v>
      </c>
      <c r="AD9" s="9">
        <f>Assumptions!AE120*Assumptions!AE11</f>
        <v>102765312.56727844</v>
      </c>
      <c r="AE9" s="9">
        <f>Assumptions!AF120*Assumptions!AF11</f>
        <v>109839173.7519189</v>
      </c>
      <c r="AF9" s="9">
        <f>Assumptions!AG120*Assumptions!AG11</f>
        <v>117260530.37230738</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19366977.087154746</v>
      </c>
      <c r="D10" s="9">
        <f>SUM($C$8:D9)</f>
        <v>40973949.526603729</v>
      </c>
      <c r="E10" s="9">
        <f>SUM($C$8:E9)</f>
        <v>64944445.236356527</v>
      </c>
      <c r="F10" s="9">
        <f>SUM($C$8:F9)</f>
        <v>91407604.165934592</v>
      </c>
      <c r="G10" s="9">
        <f>SUM($C$8:G9)</f>
        <v>120498004.76001552</v>
      </c>
      <c r="H10" s="9">
        <f>SUM($C$8:H9)</f>
        <v>152356273.09338218</v>
      </c>
      <c r="I10" s="9">
        <f>SUM($C$8:I9)</f>
        <v>187129331.70105648</v>
      </c>
      <c r="J10" s="9">
        <f>SUM($C$8:J9)</f>
        <v>224970658.12776971</v>
      </c>
      <c r="K10" s="9">
        <f>SUM($C$8:K9)</f>
        <v>266040553.56359029</v>
      </c>
      <c r="L10" s="9">
        <f>SUM($C$8:L9)</f>
        <v>310506706.75771749</v>
      </c>
      <c r="M10" s="9">
        <f>SUM($C$8:M9)</f>
        <v>358544226.41778213</v>
      </c>
      <c r="N10" s="9">
        <f>SUM($C$8:N9)</f>
        <v>410335944.18033999</v>
      </c>
      <c r="O10" s="9">
        <f>SUM($C$8:O9)</f>
        <v>466072729.36726254</v>
      </c>
      <c r="P10" s="9">
        <f>SUM($C$8:P9)</f>
        <v>525953815.97188503</v>
      </c>
      <c r="Q10" s="9">
        <f>SUM($C$8:Q9)</f>
        <v>590187216.43698835</v>
      </c>
      <c r="R10" s="9">
        <f>SUM($C$8:R9)</f>
        <v>658990007.49820828</v>
      </c>
      <c r="S10" s="9">
        <f>SUM($C$8:S9)</f>
        <v>732588697.14269221</v>
      </c>
      <c r="T10" s="9">
        <f>SUM($C$8:T9)</f>
        <v>811219605.76644015</v>
      </c>
      <c r="U10" s="9">
        <f>SUM($C$8:U9)</f>
        <v>895129262.0631268</v>
      </c>
      <c r="V10" s="9">
        <f>SUM($C$8:V9)</f>
        <v>984574987.83338916</v>
      </c>
      <c r="W10" s="9">
        <f>SUM($C$8:W9)</f>
        <v>1079825168.0354888</v>
      </c>
      <c r="X10" s="9">
        <f>SUM($C$8:X9)</f>
        <v>1181159695.329874</v>
      </c>
      <c r="Y10" s="9">
        <f>SUM($C$8:Y9)</f>
        <v>1288870431.7459242</v>
      </c>
      <c r="Z10" s="9">
        <f>SUM($C$8:Z9)</f>
        <v>1403261688.1114767</v>
      </c>
      <c r="AA10" s="9">
        <f>SUM($C$8:AA9)</f>
        <v>1524650721.9092095</v>
      </c>
      <c r="AB10" s="9">
        <f>SUM($C$8:AB9)</f>
        <v>1653368254.2482638</v>
      </c>
      <c r="AC10" s="9">
        <f>SUM($C$8:AC9)</f>
        <v>1789759006.6646752</v>
      </c>
      <c r="AD10" s="9">
        <f>SUM($C$8:AD9)</f>
        <v>1934182258.4902797</v>
      </c>
      <c r="AE10" s="9">
        <f>SUM($C$8:AE9)</f>
        <v>2087012425.5567908</v>
      </c>
      <c r="AF10" s="9">
        <f>SUM($C$8:AF9)</f>
        <v>2248639661.029758</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616117690.57277954</v>
      </c>
      <c r="D12" s="9">
        <f>D7+D8+D9</f>
        <v>637724663.01222861</v>
      </c>
      <c r="E12" s="9">
        <f>E7+E8+E9</f>
        <v>661695158.72198141</v>
      </c>
      <c r="F12" s="9">
        <f t="shared" ref="F12:H12" si="26">F7+F8+F9</f>
        <v>688158317.65155947</v>
      </c>
      <c r="G12" s="9">
        <f t="shared" si="26"/>
        <v>717248718.2456404</v>
      </c>
      <c r="H12" s="9">
        <f t="shared" si="26"/>
        <v>749106986.57900703</v>
      </c>
      <c r="I12" s="9">
        <f t="shared" ref="I12:AF12" si="27">I7+I8+I9</f>
        <v>783880045.18668139</v>
      </c>
      <c r="J12" s="9">
        <f t="shared" si="27"/>
        <v>821721371.61339462</v>
      </c>
      <c r="K12" s="9">
        <f t="shared" si="27"/>
        <v>862791267.0492152</v>
      </c>
      <c r="L12" s="9">
        <f t="shared" si="27"/>
        <v>907257420.2433424</v>
      </c>
      <c r="M12" s="9">
        <f t="shared" si="27"/>
        <v>955294939.9034071</v>
      </c>
      <c r="N12" s="9">
        <f t="shared" si="27"/>
        <v>1007086657.665965</v>
      </c>
      <c r="O12" s="9">
        <f t="shared" si="27"/>
        <v>1062823442.8528875</v>
      </c>
      <c r="P12" s="9">
        <f t="shared" si="27"/>
        <v>1122704529.45751</v>
      </c>
      <c r="Q12" s="9">
        <f t="shared" si="27"/>
        <v>1186937929.9226134</v>
      </c>
      <c r="R12" s="9">
        <f t="shared" si="27"/>
        <v>1255740720.9838333</v>
      </c>
      <c r="S12" s="9">
        <f t="shared" si="27"/>
        <v>1329339410.6283171</v>
      </c>
      <c r="T12" s="9">
        <f t="shared" si="27"/>
        <v>1407970319.2520652</v>
      </c>
      <c r="U12" s="9">
        <f t="shared" si="27"/>
        <v>1491879975.5487516</v>
      </c>
      <c r="V12" s="9">
        <f t="shared" si="27"/>
        <v>1581325701.3190141</v>
      </c>
      <c r="W12" s="9">
        <f t="shared" si="27"/>
        <v>1676575881.5211134</v>
      </c>
      <c r="X12" s="9">
        <f t="shared" si="27"/>
        <v>1777910408.8154986</v>
      </c>
      <c r="Y12" s="9">
        <f t="shared" si="27"/>
        <v>1885621145.2315488</v>
      </c>
      <c r="Z12" s="9">
        <f t="shared" si="27"/>
        <v>2000012401.5971014</v>
      </c>
      <c r="AA12" s="9">
        <f t="shared" si="27"/>
        <v>2121401435.3948343</v>
      </c>
      <c r="AB12" s="9">
        <f t="shared" si="27"/>
        <v>2250118967.7338886</v>
      </c>
      <c r="AC12" s="9">
        <f t="shared" si="27"/>
        <v>2386509720.1503005</v>
      </c>
      <c r="AD12" s="9">
        <f t="shared" si="27"/>
        <v>2530932971.9759049</v>
      </c>
      <c r="AE12" s="9">
        <f t="shared" si="27"/>
        <v>2683763139.0424161</v>
      </c>
      <c r="AF12" s="9">
        <f t="shared" si="27"/>
        <v>2845390374.5153828</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84784131.702193677</v>
      </c>
      <c r="D18" s="9">
        <f>Investment!D25</f>
        <v>89117476.002169147</v>
      </c>
      <c r="E18" s="9">
        <f>Investment!E25</f>
        <v>93641335.386480004</v>
      </c>
      <c r="F18" s="9">
        <f>Investment!F25</f>
        <v>98363465.475960553</v>
      </c>
      <c r="G18" s="9">
        <f>Investment!G25</f>
        <v>103274591.37559588</v>
      </c>
      <c r="H18" s="9">
        <f>Investment!H25</f>
        <v>108398890.01149623</v>
      </c>
      <c r="I18" s="9">
        <f>Investment!I25</f>
        <v>113744962.25933975</v>
      </c>
      <c r="J18" s="9">
        <f>Investment!J25</f>
        <v>119321740.74310148</v>
      </c>
      <c r="K18" s="9">
        <f>Investment!K25</f>
        <v>125138502.24634257</v>
      </c>
      <c r="L18" s="9">
        <f>Investment!L25</f>
        <v>131217032.54247396</v>
      </c>
      <c r="M18" s="9">
        <f>Investment!M25</f>
        <v>137556251.48195934</v>
      </c>
      <c r="N18" s="9">
        <f>Investment!N25</f>
        <v>144166612.48635423</v>
      </c>
      <c r="O18" s="9">
        <f>Investment!O25</f>
        <v>151058970.85203958</v>
      </c>
      <c r="P18" s="9">
        <f>Investment!P25</f>
        <v>158244598.75955808</v>
      </c>
      <c r="Q18" s="9">
        <f>Investment!Q25</f>
        <v>165738362.51230639</v>
      </c>
      <c r="R18" s="9">
        <f>Investment!R25</f>
        <v>173549531.945941</v>
      </c>
      <c r="S18" s="9">
        <f>Investment!S25</f>
        <v>181690742.5321902</v>
      </c>
      <c r="T18" s="9">
        <f>Investment!T25</f>
        <v>190175113.23377389</v>
      </c>
      <c r="U18" s="9">
        <f>Investment!U25</f>
        <v>199016264.50412863</v>
      </c>
      <c r="V18" s="9">
        <f>Investment!V25</f>
        <v>208235745.44034269</v>
      </c>
      <c r="W18" s="9">
        <f>Investment!W25</f>
        <v>217841480.50162226</v>
      </c>
      <c r="X18" s="9">
        <f>Investment!X25</f>
        <v>227848749.2034927</v>
      </c>
      <c r="Y18" s="9">
        <f>Investment!Y25</f>
        <v>238273413.42624924</v>
      </c>
      <c r="Z18" s="9">
        <f>Investment!Z25</f>
        <v>249131939.04007778</v>
      </c>
      <c r="AA18" s="9">
        <f>Investment!AA25</f>
        <v>260441418.31784305</v>
      </c>
      <c r="AB18" s="9">
        <f>Investment!AB25</f>
        <v>272219593.16380805</v>
      </c>
      <c r="AC18" s="9">
        <f>Investment!AC25</f>
        <v>284484879.18755734</v>
      </c>
      <c r="AD18" s="9">
        <f>Investment!AD25</f>
        <v>297256390.653427</v>
      </c>
      <c r="AE18" s="9">
        <f>Investment!AE25</f>
        <v>310553966.33682418</v>
      </c>
      <c r="AF18" s="9">
        <f>Investment!AF25</f>
        <v>324398196.3199296</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681534845.18781853</v>
      </c>
      <c r="D19" s="9">
        <f>D18+C20</f>
        <v>751285344.10283291</v>
      </c>
      <c r="E19" s="9">
        <f>E18+D20</f>
        <v>823319707.04986382</v>
      </c>
      <c r="F19" s="9">
        <f t="shared" ref="F19:AF19" si="28">F18+E20</f>
        <v>897712676.81607151</v>
      </c>
      <c r="G19" s="9">
        <f t="shared" si="28"/>
        <v>974524109.26208937</v>
      </c>
      <c r="H19" s="9">
        <f t="shared" si="28"/>
        <v>1053832598.6795046</v>
      </c>
      <c r="I19" s="9">
        <f t="shared" si="28"/>
        <v>1135719292.6054778</v>
      </c>
      <c r="J19" s="9">
        <f t="shared" si="28"/>
        <v>1220267974.7409053</v>
      </c>
      <c r="K19" s="9">
        <f t="shared" si="28"/>
        <v>1307565150.5605347</v>
      </c>
      <c r="L19" s="9">
        <f t="shared" si="28"/>
        <v>1397712287.6671882</v>
      </c>
      <c r="M19" s="9">
        <f t="shared" si="28"/>
        <v>1490802385.9550204</v>
      </c>
      <c r="N19" s="9">
        <f t="shared" si="28"/>
        <v>1586931478.7813101</v>
      </c>
      <c r="O19" s="9">
        <f t="shared" si="28"/>
        <v>1686198731.8707919</v>
      </c>
      <c r="P19" s="9">
        <f t="shared" si="28"/>
        <v>1788706545.4434276</v>
      </c>
      <c r="Q19" s="9">
        <f t="shared" si="28"/>
        <v>1894563821.3511117</v>
      </c>
      <c r="R19" s="9">
        <f t="shared" si="28"/>
        <v>2003879952.8319492</v>
      </c>
      <c r="S19" s="9">
        <f t="shared" si="28"/>
        <v>2116767904.3029194</v>
      </c>
      <c r="T19" s="9">
        <f t="shared" si="28"/>
        <v>2233344327.8922095</v>
      </c>
      <c r="U19" s="9">
        <f t="shared" si="28"/>
        <v>2353729683.7725902</v>
      </c>
      <c r="V19" s="9">
        <f t="shared" si="28"/>
        <v>2478055772.9162464</v>
      </c>
      <c r="W19" s="9">
        <f t="shared" si="28"/>
        <v>2606451527.6476064</v>
      </c>
      <c r="X19" s="9">
        <f t="shared" si="28"/>
        <v>2739050096.6489997</v>
      </c>
      <c r="Y19" s="9">
        <f t="shared" si="28"/>
        <v>2875988982.7808638</v>
      </c>
      <c r="Z19" s="9">
        <f t="shared" si="28"/>
        <v>3017410185.404891</v>
      </c>
      <c r="AA19" s="9">
        <f t="shared" si="28"/>
        <v>3163460347.3571815</v>
      </c>
      <c r="AB19" s="9">
        <f t="shared" si="28"/>
        <v>3314290906.7232566</v>
      </c>
      <c r="AC19" s="9">
        <f t="shared" si="28"/>
        <v>3470058253.5717597</v>
      </c>
      <c r="AD19" s="9">
        <f t="shared" si="28"/>
        <v>3630923891.8087749</v>
      </c>
      <c r="AE19" s="9">
        <f t="shared" si="28"/>
        <v>3797054606.3199949</v>
      </c>
      <c r="AF19" s="9">
        <f t="shared" si="28"/>
        <v>3968622635.5734134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662167868.10066378</v>
      </c>
      <c r="D20" s="9">
        <f>D19-D8-D9</f>
        <v>729678371.66338384</v>
      </c>
      <c r="E20" s="9">
        <f t="shared" ref="E20:AF20" si="29">E19-E8-E9</f>
        <v>799349211.34011102</v>
      </c>
      <c r="F20" s="9">
        <f t="shared" si="29"/>
        <v>871249517.88649344</v>
      </c>
      <c r="G20" s="9">
        <f t="shared" si="29"/>
        <v>945433708.66800845</v>
      </c>
      <c r="H20" s="9">
        <f t="shared" si="29"/>
        <v>1021974330.346138</v>
      </c>
      <c r="I20" s="9">
        <f t="shared" si="29"/>
        <v>1100946233.9978037</v>
      </c>
      <c r="J20" s="9">
        <f t="shared" si="29"/>
        <v>1182426648.3141921</v>
      </c>
      <c r="K20" s="9">
        <f t="shared" si="29"/>
        <v>1266495255.1247141</v>
      </c>
      <c r="L20" s="9">
        <f t="shared" si="29"/>
        <v>1353246134.4730611</v>
      </c>
      <c r="M20" s="9">
        <f t="shared" si="29"/>
        <v>1442764866.2949557</v>
      </c>
      <c r="N20" s="9">
        <f t="shared" si="29"/>
        <v>1535139761.0187523</v>
      </c>
      <c r="O20" s="9">
        <f t="shared" si="29"/>
        <v>1630461946.6838694</v>
      </c>
      <c r="P20" s="9">
        <f t="shared" si="29"/>
        <v>1728825458.8388052</v>
      </c>
      <c r="Q20" s="9">
        <f t="shared" si="29"/>
        <v>1830330420.8860083</v>
      </c>
      <c r="R20" s="9">
        <f t="shared" si="29"/>
        <v>1935077161.7707293</v>
      </c>
      <c r="S20" s="9">
        <f t="shared" si="29"/>
        <v>2043169214.6584356</v>
      </c>
      <c r="T20" s="9">
        <f t="shared" si="29"/>
        <v>2154713419.2684617</v>
      </c>
      <c r="U20" s="9">
        <f t="shared" si="29"/>
        <v>2269820027.4759035</v>
      </c>
      <c r="V20" s="9">
        <f t="shared" si="29"/>
        <v>2388610047.1459842</v>
      </c>
      <c r="W20" s="9">
        <f t="shared" si="29"/>
        <v>2511201347.445507</v>
      </c>
      <c r="X20" s="9">
        <f t="shared" si="29"/>
        <v>2637715569.3546147</v>
      </c>
      <c r="Y20" s="9">
        <f t="shared" si="29"/>
        <v>2768278246.3648133</v>
      </c>
      <c r="Z20" s="9">
        <f t="shared" si="29"/>
        <v>2903018929.0393386</v>
      </c>
      <c r="AA20" s="9">
        <f t="shared" si="29"/>
        <v>3042071313.5594487</v>
      </c>
      <c r="AB20" s="9">
        <f t="shared" si="29"/>
        <v>3185573374.3842025</v>
      </c>
      <c r="AC20" s="9">
        <f t="shared" si="29"/>
        <v>3333667501.1553478</v>
      </c>
      <c r="AD20" s="9">
        <f t="shared" si="29"/>
        <v>3486500639.9831705</v>
      </c>
      <c r="AE20" s="9">
        <f t="shared" si="29"/>
        <v>3644224439.2534838</v>
      </c>
      <c r="AF20" s="9">
        <f t="shared" si="29"/>
        <v>3806995400.1004467</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105016198.68000002</v>
      </c>
      <c r="D22" s="9">
        <f ca="1">'Balance Sheet'!C11</f>
        <v>169920946.85922313</v>
      </c>
      <c r="E22" s="9">
        <f ca="1">'Balance Sheet'!D11</f>
        <v>216581829.43736804</v>
      </c>
      <c r="F22" s="9">
        <f ca="1">'Balance Sheet'!E11</f>
        <v>249387317.46996447</v>
      </c>
      <c r="G22" s="9">
        <f ca="1">'Balance Sheet'!F11</f>
        <v>278245147.3901574</v>
      </c>
      <c r="H22" s="9">
        <f ca="1">'Balance Sheet'!G11</f>
        <v>305959472.96647507</v>
      </c>
      <c r="I22" s="9">
        <f ca="1">'Balance Sheet'!H11</f>
        <v>331853057.03440917</v>
      </c>
      <c r="J22" s="9">
        <f ca="1">'Balance Sheet'!I11</f>
        <v>355144024.37027049</v>
      </c>
      <c r="K22" s="9">
        <f ca="1">'Balance Sheet'!J11</f>
        <v>374933695.91121018</v>
      </c>
      <c r="L22" s="9">
        <f ca="1">'Balance Sheet'!K11</f>
        <v>393352037.70011604</v>
      </c>
      <c r="M22" s="9">
        <f ca="1">'Balance Sheet'!L11</f>
        <v>413291636.66783673</v>
      </c>
      <c r="N22" s="9">
        <f ca="1">'Balance Sheet'!M11</f>
        <v>434725522.8166436</v>
      </c>
      <c r="O22" s="9">
        <f ca="1">'Balance Sheet'!N11</f>
        <v>457614235.60706836</v>
      </c>
      <c r="P22" s="9">
        <f ca="1">'Balance Sheet'!O11</f>
        <v>481904456.13925505</v>
      </c>
      <c r="Q22" s="9">
        <f ca="1">'Balance Sheet'!P11</f>
        <v>507527529.1839987</v>
      </c>
      <c r="R22" s="9">
        <f ca="1">'Balance Sheet'!Q11</f>
        <v>534403724.95999086</v>
      </c>
      <c r="S22" s="9">
        <f ca="1">'Balance Sheet'!R11</f>
        <v>562429736.13975704</v>
      </c>
      <c r="T22" s="9">
        <f ca="1">'Balance Sheet'!S11</f>
        <v>591481821.77694488</v>
      </c>
      <c r="U22" s="9">
        <f ca="1">'Balance Sheet'!T11</f>
        <v>621413811.67661989</v>
      </c>
      <c r="V22" s="9">
        <f ca="1">'Balance Sheet'!U11</f>
        <v>652054957.25409818</v>
      </c>
      <c r="W22" s="9">
        <f ca="1">'Balance Sheet'!V11</f>
        <v>683222347.48811364</v>
      </c>
      <c r="X22" s="9">
        <f ca="1">'Balance Sheet'!W11</f>
        <v>714691201.77083731</v>
      </c>
      <c r="Y22" s="9">
        <f ca="1">'Balance Sheet'!X11</f>
        <v>746204866.3093617</v>
      </c>
      <c r="Z22" s="9">
        <f ca="1">'Balance Sheet'!Y11</f>
        <v>777471950.93182492</v>
      </c>
      <c r="AA22" s="9">
        <f ca="1">'Balance Sheet'!Z11</f>
        <v>811730085.42976308</v>
      </c>
      <c r="AB22" s="9">
        <f ca="1">'Balance Sheet'!AA11</f>
        <v>852070679.30359554</v>
      </c>
      <c r="AC22" s="9">
        <f ca="1">'Balance Sheet'!AB11</f>
        <v>898952316.52072334</v>
      </c>
      <c r="AD22" s="9">
        <f ca="1">'Balance Sheet'!AC11</f>
        <v>952859299.60299873</v>
      </c>
      <c r="AE22" s="9">
        <f ca="1">'Balance Sheet'!AD11</f>
        <v>1014302898.4923007</v>
      </c>
      <c r="AF22" s="9">
        <f ca="1">'Balance Sheet'!AE11</f>
        <v>1083822655.2112546</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557151669.42066371</v>
      </c>
      <c r="D23" s="9">
        <f t="shared" ref="D23:AF23" ca="1" si="30">D20-D22</f>
        <v>559757424.80416071</v>
      </c>
      <c r="E23" s="9">
        <f t="shared" ca="1" si="30"/>
        <v>582767381.90274298</v>
      </c>
      <c r="F23" s="9">
        <f t="shared" ca="1" si="30"/>
        <v>621862200.41652894</v>
      </c>
      <c r="G23" s="9">
        <f t="shared" ca="1" si="30"/>
        <v>667188561.2778511</v>
      </c>
      <c r="H23" s="9">
        <f t="shared" ca="1" si="30"/>
        <v>716014857.37966299</v>
      </c>
      <c r="I23" s="9">
        <f t="shared" ca="1" si="30"/>
        <v>769093176.96339452</v>
      </c>
      <c r="J23" s="9">
        <f ca="1">J20-J22</f>
        <v>827282623.94392157</v>
      </c>
      <c r="K23" s="9">
        <f t="shared" ca="1" si="30"/>
        <v>891561559.21350396</v>
      </c>
      <c r="L23" s="9">
        <f t="shared" ca="1" si="30"/>
        <v>959894096.77294505</v>
      </c>
      <c r="M23" s="9">
        <f t="shared" ca="1" si="30"/>
        <v>1029473229.6271191</v>
      </c>
      <c r="N23" s="9">
        <f t="shared" ca="1" si="30"/>
        <v>1100414238.2021089</v>
      </c>
      <c r="O23" s="9">
        <f t="shared" ca="1" si="30"/>
        <v>1172847711.0768011</v>
      </c>
      <c r="P23" s="9">
        <f t="shared" ca="1" si="30"/>
        <v>1246921002.6995502</v>
      </c>
      <c r="Q23" s="9">
        <f t="shared" ca="1" si="30"/>
        <v>1322802891.7020097</v>
      </c>
      <c r="R23" s="9">
        <f t="shared" ca="1" si="30"/>
        <v>1400673436.8107386</v>
      </c>
      <c r="S23" s="9">
        <f t="shared" ca="1" si="30"/>
        <v>1480739478.5186787</v>
      </c>
      <c r="T23" s="9">
        <f t="shared" ca="1" si="30"/>
        <v>1563231597.4915168</v>
      </c>
      <c r="U23" s="9">
        <f t="shared" ca="1" si="30"/>
        <v>1648406215.7992835</v>
      </c>
      <c r="V23" s="9">
        <f t="shared" ca="1" si="30"/>
        <v>1736555089.891886</v>
      </c>
      <c r="W23" s="9">
        <f t="shared" ca="1" si="30"/>
        <v>1827978999.9573934</v>
      </c>
      <c r="X23" s="9">
        <f t="shared" ca="1" si="30"/>
        <v>1923024367.5837774</v>
      </c>
      <c r="Y23" s="9">
        <f t="shared" ca="1" si="30"/>
        <v>2022073380.0554516</v>
      </c>
      <c r="Z23" s="9">
        <f t="shared" ca="1" si="30"/>
        <v>2125546978.1075137</v>
      </c>
      <c r="AA23" s="9">
        <f t="shared" ca="1" si="30"/>
        <v>2230341228.1296854</v>
      </c>
      <c r="AB23" s="9">
        <f t="shared" ca="1" si="30"/>
        <v>2333502695.0806069</v>
      </c>
      <c r="AC23" s="9">
        <f t="shared" ca="1" si="30"/>
        <v>2434715184.6346245</v>
      </c>
      <c r="AD23" s="9">
        <f t="shared" ca="1" si="30"/>
        <v>2533641340.3801718</v>
      </c>
      <c r="AE23" s="9">
        <f t="shared" ca="1" si="30"/>
        <v>2629921540.7611828</v>
      </c>
      <c r="AF23" s="9">
        <f t="shared" ca="1" si="30"/>
        <v>2723172744.8891921</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168</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105016198.68000002</v>
      </c>
      <c r="D5" s="1">
        <f ca="1">C5+C6</f>
        <v>169920946.85922313</v>
      </c>
      <c r="E5" s="1">
        <f t="shared" ref="E5:AF5" ca="1" si="1">D5+D6</f>
        <v>216581829.43736804</v>
      </c>
      <c r="F5" s="1">
        <f t="shared" ca="1" si="1"/>
        <v>249387317.46996447</v>
      </c>
      <c r="G5" s="1">
        <f t="shared" ca="1" si="1"/>
        <v>278245147.3901574</v>
      </c>
      <c r="H5" s="1">
        <f t="shared" ca="1" si="1"/>
        <v>305959472.96647507</v>
      </c>
      <c r="I5" s="1">
        <f t="shared" ca="1" si="1"/>
        <v>331853057.03440917</v>
      </c>
      <c r="J5" s="1">
        <f t="shared" ca="1" si="1"/>
        <v>355144024.37027049</v>
      </c>
      <c r="K5" s="1">
        <f t="shared" ca="1" si="1"/>
        <v>374933695.91121018</v>
      </c>
      <c r="L5" s="1">
        <f t="shared" ca="1" si="1"/>
        <v>393352037.70011604</v>
      </c>
      <c r="M5" s="1">
        <f t="shared" ca="1" si="1"/>
        <v>413291636.66783673</v>
      </c>
      <c r="N5" s="1">
        <f t="shared" ca="1" si="1"/>
        <v>434725522.8166436</v>
      </c>
      <c r="O5" s="1">
        <f t="shared" ca="1" si="1"/>
        <v>457614235.60706836</v>
      </c>
      <c r="P5" s="1">
        <f t="shared" ca="1" si="1"/>
        <v>481904456.13925505</v>
      </c>
      <c r="Q5" s="1">
        <f t="shared" ca="1" si="1"/>
        <v>507527529.1839987</v>
      </c>
      <c r="R5" s="1">
        <f t="shared" ca="1" si="1"/>
        <v>534403724.95999086</v>
      </c>
      <c r="S5" s="1">
        <f t="shared" ca="1" si="1"/>
        <v>562429736.13975704</v>
      </c>
      <c r="T5" s="1">
        <f t="shared" ca="1" si="1"/>
        <v>591481821.77694488</v>
      </c>
      <c r="U5" s="1">
        <f t="shared" ca="1" si="1"/>
        <v>621413811.67661989</v>
      </c>
      <c r="V5" s="1">
        <f t="shared" ca="1" si="1"/>
        <v>652054957.25409818</v>
      </c>
      <c r="W5" s="1">
        <f t="shared" ca="1" si="1"/>
        <v>683222347.48811364</v>
      </c>
      <c r="X5" s="1">
        <f t="shared" ca="1" si="1"/>
        <v>714691201.77083731</v>
      </c>
      <c r="Y5" s="1">
        <f t="shared" ca="1" si="1"/>
        <v>746204866.3093617</v>
      </c>
      <c r="Z5" s="1">
        <f t="shared" ca="1" si="1"/>
        <v>777471950.93182492</v>
      </c>
      <c r="AA5" s="1">
        <f t="shared" ca="1" si="1"/>
        <v>811730085.42976308</v>
      </c>
      <c r="AB5" s="1">
        <f t="shared" ca="1" si="1"/>
        <v>852070679.30359554</v>
      </c>
      <c r="AC5" s="1">
        <f t="shared" ca="1" si="1"/>
        <v>898952316.52072334</v>
      </c>
      <c r="AD5" s="1">
        <f t="shared" ca="1" si="1"/>
        <v>952859299.60299873</v>
      </c>
      <c r="AE5" s="1">
        <f t="shared" ca="1" si="1"/>
        <v>1014302898.4923007</v>
      </c>
      <c r="AF5" s="1">
        <f t="shared" ca="1" si="1"/>
        <v>1083822655.2112546</v>
      </c>
      <c r="AG5" s="1"/>
      <c r="AH5" s="1"/>
      <c r="AI5" s="1"/>
      <c r="AJ5" s="1"/>
      <c r="AK5" s="1"/>
      <c r="AL5" s="1"/>
      <c r="AM5" s="1"/>
      <c r="AN5" s="1"/>
      <c r="AO5" s="1"/>
      <c r="AP5" s="1"/>
    </row>
    <row r="6" spans="1:42" x14ac:dyDescent="0.35">
      <c r="A6" s="63" t="s">
        <v>3</v>
      </c>
      <c r="C6" s="1">
        <f ca="1">-'Cash Flow'!C13</f>
        <v>64904748.17922309</v>
      </c>
      <c r="D6" s="1">
        <f ca="1">-'Cash Flow'!D13</f>
        <v>46660882.578144915</v>
      </c>
      <c r="E6" s="1">
        <f ca="1">-'Cash Flow'!E13</f>
        <v>32805488.032596447</v>
      </c>
      <c r="F6" s="1">
        <f ca="1">-'Cash Flow'!F13</f>
        <v>28857829.920192912</v>
      </c>
      <c r="G6" s="1">
        <f ca="1">-'Cash Flow'!G13</f>
        <v>27714325.576317653</v>
      </c>
      <c r="H6" s="1">
        <f ca="1">-'Cash Flow'!H13</f>
        <v>25893584.067934081</v>
      </c>
      <c r="I6" s="1">
        <f ca="1">-'Cash Flow'!I13</f>
        <v>23290967.335861325</v>
      </c>
      <c r="J6" s="1">
        <f ca="1">-'Cash Flow'!J13</f>
        <v>19789671.540939718</v>
      </c>
      <c r="K6" s="1">
        <f ca="1">-'Cash Flow'!K13</f>
        <v>18418341.788905859</v>
      </c>
      <c r="L6" s="1">
        <f ca="1">-'Cash Flow'!L13</f>
        <v>19939598.967720702</v>
      </c>
      <c r="M6" s="1">
        <f ca="1">-'Cash Flow'!M13</f>
        <v>21433886.14880687</v>
      </c>
      <c r="N6" s="1">
        <f ca="1">-'Cash Flow'!N13</f>
        <v>22888712.790424764</v>
      </c>
      <c r="O6" s="1">
        <f ca="1">-'Cash Flow'!O13</f>
        <v>24290220.532186702</v>
      </c>
      <c r="P6" s="1">
        <f ca="1">-'Cash Flow'!P13</f>
        <v>25623073.044743642</v>
      </c>
      <c r="Q6" s="1">
        <f ca="1">-'Cash Flow'!Q13</f>
        <v>26876195.775992185</v>
      </c>
      <c r="R6" s="1">
        <f ca="1">-'Cash Flow'!R13</f>
        <v>28026011.179766208</v>
      </c>
      <c r="S6" s="1">
        <f ca="1">-'Cash Flow'!S13</f>
        <v>29052085.637187839</v>
      </c>
      <c r="T6" s="1">
        <f ca="1">-'Cash Flow'!T13</f>
        <v>29931989.899674982</v>
      </c>
      <c r="U6" s="1">
        <f ca="1">-'Cash Flow'!U13</f>
        <v>30641145.57747826</v>
      </c>
      <c r="V6" s="1">
        <f ca="1">-'Cash Flow'!V13</f>
        <v>31167390.234015495</v>
      </c>
      <c r="W6" s="1">
        <f ca="1">-'Cash Flow'!W13</f>
        <v>31468854.282723665</v>
      </c>
      <c r="X6" s="1">
        <f ca="1">-'Cash Flow'!X13</f>
        <v>31513664.538524449</v>
      </c>
      <c r="Y6" s="1">
        <f ca="1">-'Cash Flow'!Y13</f>
        <v>31267084.622463197</v>
      </c>
      <c r="Z6" s="1">
        <f ca="1">-'Cash Flow'!Z13</f>
        <v>34258134.497938156</v>
      </c>
      <c r="AA6" s="1">
        <f ca="1">-'Cash Flow'!AA13</f>
        <v>40340593.873832524</v>
      </c>
      <c r="AB6" s="1">
        <f ca="1">-'Cash Flow'!AB13</f>
        <v>46881637.21712786</v>
      </c>
      <c r="AC6" s="1">
        <f ca="1">-'Cash Flow'!AC13</f>
        <v>53906983.082275331</v>
      </c>
      <c r="AD6" s="1">
        <f ca="1">-'Cash Flow'!AD13</f>
        <v>61443598.889302075</v>
      </c>
      <c r="AE6" s="1">
        <f ca="1">-'Cash Flow'!AE13</f>
        <v>69519756.718953907</v>
      </c>
      <c r="AF6" s="1">
        <f ca="1">-'Cash Flow'!AF13</f>
        <v>78165091.470078439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5947233.1400728105</v>
      </c>
      <c r="D8" s="1">
        <f ca="1">IF(SUM(D5:D6)&gt;0,Assumptions!$C$26*SUM(D5:D6),Assumptions!$C$27*(SUM(D5:D6)))</f>
        <v>7580364.0303078815</v>
      </c>
      <c r="E8" s="1">
        <f ca="1">IF(SUM(E5:E6)&gt;0,Assumptions!$C$26*SUM(E5:E6),Assumptions!$C$27*(SUM(E5:E6)))</f>
        <v>8728556.1114487574</v>
      </c>
      <c r="F8" s="1">
        <f ca="1">IF(SUM(F5:F6)&gt;0,Assumptions!$C$26*SUM(F5:F6),Assumptions!$C$27*(SUM(F5:F6)))</f>
        <v>9738580.1586555094</v>
      </c>
      <c r="G8" s="1">
        <f ca="1">IF(SUM(G5:G6)&gt;0,Assumptions!$C$26*SUM(G5:G6),Assumptions!$C$27*(SUM(G5:G6)))</f>
        <v>10708581.553826628</v>
      </c>
      <c r="H8" s="1">
        <f ca="1">IF(SUM(H5:H6)&gt;0,Assumptions!$C$26*SUM(H5:H6),Assumptions!$C$27*(SUM(H5:H6)))</f>
        <v>11614856.996204322</v>
      </c>
      <c r="I8" s="1">
        <f ca="1">IF(SUM(I5:I6)&gt;0,Assumptions!$C$26*SUM(I5:I6),Assumptions!$C$27*(SUM(I5:I6)))</f>
        <v>12430040.852959469</v>
      </c>
      <c r="J8" s="1">
        <f ca="1">IF(SUM(J5:J6)&gt;0,Assumptions!$C$26*SUM(J5:J6),Assumptions!$C$27*(SUM(J5:J6)))</f>
        <v>13122679.356892357</v>
      </c>
      <c r="K8" s="1">
        <f ca="1">IF(SUM(K5:K6)&gt;0,Assumptions!$C$26*SUM(K5:K6),Assumptions!$C$27*(SUM(K5:K6)))</f>
        <v>13767321.319504064</v>
      </c>
      <c r="L8" s="1">
        <f ca="1">IF(SUM(L5:L6)&gt;0,Assumptions!$C$26*SUM(L5:L6),Assumptions!$C$27*(SUM(L5:L6)))</f>
        <v>14465207.283374287</v>
      </c>
      <c r="M8" s="1">
        <f ca="1">IF(SUM(M5:M6)&gt;0,Assumptions!$C$26*SUM(M5:M6),Assumptions!$C$27*(SUM(M5:M6)))</f>
        <v>15215393.298582528</v>
      </c>
      <c r="N8" s="1">
        <f ca="1">IF(SUM(N5:N6)&gt;0,Assumptions!$C$26*SUM(N5:N6),Assumptions!$C$27*(SUM(N5:N6)))</f>
        <v>16016498.246247394</v>
      </c>
      <c r="O8" s="1">
        <f ca="1">IF(SUM(O5:O6)&gt;0,Assumptions!$C$26*SUM(O5:O6),Assumptions!$C$27*(SUM(O5:O6)))</f>
        <v>16866655.964873929</v>
      </c>
      <c r="P8" s="1">
        <f ca="1">IF(SUM(P5:P6)&gt;0,Assumptions!$C$26*SUM(P5:P6),Assumptions!$C$27*(SUM(P5:P6)))</f>
        <v>17763463.521439955</v>
      </c>
      <c r="Q8" s="1">
        <f ca="1">IF(SUM(Q5:Q6)&gt;0,Assumptions!$C$26*SUM(Q5:Q6),Assumptions!$C$27*(SUM(Q5:Q6)))</f>
        <v>18704130.373599682</v>
      </c>
      <c r="R8" s="1">
        <f ca="1">IF(SUM(R5:R6)&gt;0,Assumptions!$C$26*SUM(R5:R6),Assumptions!$C$27*(SUM(R5:R6)))</f>
        <v>19685040.764891498</v>
      </c>
      <c r="S8" s="1">
        <f ca="1">IF(SUM(S5:S6)&gt;0,Assumptions!$C$26*SUM(S5:S6),Assumptions!$C$27*(SUM(S5:S6)))</f>
        <v>20701863.762193073</v>
      </c>
      <c r="T8" s="1">
        <f ca="1">IF(SUM(T5:T6)&gt;0,Assumptions!$C$26*SUM(T5:T6),Assumptions!$C$27*(SUM(T5:T6)))</f>
        <v>21749483.408681698</v>
      </c>
      <c r="U8" s="1">
        <f ca="1">IF(SUM(U5:U6)&gt;0,Assumptions!$C$26*SUM(U5:U6),Assumptions!$C$27*(SUM(U5:U6)))</f>
        <v>22821923.503893439</v>
      </c>
      <c r="V8" s="1">
        <f ca="1">IF(SUM(V5:V6)&gt;0,Assumptions!$C$26*SUM(V5:V6),Assumptions!$C$27*(SUM(V5:V6)))</f>
        <v>23912782.16208398</v>
      </c>
      <c r="W8" s="1">
        <f ca="1">IF(SUM(W5:W6)&gt;0,Assumptions!$C$26*SUM(W5:W6),Assumptions!$C$27*(SUM(W5:W6)))</f>
        <v>25014192.061979309</v>
      </c>
      <c r="X8" s="1">
        <f ca="1">IF(SUM(X5:X6)&gt;0,Assumptions!$C$26*SUM(X5:X6),Assumptions!$C$27*(SUM(X5:X6)))</f>
        <v>26117170.320827663</v>
      </c>
      <c r="Y8" s="1">
        <f ca="1">IF(SUM(Y5:Y6)&gt;0,Assumptions!$C$26*SUM(Y5:Y6),Assumptions!$C$27*(SUM(Y5:Y6)))</f>
        <v>27211518.282613873</v>
      </c>
      <c r="Z8" s="1">
        <f ca="1">IF(SUM(Z5:Z6)&gt;0,Assumptions!$C$26*SUM(Z5:Z6),Assumptions!$C$27*(SUM(Z5:Z6)))</f>
        <v>28410552.99004171</v>
      </c>
      <c r="AA8" s="1">
        <f ca="1">IF(SUM(AA5:AA6)&gt;0,Assumptions!$C$26*SUM(AA5:AA6),Assumptions!$C$27*(SUM(AA5:AA6)))</f>
        <v>29822473.775625847</v>
      </c>
      <c r="AB8" s="1">
        <f ca="1">IF(SUM(AB5:AB6)&gt;0,Assumptions!$C$26*SUM(AB5:AB6),Assumptions!$C$27*(SUM(AB5:AB6)))</f>
        <v>31463331.078225318</v>
      </c>
      <c r="AC8" s="1">
        <f ca="1">IF(SUM(AC5:AC6)&gt;0,Assumptions!$C$26*SUM(AC5:AC6),Assumptions!$C$27*(SUM(AC5:AC6)))</f>
        <v>33350075.486104958</v>
      </c>
      <c r="AD8" s="1">
        <f ca="1">IF(SUM(AD5:AD6)&gt;0,Assumptions!$C$26*SUM(AD5:AD6),Assumptions!$C$27*(SUM(AD5:AD6)))</f>
        <v>35500601.447230533</v>
      </c>
      <c r="AE8" s="1">
        <f ca="1">IF(SUM(AE5:AE6)&gt;0,Assumptions!$C$26*SUM(AE5:AE6),Assumptions!$C$27*(SUM(AE5:AE6)))</f>
        <v>37933792.932393916</v>
      </c>
      <c r="AF8" s="1">
        <f ca="1">IF(SUM(AF5:AF6)&gt;0,Assumptions!$C$26*SUM(AF5:AF6),Assumptions!$C$27*(SUM(AF5:AF6)))</f>
        <v>40669571.133846663</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67" style="63" customWidth="1"/>
    <col min="4" max="16384" width="8.6640625" style="63"/>
  </cols>
  <sheetData>
    <row r="1" spans="1:3" ht="26" x14ac:dyDescent="0.6">
      <c r="A1" s="13" t="s">
        <v>186</v>
      </c>
    </row>
    <row r="2" spans="1:3" ht="26" x14ac:dyDescent="0.6">
      <c r="A2" s="13"/>
    </row>
    <row r="3" spans="1:3" ht="186" x14ac:dyDescent="0.35">
      <c r="A3" s="173" t="s">
        <v>189</v>
      </c>
    </row>
    <row r="4" spans="1:3" ht="26" x14ac:dyDescent="0.6">
      <c r="A4" s="13"/>
    </row>
    <row r="5" spans="1:3" ht="18.5" x14ac:dyDescent="0.45">
      <c r="A5" s="89" t="s">
        <v>178</v>
      </c>
      <c r="B5" s="90"/>
    </row>
    <row r="6" spans="1:3" ht="18.5" x14ac:dyDescent="0.45">
      <c r="A6" s="90"/>
      <c r="B6" s="90"/>
    </row>
    <row r="7" spans="1:3" ht="18.5" x14ac:dyDescent="0.45">
      <c r="A7" s="90" t="s">
        <v>98</v>
      </c>
      <c r="B7" s="91">
        <f>Assumptions!C24</f>
        <v>26541762.800000001</v>
      </c>
      <c r="C7" s="179" t="str">
        <f>Assumptions!B24</f>
        <v>RFI Table F10; Lines F10.62 - F10.61 + F10.70</v>
      </c>
    </row>
    <row r="8" spans="1:3" ht="34" x14ac:dyDescent="0.45">
      <c r="A8" s="90" t="s">
        <v>176</v>
      </c>
      <c r="B8" s="92">
        <f>Assumptions!$C$133</f>
        <v>0.7</v>
      </c>
      <c r="C8" s="179" t="s">
        <v>200</v>
      </c>
    </row>
    <row r="9" spans="1:3" ht="18.5" x14ac:dyDescent="0.45">
      <c r="A9" s="90"/>
      <c r="B9" s="93"/>
      <c r="C9" s="179"/>
    </row>
    <row r="10" spans="1:3" ht="51" x14ac:dyDescent="0.45">
      <c r="A10" s="94" t="s">
        <v>104</v>
      </c>
      <c r="B10" s="95">
        <f>Assumptions!C135</f>
        <v>22816.481481481482</v>
      </c>
      <c r="C10" s="179" t="s">
        <v>201</v>
      </c>
    </row>
    <row r="11" spans="1:3" ht="18.5" x14ac:dyDescent="0.45">
      <c r="A11" s="94"/>
      <c r="B11" s="94"/>
      <c r="C11" s="179"/>
    </row>
    <row r="12" spans="1:3" ht="18.5" x14ac:dyDescent="0.45">
      <c r="A12" s="94" t="s">
        <v>185</v>
      </c>
      <c r="B12" s="91">
        <f>(B7*B8)/B10</f>
        <v>814.29005497974993</v>
      </c>
      <c r="C12" s="179"/>
    </row>
    <row r="13" spans="1:3" ht="18.5" x14ac:dyDescent="0.45">
      <c r="A13" s="96"/>
      <c r="B13" s="97"/>
      <c r="C13" s="179"/>
    </row>
    <row r="14" spans="1:3" ht="18.5" x14ac:dyDescent="0.45">
      <c r="A14" s="94" t="s">
        <v>105</v>
      </c>
      <c r="B14" s="98">
        <v>1</v>
      </c>
      <c r="C14" s="179"/>
    </row>
    <row r="15" spans="1:3" ht="18.5" x14ac:dyDescent="0.45">
      <c r="A15" s="96"/>
      <c r="B15" s="99"/>
      <c r="C15" s="179"/>
    </row>
    <row r="16" spans="1:3" ht="18.5" x14ac:dyDescent="0.45">
      <c r="A16" s="96" t="s">
        <v>180</v>
      </c>
      <c r="B16" s="100">
        <f>B12/B14</f>
        <v>814.29005497974993</v>
      </c>
      <c r="C16" s="179"/>
    </row>
    <row r="17" spans="1:3" ht="18.5" x14ac:dyDescent="0.45">
      <c r="A17" s="94"/>
      <c r="B17" s="101"/>
      <c r="C17" s="179"/>
    </row>
    <row r="18" spans="1:3" ht="18.5" x14ac:dyDescent="0.45">
      <c r="A18" s="102" t="s">
        <v>179</v>
      </c>
      <c r="B18" s="101"/>
      <c r="C18" s="179"/>
    </row>
    <row r="19" spans="1:3" ht="18.5" x14ac:dyDescent="0.45">
      <c r="A19" s="94"/>
      <c r="B19" s="101"/>
      <c r="C19" s="179"/>
    </row>
    <row r="20" spans="1:3" ht="34" x14ac:dyDescent="0.45">
      <c r="A20" s="94" t="s">
        <v>66</v>
      </c>
      <c r="B20" s="91">
        <f>'Profit and Loss'!L5</f>
        <v>170360926.04905525</v>
      </c>
      <c r="C20" s="179" t="s">
        <v>202</v>
      </c>
    </row>
    <row r="21" spans="1:3" ht="34" x14ac:dyDescent="0.45">
      <c r="A21" s="94" t="str">
        <f>A8</f>
        <v>Assumed revenue from households</v>
      </c>
      <c r="B21" s="92">
        <f>B8</f>
        <v>0.7</v>
      </c>
      <c r="C21" s="179" t="s">
        <v>200</v>
      </c>
    </row>
    <row r="22" spans="1:3" ht="18.5" x14ac:dyDescent="0.45">
      <c r="A22" s="94"/>
      <c r="B22" s="94"/>
      <c r="C22" s="179"/>
    </row>
    <row r="23" spans="1:3" ht="18.5" x14ac:dyDescent="0.45">
      <c r="A23" s="94" t="s">
        <v>103</v>
      </c>
      <c r="B23" s="95">
        <f>Assumptions!M135</f>
        <v>26197.107041367835</v>
      </c>
      <c r="C23" s="179" t="s">
        <v>203</v>
      </c>
    </row>
    <row r="24" spans="1:3" ht="18.5" x14ac:dyDescent="0.45">
      <c r="A24" s="94"/>
      <c r="B24" s="94"/>
      <c r="C24" s="179"/>
    </row>
    <row r="25" spans="1:3" ht="18.5" x14ac:dyDescent="0.45">
      <c r="A25" s="94" t="s">
        <v>184</v>
      </c>
      <c r="B25" s="91">
        <f>(B20*B21)/B23</f>
        <v>4552.130433563786</v>
      </c>
      <c r="C25" s="179"/>
    </row>
    <row r="26" spans="1:3" ht="18.5" x14ac:dyDescent="0.45">
      <c r="A26" s="94"/>
      <c r="B26" s="91"/>
      <c r="C26" s="179"/>
    </row>
    <row r="27" spans="1:3" ht="34" x14ac:dyDescent="0.45">
      <c r="A27" s="94" t="s">
        <v>105</v>
      </c>
      <c r="B27" s="103">
        <f>1.022^11</f>
        <v>1.2704566586717592</v>
      </c>
      <c r="C27" s="179" t="s">
        <v>204</v>
      </c>
    </row>
    <row r="28" spans="1:3" ht="18.5" x14ac:dyDescent="0.45">
      <c r="A28" s="96"/>
      <c r="B28" s="97"/>
      <c r="C28" s="179"/>
    </row>
    <row r="29" spans="1:3" ht="18.5" x14ac:dyDescent="0.45">
      <c r="A29" s="96" t="s">
        <v>181</v>
      </c>
      <c r="B29" s="91">
        <f>B25/B27</f>
        <v>3583.0662954869795</v>
      </c>
      <c r="C29" s="179"/>
    </row>
    <row r="30" spans="1:3" ht="18.5" x14ac:dyDescent="0.45">
      <c r="A30" s="96"/>
      <c r="B30" s="97"/>
      <c r="C30" s="179"/>
    </row>
    <row r="31" spans="1:3" ht="18.5" x14ac:dyDescent="0.45">
      <c r="A31" s="102" t="s">
        <v>187</v>
      </c>
      <c r="B31" s="96"/>
      <c r="C31" s="179"/>
    </row>
    <row r="32" spans="1:3" ht="18.5" x14ac:dyDescent="0.45">
      <c r="A32" s="94"/>
      <c r="B32" s="91"/>
      <c r="C32" s="179"/>
    </row>
    <row r="33" spans="1:3" ht="34" x14ac:dyDescent="0.45">
      <c r="A33" s="94" t="s">
        <v>67</v>
      </c>
      <c r="B33" s="91">
        <f>'Profit and Loss'!AF5</f>
        <v>438889636.5046283</v>
      </c>
      <c r="C33" s="179" t="s">
        <v>202</v>
      </c>
    </row>
    <row r="34" spans="1:3" ht="34" x14ac:dyDescent="0.45">
      <c r="A34" s="94" t="str">
        <f>A21</f>
        <v>Assumed revenue from households</v>
      </c>
      <c r="B34" s="92">
        <f>B21</f>
        <v>0.7</v>
      </c>
      <c r="C34" s="179" t="s">
        <v>200</v>
      </c>
    </row>
    <row r="35" spans="1:3" ht="18.5" x14ac:dyDescent="0.45">
      <c r="A35" s="94"/>
      <c r="B35" s="94"/>
      <c r="C35" s="179"/>
    </row>
    <row r="36" spans="1:3" ht="18.5" x14ac:dyDescent="0.45">
      <c r="A36" s="94" t="s">
        <v>102</v>
      </c>
      <c r="B36" s="95">
        <f>Assumptions!AG135</f>
        <v>34535.25428377161</v>
      </c>
      <c r="C36" s="179" t="s">
        <v>203</v>
      </c>
    </row>
    <row r="37" spans="1:3" ht="18.5" x14ac:dyDescent="0.45">
      <c r="A37" s="94"/>
      <c r="B37" s="94"/>
      <c r="C37" s="179"/>
    </row>
    <row r="38" spans="1:3" ht="18.5" x14ac:dyDescent="0.45">
      <c r="A38" s="94" t="s">
        <v>183</v>
      </c>
      <c r="B38" s="91">
        <f>(B33*B34)/B36</f>
        <v>8895.9167067029866</v>
      </c>
      <c r="C38" s="179"/>
    </row>
    <row r="39" spans="1:3" ht="18.5" x14ac:dyDescent="0.45">
      <c r="A39" s="94"/>
      <c r="B39" s="94"/>
      <c r="C39" s="179"/>
    </row>
    <row r="40" spans="1:3" ht="34" x14ac:dyDescent="0.45">
      <c r="A40" s="94" t="s">
        <v>105</v>
      </c>
      <c r="B40" s="103">
        <f>1.022^31</f>
        <v>1.9632597808456462</v>
      </c>
      <c r="C40" s="179" t="s">
        <v>204</v>
      </c>
    </row>
    <row r="41" spans="1:3" ht="18.5" x14ac:dyDescent="0.45">
      <c r="A41" s="96"/>
      <c r="B41" s="97"/>
    </row>
    <row r="42" spans="1:3" ht="18.5" x14ac:dyDescent="0.45">
      <c r="A42" s="96" t="s">
        <v>182</v>
      </c>
      <c r="B42" s="91">
        <f>B38/B40</f>
        <v>4531.1969376111792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163</v>
      </c>
    </row>
    <row r="2" spans="1:33" ht="26.5" thickBot="1" x14ac:dyDescent="0.4">
      <c r="A2" s="111"/>
      <c r="B2" s="111"/>
      <c r="D2" s="112"/>
    </row>
    <row r="3" spans="1:33" s="114" customFormat="1" ht="21.5" thickBot="1" x14ac:dyDescent="0.4">
      <c r="A3" s="84"/>
      <c r="B3" s="84"/>
      <c r="C3" s="113"/>
      <c r="D3" s="180" t="s">
        <v>28</v>
      </c>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row>
    <row r="4" spans="1:33" s="120" customFormat="1" ht="16" thickBot="1" x14ac:dyDescent="0.4">
      <c r="A4" s="115" t="s">
        <v>26</v>
      </c>
      <c r="B4" s="115" t="s">
        <v>197</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130</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130</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140</v>
      </c>
      <c r="C13" s="127">
        <v>1.3912474071101633E-2</v>
      </c>
      <c r="D13" s="128">
        <f t="shared" ref="D13:AG13" si="3">(1+$C$13)^D8</f>
        <v>1.0139124740711016</v>
      </c>
      <c r="E13" s="128">
        <f t="shared" si="3"/>
        <v>1.0280185050769823</v>
      </c>
      <c r="F13" s="128">
        <f t="shared" si="3"/>
        <v>1.0423207858734784</v>
      </c>
      <c r="G13" s="128">
        <f t="shared" si="3"/>
        <v>1.0568220467807135</v>
      </c>
      <c r="H13" s="128">
        <f t="shared" si="3"/>
        <v>1.0715250561043186</v>
      </c>
      <c r="I13" s="128">
        <f t="shared" si="3"/>
        <v>1.0864326206639057</v>
      </c>
      <c r="J13" s="128">
        <f t="shared" si="3"/>
        <v>1.1015475863288913</v>
      </c>
      <c r="K13" s="128">
        <f t="shared" si="3"/>
        <v>1.1168728385617765</v>
      </c>
      <c r="L13" s="128">
        <f t="shared" si="3"/>
        <v>1.1324113029689848</v>
      </c>
      <c r="M13" s="128">
        <f t="shared" si="3"/>
        <v>1.1481659458593634</v>
      </c>
      <c r="N13" s="128">
        <f t="shared" si="3"/>
        <v>1.1641397748104536</v>
      </c>
      <c r="O13" s="128">
        <f t="shared" si="3"/>
        <v>1.180335839242642</v>
      </c>
      <c r="P13" s="128">
        <f t="shared" si="3"/>
        <v>1.1967572310012973</v>
      </c>
      <c r="Q13" s="128">
        <f t="shared" si="3"/>
        <v>1.2134070849470062</v>
      </c>
      <c r="R13" s="128">
        <f t="shared" si="3"/>
        <v>1.2302885795540224</v>
      </c>
      <c r="S13" s="128">
        <f t="shared" si="3"/>
        <v>1.2474049375170402</v>
      </c>
      <c r="T13" s="128">
        <f t="shared" si="3"/>
        <v>1.2647594263664101</v>
      </c>
      <c r="U13" s="128">
        <f t="shared" si="3"/>
        <v>1.2823553590919141</v>
      </c>
      <c r="V13" s="128">
        <f t="shared" si="3"/>
        <v>1.3001960947752185</v>
      </c>
      <c r="W13" s="128">
        <f t="shared" si="3"/>
        <v>1.3182850392311263</v>
      </c>
      <c r="X13" s="128">
        <f t="shared" si="3"/>
        <v>1.3366256456577505</v>
      </c>
      <c r="Y13" s="128">
        <f t="shared" si="3"/>
        <v>1.3552214152957334</v>
      </c>
      <c r="Z13" s="128">
        <f t="shared" si="3"/>
        <v>1.374075898096637</v>
      </c>
      <c r="AA13" s="128">
        <f t="shared" si="3"/>
        <v>1.3931926934006322</v>
      </c>
      <c r="AB13" s="128">
        <f t="shared" si="3"/>
        <v>1.4125754506236166</v>
      </c>
      <c r="AC13" s="128">
        <f t="shared" si="3"/>
        <v>1.4322278699538926</v>
      </c>
      <c r="AD13" s="128">
        <f t="shared" si="3"/>
        <v>1.4521537030585352</v>
      </c>
      <c r="AE13" s="128">
        <f t="shared" si="3"/>
        <v>1.472356753799591</v>
      </c>
      <c r="AF13" s="128">
        <f t="shared" si="3"/>
        <v>1.4928408789602392</v>
      </c>
      <c r="AG13" s="128">
        <f t="shared" si="3"/>
        <v>1.5136099889810541</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193</v>
      </c>
      <c r="B15" s="178" t="s">
        <v>194</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134</v>
      </c>
      <c r="B17" s="77" t="s">
        <v>172</v>
      </c>
      <c r="C17" s="136">
        <f>AVERAGE(C49:C50)</f>
        <v>1193501426.9712496</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126</v>
      </c>
      <c r="C18" s="136">
        <f>C17/2</f>
        <v>596750713.48562479</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139</v>
      </c>
      <c r="C20" s="137">
        <v>105016198.68000002</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161</v>
      </c>
      <c r="B22" s="178" t="s">
        <v>194</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199</v>
      </c>
      <c r="C24" s="136">
        <v>26541762.800000001</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196</v>
      </c>
      <c r="C25" s="136">
        <v>14753185.372090848</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130</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130</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133</v>
      </c>
      <c r="C31" s="127">
        <v>-2.3335029936884795E-3</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133</v>
      </c>
      <c r="C32" s="127">
        <v>-1.9E-3</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106</v>
      </c>
      <c r="B33" s="82" t="s">
        <v>128</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129</v>
      </c>
      <c r="C35" s="127">
        <v>-2.8017731391583034E-4</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129</v>
      </c>
      <c r="C36" s="127">
        <v>-1.121903569042404E-4</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129</v>
      </c>
      <c r="C37" s="127">
        <v>-7.4829949417876129E-5</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129</v>
      </c>
      <c r="C39" s="127">
        <v>-2.2810403917095101E-4</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129</v>
      </c>
      <c r="C40" s="127">
        <v>-9.1320764099678264E-5</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129</v>
      </c>
      <c r="C41" s="127">
        <v>-6.0904610209577825E-5</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0.99971982268608417</v>
      </c>
      <c r="I43" s="142">
        <f>H43*(1+$C$35)</f>
        <v>0.9994397238714956</v>
      </c>
      <c r="J43" s="142">
        <f>I43*(1+$C$35)</f>
        <v>0.99915970353424055</v>
      </c>
      <c r="K43" s="142">
        <f>J43*(1+$C$35)</f>
        <v>0.99887976165233139</v>
      </c>
      <c r="L43" s="142">
        <f>K43*(1+$C$35)</f>
        <v>0.99859989820378681</v>
      </c>
      <c r="M43" s="142">
        <f>L43*(1+$C$36)</f>
        <v>0.99848786492480279</v>
      </c>
      <c r="N43" s="142">
        <f>M43*(1+$C$36)</f>
        <v>0.99837584421487235</v>
      </c>
      <c r="O43" s="142">
        <f>N43*(1+$C$36)</f>
        <v>0.99826383607258529</v>
      </c>
      <c r="P43" s="142">
        <f>O43*(1+$C$36)</f>
        <v>0.99815184049653172</v>
      </c>
      <c r="Q43" s="142">
        <f>P43*(1+$C$36)</f>
        <v>0.99803985748530177</v>
      </c>
      <c r="R43" s="142">
        <f>Q43*(1+$C$37)</f>
        <v>0.99796517421324915</v>
      </c>
      <c r="S43" s="142">
        <f>R43*(1+$C$37)</f>
        <v>0.99789049652974193</v>
      </c>
      <c r="T43" s="142">
        <f>S43*(1+$C$37)</f>
        <v>0.99781582443436201</v>
      </c>
      <c r="U43" s="142">
        <f>T43*(1+$C$37)</f>
        <v>0.99774115792669127</v>
      </c>
      <c r="V43" s="142">
        <f>U43*(1+$C$37)</f>
        <v>0.99766649700631149</v>
      </c>
      <c r="W43" s="142">
        <f t="shared" ref="W43:AG43" si="4">V43</f>
        <v>0.99766649700631149</v>
      </c>
      <c r="X43" s="142">
        <f t="shared" si="4"/>
        <v>0.99766649700631149</v>
      </c>
      <c r="Y43" s="142">
        <f t="shared" si="4"/>
        <v>0.99766649700631149</v>
      </c>
      <c r="Z43" s="142">
        <f t="shared" si="4"/>
        <v>0.99766649700631149</v>
      </c>
      <c r="AA43" s="142">
        <f t="shared" si="4"/>
        <v>0.99766649700631149</v>
      </c>
      <c r="AB43" s="142">
        <f t="shared" si="4"/>
        <v>0.99766649700631149</v>
      </c>
      <c r="AC43" s="142">
        <f t="shared" si="4"/>
        <v>0.99766649700631149</v>
      </c>
      <c r="AD43" s="142">
        <f t="shared" si="4"/>
        <v>0.99766649700631149</v>
      </c>
      <c r="AE43" s="142">
        <f t="shared" si="4"/>
        <v>0.99766649700631149</v>
      </c>
      <c r="AF43" s="142">
        <f t="shared" si="4"/>
        <v>0.99766649700631149</v>
      </c>
      <c r="AG43" s="142">
        <f t="shared" si="4"/>
        <v>0.99766649700631149</v>
      </c>
    </row>
    <row r="44" spans="1:33" x14ac:dyDescent="0.35">
      <c r="A44" s="69" t="s">
        <v>61</v>
      </c>
      <c r="B44" s="69" t="s">
        <v>87</v>
      </c>
      <c r="C44" s="141">
        <v>1</v>
      </c>
      <c r="D44" s="142">
        <v>1</v>
      </c>
      <c r="E44" s="142">
        <v>1</v>
      </c>
      <c r="F44" s="142">
        <v>1</v>
      </c>
      <c r="G44" s="142">
        <v>1</v>
      </c>
      <c r="H44" s="142">
        <f>G44*(1+$C$39)</f>
        <v>0.99977189596082905</v>
      </c>
      <c r="I44" s="142">
        <f>H44*(1+$C$39)</f>
        <v>0.9995438439531108</v>
      </c>
      <c r="J44" s="142">
        <f>I44*(1+$C$39)</f>
        <v>0.99931584396497664</v>
      </c>
      <c r="K44" s="142">
        <f>J44*(1+$C$39)</f>
        <v>0.99908789598456071</v>
      </c>
      <c r="L44" s="142">
        <f>K44*(1+$C$39)</f>
        <v>0.99885999999999986</v>
      </c>
      <c r="M44" s="142">
        <f>L44*(1+$C$40)</f>
        <v>0.99876878334157126</v>
      </c>
      <c r="N44" s="142">
        <f>M44*(1+$C$40)</f>
        <v>0.9986775750131176</v>
      </c>
      <c r="O44" s="142">
        <f>N44*(1+$C$40)</f>
        <v>0.99858637501387815</v>
      </c>
      <c r="P44" s="142">
        <f>O44*(1+$C$40)</f>
        <v>0.9984951833430924</v>
      </c>
      <c r="Q44" s="142">
        <f>P44*(1+$C$40)</f>
        <v>0.99840399999999963</v>
      </c>
      <c r="R44" s="142">
        <f>Q44*(1+$C$41)</f>
        <v>0.99834319259354798</v>
      </c>
      <c r="S44" s="142">
        <f>R44*(1+$C$41)</f>
        <v>0.99828238889054766</v>
      </c>
      <c r="T44" s="142">
        <f>S44*(1+$C$41)</f>
        <v>0.99822158889077317</v>
      </c>
      <c r="U44" s="142">
        <f>T44*(1+$C$41)</f>
        <v>0.99816079259399904</v>
      </c>
      <c r="V44" s="142">
        <f>U44*(1+$C$41)</f>
        <v>0.99809999999999965</v>
      </c>
      <c r="W44" s="142">
        <f t="shared" ref="W44:AG44" si="5">V44</f>
        <v>0.99809999999999965</v>
      </c>
      <c r="X44" s="142">
        <f t="shared" si="5"/>
        <v>0.99809999999999965</v>
      </c>
      <c r="Y44" s="142">
        <f t="shared" si="5"/>
        <v>0.99809999999999965</v>
      </c>
      <c r="Z44" s="142">
        <f t="shared" si="5"/>
        <v>0.99809999999999965</v>
      </c>
      <c r="AA44" s="142">
        <f t="shared" si="5"/>
        <v>0.99809999999999965</v>
      </c>
      <c r="AB44" s="142">
        <f t="shared" si="5"/>
        <v>0.99809999999999965</v>
      </c>
      <c r="AC44" s="142">
        <f t="shared" si="5"/>
        <v>0.99809999999999965</v>
      </c>
      <c r="AD44" s="142">
        <f t="shared" si="5"/>
        <v>0.99809999999999965</v>
      </c>
      <c r="AE44" s="142">
        <f t="shared" si="5"/>
        <v>0.99809999999999965</v>
      </c>
      <c r="AF44" s="142">
        <f t="shared" si="5"/>
        <v>0.99809999999999965</v>
      </c>
      <c r="AG44" s="142">
        <f t="shared" si="5"/>
        <v>0.99809999999999965</v>
      </c>
    </row>
    <row r="45" spans="1:33" x14ac:dyDescent="0.35">
      <c r="A45" s="69" t="s">
        <v>89</v>
      </c>
      <c r="B45" s="69" t="s">
        <v>87</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162</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108</v>
      </c>
      <c r="B49" s="77" t="s">
        <v>137</v>
      </c>
      <c r="C49" s="71">
        <v>1000484879.7399998</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109</v>
      </c>
      <c r="B50" s="77" t="s">
        <v>138</v>
      </c>
      <c r="C50" s="71">
        <v>1386517974.2024996</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121</v>
      </c>
      <c r="B52" s="77" t="s">
        <v>116</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122</v>
      </c>
      <c r="B53" s="77" t="s">
        <v>116</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120</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110</v>
      </c>
      <c r="B56" s="77" t="s">
        <v>173</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111</v>
      </c>
      <c r="B57" s="77" t="s">
        <v>173</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112</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118</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110</v>
      </c>
      <c r="B61" s="77" t="s">
        <v>116</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111</v>
      </c>
      <c r="B62" s="77" t="s">
        <v>116</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112</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117</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110</v>
      </c>
      <c r="B66" s="86" t="s">
        <v>87</v>
      </c>
      <c r="C66" s="71">
        <f>C49*C52/C57</f>
        <v>2954976.0236170641</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111</v>
      </c>
      <c r="B67" s="86" t="s">
        <v>87</v>
      </c>
      <c r="C67" s="71">
        <f>C50*C52/C56</f>
        <v>5791712.7429601103</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112</v>
      </c>
      <c r="B68" s="86" t="s">
        <v>87</v>
      </c>
      <c r="C68" s="145">
        <f>AVERAGE(C66:C67)</f>
        <v>4373344.3832885874</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119</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110</v>
      </c>
      <c r="B71" s="86" t="s">
        <v>87</v>
      </c>
      <c r="C71" s="71">
        <f>C49*C53/C62</f>
        <v>8054439.8230583575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111</v>
      </c>
      <c r="B72" s="86" t="s">
        <v>87</v>
      </c>
      <c r="C72" s="71">
        <f>C50*C53/C61</f>
        <v>14852377.668528803</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112</v>
      </c>
      <c r="B73" s="86" t="s">
        <v>87</v>
      </c>
      <c r="C73" s="145">
        <f>AVERAGE(C71:C72)</f>
        <v>11453408.745793581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113</v>
      </c>
      <c r="B75" s="70" t="s">
        <v>123</v>
      </c>
      <c r="C75" s="71">
        <f>C67+C73</f>
        <v>17245121.488753691</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143</v>
      </c>
      <c r="B77" s="86" t="s">
        <v>88</v>
      </c>
      <c r="C77" s="87">
        <v>66354000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144</v>
      </c>
      <c r="B79" s="69" t="s">
        <v>157</v>
      </c>
      <c r="C79" s="87">
        <v>1917269963.7466488</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145</v>
      </c>
      <c r="B80" s="69" t="s">
        <v>157</v>
      </c>
      <c r="C80" s="87">
        <v>1753344978.9881728</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146</v>
      </c>
      <c r="B82" s="69" t="s">
        <v>87</v>
      </c>
      <c r="C82" s="87">
        <f>C79+$C$77</f>
        <v>1983623963.7466488</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147</v>
      </c>
      <c r="B83" s="69" t="s">
        <v>87</v>
      </c>
      <c r="C83" s="87">
        <f>C80+$C$77</f>
        <v>1819698978.9881728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152</v>
      </c>
      <c r="B85" s="69" t="s">
        <v>135</v>
      </c>
      <c r="C85" s="150">
        <v>61720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153</v>
      </c>
      <c r="B86" s="69" t="s">
        <v>136</v>
      </c>
      <c r="C86" s="150">
        <v>61489</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115</v>
      </c>
      <c r="B87" s="69" t="s">
        <v>87</v>
      </c>
      <c r="C87" s="150">
        <f>AVERAGE(C85:C86)</f>
        <v>61604.5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148</v>
      </c>
      <c r="B89" s="69" t="s">
        <v>87</v>
      </c>
      <c r="C89" s="150">
        <f>C82/$C$87</f>
        <v>32199.335498975706</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148</v>
      </c>
      <c r="B90" s="69" t="s">
        <v>87</v>
      </c>
      <c r="C90" s="150">
        <f>C83/$C$87</f>
        <v>29538.410002324064</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149</v>
      </c>
      <c r="B92" s="69" t="s">
        <v>156</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150</v>
      </c>
      <c r="B94" s="69" t="s">
        <v>87</v>
      </c>
      <c r="C94" s="87">
        <f>IF(C89&lt;$C$92,C89*$C$87,$C$92*$C$87)</f>
        <v>1983623963.7466488</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151</v>
      </c>
      <c r="B95" s="69" t="s">
        <v>87</v>
      </c>
      <c r="C95" s="87">
        <f>IF(C90&lt;$C$92,C90*$C$87,$C$92*$C$87)</f>
        <v>1819698978.9881728</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155</v>
      </c>
      <c r="B96" s="69" t="s">
        <v>87</v>
      </c>
      <c r="C96" s="87">
        <f>AVERAGE(C94:C95)</f>
        <v>1901661471.3674107</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100</v>
      </c>
      <c r="B98" s="69"/>
      <c r="C98" s="71">
        <v>1901661471.3674107</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63388715.712247021</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132</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131</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171</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171</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114</v>
      </c>
      <c r="B109" s="69" t="s">
        <v>127</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129</v>
      </c>
      <c r="C111" s="71"/>
      <c r="D111" s="149">
        <f t="shared" ref="D111:AG111" si="7">$C$75</f>
        <v>17245121.488753691</v>
      </c>
      <c r="E111" s="149">
        <f t="shared" si="7"/>
        <v>17245121.488753691</v>
      </c>
      <c r="F111" s="149">
        <f t="shared" si="7"/>
        <v>17245121.488753691</v>
      </c>
      <c r="G111" s="149">
        <f t="shared" si="7"/>
        <v>17245121.488753691</v>
      </c>
      <c r="H111" s="149">
        <f t="shared" si="7"/>
        <v>17245121.488753691</v>
      </c>
      <c r="I111" s="149">
        <f t="shared" si="7"/>
        <v>17245121.488753691</v>
      </c>
      <c r="J111" s="149">
        <f t="shared" si="7"/>
        <v>17245121.488753691</v>
      </c>
      <c r="K111" s="149">
        <f t="shared" si="7"/>
        <v>17245121.488753691</v>
      </c>
      <c r="L111" s="149">
        <f t="shared" si="7"/>
        <v>17245121.488753691</v>
      </c>
      <c r="M111" s="149">
        <f t="shared" si="7"/>
        <v>17245121.488753691</v>
      </c>
      <c r="N111" s="149">
        <f t="shared" si="7"/>
        <v>17245121.488753691</v>
      </c>
      <c r="O111" s="149">
        <f t="shared" si="7"/>
        <v>17245121.488753691</v>
      </c>
      <c r="P111" s="149">
        <f t="shared" si="7"/>
        <v>17245121.488753691</v>
      </c>
      <c r="Q111" s="149">
        <f t="shared" si="7"/>
        <v>17245121.488753691</v>
      </c>
      <c r="R111" s="149">
        <f t="shared" si="7"/>
        <v>17245121.488753691</v>
      </c>
      <c r="S111" s="149">
        <f t="shared" si="7"/>
        <v>17245121.488753691</v>
      </c>
      <c r="T111" s="149">
        <f t="shared" si="7"/>
        <v>17245121.488753691</v>
      </c>
      <c r="U111" s="149">
        <f t="shared" si="7"/>
        <v>17245121.488753691</v>
      </c>
      <c r="V111" s="149">
        <f t="shared" si="7"/>
        <v>17245121.488753691</v>
      </c>
      <c r="W111" s="149">
        <f t="shared" si="7"/>
        <v>17245121.488753691</v>
      </c>
      <c r="X111" s="149">
        <f t="shared" si="7"/>
        <v>17245121.488753691</v>
      </c>
      <c r="Y111" s="149">
        <f t="shared" si="7"/>
        <v>17245121.488753691</v>
      </c>
      <c r="Z111" s="149">
        <f t="shared" si="7"/>
        <v>17245121.488753691</v>
      </c>
      <c r="AA111" s="149">
        <f t="shared" si="7"/>
        <v>17245121.488753691</v>
      </c>
      <c r="AB111" s="149">
        <f t="shared" si="7"/>
        <v>17245121.488753691</v>
      </c>
      <c r="AC111" s="149">
        <f t="shared" si="7"/>
        <v>17245121.488753691</v>
      </c>
      <c r="AD111" s="149">
        <f t="shared" si="7"/>
        <v>17245121.488753691</v>
      </c>
      <c r="AE111" s="149">
        <f t="shared" si="7"/>
        <v>17245121.488753691</v>
      </c>
      <c r="AF111" s="149">
        <f t="shared" si="7"/>
        <v>17245121.488753691</v>
      </c>
      <c r="AG111" s="149">
        <f t="shared" si="7"/>
        <v>17245121.488753691</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1901661471.3674121</v>
      </c>
      <c r="D113" s="149">
        <f t="shared" ref="D113:AG113" si="8">$C$102</f>
        <v>63388715.712247021</v>
      </c>
      <c r="E113" s="149">
        <f t="shared" si="8"/>
        <v>63388715.712247021</v>
      </c>
      <c r="F113" s="149">
        <f t="shared" si="8"/>
        <v>63388715.712247021</v>
      </c>
      <c r="G113" s="149">
        <f t="shared" si="8"/>
        <v>63388715.712247021</v>
      </c>
      <c r="H113" s="149">
        <f t="shared" si="8"/>
        <v>63388715.712247021</v>
      </c>
      <c r="I113" s="149">
        <f t="shared" si="8"/>
        <v>63388715.712247021</v>
      </c>
      <c r="J113" s="149">
        <f t="shared" si="8"/>
        <v>63388715.712247021</v>
      </c>
      <c r="K113" s="149">
        <f t="shared" si="8"/>
        <v>63388715.712247021</v>
      </c>
      <c r="L113" s="149">
        <f t="shared" si="8"/>
        <v>63388715.712247021</v>
      </c>
      <c r="M113" s="149">
        <f t="shared" si="8"/>
        <v>63388715.712247021</v>
      </c>
      <c r="N113" s="149">
        <f t="shared" si="8"/>
        <v>63388715.712247021</v>
      </c>
      <c r="O113" s="149">
        <f t="shared" si="8"/>
        <v>63388715.712247021</v>
      </c>
      <c r="P113" s="149">
        <f t="shared" si="8"/>
        <v>63388715.712247021</v>
      </c>
      <c r="Q113" s="149">
        <f t="shared" si="8"/>
        <v>63388715.712247021</v>
      </c>
      <c r="R113" s="149">
        <f t="shared" si="8"/>
        <v>63388715.712247021</v>
      </c>
      <c r="S113" s="149">
        <f t="shared" si="8"/>
        <v>63388715.712247021</v>
      </c>
      <c r="T113" s="149">
        <f t="shared" si="8"/>
        <v>63388715.712247021</v>
      </c>
      <c r="U113" s="149">
        <f t="shared" si="8"/>
        <v>63388715.712247021</v>
      </c>
      <c r="V113" s="149">
        <f t="shared" si="8"/>
        <v>63388715.712247021</v>
      </c>
      <c r="W113" s="149">
        <f t="shared" si="8"/>
        <v>63388715.712247021</v>
      </c>
      <c r="X113" s="149">
        <f t="shared" si="8"/>
        <v>63388715.712247021</v>
      </c>
      <c r="Y113" s="149">
        <f t="shared" si="8"/>
        <v>63388715.712247021</v>
      </c>
      <c r="Z113" s="149">
        <f t="shared" si="8"/>
        <v>63388715.712247021</v>
      </c>
      <c r="AA113" s="149">
        <f t="shared" si="8"/>
        <v>63388715.712247021</v>
      </c>
      <c r="AB113" s="149">
        <f t="shared" si="8"/>
        <v>63388715.712247021</v>
      </c>
      <c r="AC113" s="149">
        <f t="shared" si="8"/>
        <v>63388715.712247021</v>
      </c>
      <c r="AD113" s="149">
        <f t="shared" si="8"/>
        <v>63388715.712247021</v>
      </c>
      <c r="AE113" s="149">
        <f t="shared" si="8"/>
        <v>63388715.712247021</v>
      </c>
      <c r="AF113" s="149">
        <f t="shared" si="8"/>
        <v>63388715.712247021</v>
      </c>
      <c r="AG113" s="149">
        <f t="shared" si="8"/>
        <v>63388715.712247021</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90</v>
      </c>
      <c r="B115" s="69" t="s">
        <v>87</v>
      </c>
      <c r="C115" s="126"/>
      <c r="D115" s="149">
        <f>(D113*D$44)-D113</f>
        <v>0</v>
      </c>
      <c r="E115" s="149">
        <f t="shared" ref="E115:AG115" si="9">(E113*E$44)-E113</f>
        <v>0</v>
      </c>
      <c r="F115" s="149">
        <f t="shared" si="9"/>
        <v>0</v>
      </c>
      <c r="G115" s="149">
        <f t="shared" si="9"/>
        <v>0</v>
      </c>
      <c r="H115" s="149">
        <f>(H113*H$44)-H113</f>
        <v>-14459.222091823816</v>
      </c>
      <c r="I115" s="149">
        <f t="shared" si="9"/>
        <v>-28915.145976684988</v>
      </c>
      <c r="J115" s="149">
        <f t="shared" si="9"/>
        <v>-43367.77240691334</v>
      </c>
      <c r="K115" s="149">
        <f t="shared" si="9"/>
        <v>-57817.102134682238</v>
      </c>
      <c r="L115" s="149">
        <f t="shared" si="9"/>
        <v>-72263.135911971331</v>
      </c>
      <c r="M115" s="149">
        <f t="shared" si="9"/>
        <v>-78045.242741324008</v>
      </c>
      <c r="N115" s="149">
        <f t="shared" si="9"/>
        <v>-83826.821544259787</v>
      </c>
      <c r="O115" s="149">
        <f t="shared" si="9"/>
        <v>-89607.872369006276</v>
      </c>
      <c r="P115" s="149">
        <f t="shared" si="9"/>
        <v>-95388.395263768733</v>
      </c>
      <c r="Q115" s="149">
        <f t="shared" si="9"/>
        <v>-101168.39027676731</v>
      </c>
      <c r="R115" s="149">
        <f t="shared" si="9"/>
        <v>-105022.89367753267</v>
      </c>
      <c r="S115" s="149">
        <f t="shared" si="9"/>
        <v>-108877.16232126951</v>
      </c>
      <c r="T115" s="149">
        <f t="shared" si="9"/>
        <v>-112731.19622228295</v>
      </c>
      <c r="U115" s="149">
        <f t="shared" si="9"/>
        <v>-116584.99539485574</v>
      </c>
      <c r="V115" s="149">
        <f t="shared" si="9"/>
        <v>-120438.559853293</v>
      </c>
      <c r="W115" s="149">
        <f t="shared" si="9"/>
        <v>-120438.559853293</v>
      </c>
      <c r="X115" s="149">
        <f t="shared" si="9"/>
        <v>-120438.559853293</v>
      </c>
      <c r="Y115" s="149">
        <f t="shared" si="9"/>
        <v>-120438.559853293</v>
      </c>
      <c r="Z115" s="149">
        <f t="shared" si="9"/>
        <v>-120438.559853293</v>
      </c>
      <c r="AA115" s="149">
        <f t="shared" si="9"/>
        <v>-120438.559853293</v>
      </c>
      <c r="AB115" s="149">
        <f t="shared" si="9"/>
        <v>-120438.559853293</v>
      </c>
      <c r="AC115" s="149">
        <f t="shared" si="9"/>
        <v>-120438.559853293</v>
      </c>
      <c r="AD115" s="149">
        <f t="shared" si="9"/>
        <v>-120438.559853293</v>
      </c>
      <c r="AE115" s="149">
        <f t="shared" si="9"/>
        <v>-120438.559853293</v>
      </c>
      <c r="AF115" s="149">
        <f t="shared" si="9"/>
        <v>-120438.559853293</v>
      </c>
      <c r="AG115" s="149">
        <f t="shared" si="9"/>
        <v>-120438.559853293</v>
      </c>
    </row>
    <row r="116" spans="1:33" s="153" customFormat="1" x14ac:dyDescent="0.35">
      <c r="A116" s="69" t="s">
        <v>91</v>
      </c>
      <c r="B116" s="69" t="s">
        <v>87</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92</v>
      </c>
      <c r="B118" s="69" t="s">
        <v>87</v>
      </c>
      <c r="C118" s="126"/>
      <c r="D118" s="149">
        <f>D113+D115+D116</f>
        <v>63388715.712247021</v>
      </c>
      <c r="E118" s="149">
        <f t="shared" ref="E118:AG118" si="11">E113+E115+E116</f>
        <v>63388715.712247021</v>
      </c>
      <c r="F118" s="149">
        <f>F113+F115+F116</f>
        <v>63388715.712247021</v>
      </c>
      <c r="G118" s="149">
        <f t="shared" si="11"/>
        <v>63388715.712247021</v>
      </c>
      <c r="H118" s="149">
        <f t="shared" si="11"/>
        <v>63374256.490155198</v>
      </c>
      <c r="I118" s="149">
        <f t="shared" si="11"/>
        <v>63359800.566270337</v>
      </c>
      <c r="J118" s="149">
        <f t="shared" si="11"/>
        <v>63345347.939840108</v>
      </c>
      <c r="K118" s="149">
        <f t="shared" si="11"/>
        <v>63330898.610112339</v>
      </c>
      <c r="L118" s="149">
        <f t="shared" si="11"/>
        <v>63316452.57633505</v>
      </c>
      <c r="M118" s="149">
        <f t="shared" si="11"/>
        <v>63310670.469505697</v>
      </c>
      <c r="N118" s="149">
        <f t="shared" si="11"/>
        <v>63304888.890702762</v>
      </c>
      <c r="O118" s="149">
        <f t="shared" si="11"/>
        <v>63299107.839878015</v>
      </c>
      <c r="P118" s="149">
        <f t="shared" si="11"/>
        <v>63293327.316983253</v>
      </c>
      <c r="Q118" s="149">
        <f t="shared" si="11"/>
        <v>63287547.321970254</v>
      </c>
      <c r="R118" s="149">
        <f t="shared" si="11"/>
        <v>63283692.818569489</v>
      </c>
      <c r="S118" s="149">
        <f t="shared" si="11"/>
        <v>63279838.549925752</v>
      </c>
      <c r="T118" s="149">
        <f t="shared" si="11"/>
        <v>63275984.516024739</v>
      </c>
      <c r="U118" s="149">
        <f t="shared" si="11"/>
        <v>63272130.716852166</v>
      </c>
      <c r="V118" s="149">
        <f t="shared" si="11"/>
        <v>63268277.152393728</v>
      </c>
      <c r="W118" s="149">
        <f t="shared" si="11"/>
        <v>63268277.152393728</v>
      </c>
      <c r="X118" s="149">
        <f t="shared" si="11"/>
        <v>63268277.152393728</v>
      </c>
      <c r="Y118" s="149">
        <f t="shared" si="11"/>
        <v>63268277.152393728</v>
      </c>
      <c r="Z118" s="149">
        <f t="shared" si="11"/>
        <v>63268277.152393728</v>
      </c>
      <c r="AA118" s="149">
        <f t="shared" si="11"/>
        <v>63268277.152393728</v>
      </c>
      <c r="AB118" s="149">
        <f t="shared" si="11"/>
        <v>63268277.152393728</v>
      </c>
      <c r="AC118" s="149">
        <f t="shared" si="11"/>
        <v>63268277.152393728</v>
      </c>
      <c r="AD118" s="149">
        <f t="shared" si="11"/>
        <v>63268277.152393728</v>
      </c>
      <c r="AE118" s="149">
        <f t="shared" si="11"/>
        <v>63268277.152393728</v>
      </c>
      <c r="AF118" s="149">
        <f t="shared" si="11"/>
        <v>63268277.152393728</v>
      </c>
      <c r="AG118" s="149">
        <f t="shared" si="11"/>
        <v>63268277.152393728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1521329.1770939284</v>
      </c>
      <c r="E120" s="149">
        <f>(SUM($D$118:E118)*$C$104/$C$106)+(SUM($D$118:E118)*$C$105/$C$107)</f>
        <v>3042658.3541878569</v>
      </c>
      <c r="F120" s="149">
        <f>(SUM($D$118:F118)*$C$104/$C$106)+(SUM($D$118:F118)*$C$105/$C$107)</f>
        <v>4563987.531281786</v>
      </c>
      <c r="G120" s="149">
        <f>(SUM($D$118:G118)*$C$104/$C$106)+(SUM($D$118:G118)*$C$105/$C$107)</f>
        <v>6085316.7083757138</v>
      </c>
      <c r="H120" s="149">
        <f>(SUM($D$118:H118)*$C$104/$C$106)+(SUM($D$118:H118)*$C$105/$C$107)</f>
        <v>7606298.8641394395</v>
      </c>
      <c r="I120" s="149">
        <f>(SUM($D$118:I118)*$C$104/$C$106)+(SUM($D$118:I118)*$C$105/$C$107)</f>
        <v>9126934.0777299274</v>
      </c>
      <c r="J120" s="149">
        <f>(SUM($D$118:J118)*$C$104/$C$106)+(SUM($D$118:J118)*$C$105/$C$107)</f>
        <v>10647222.42828609</v>
      </c>
      <c r="K120" s="149">
        <f>(SUM($D$118:K118)*$C$104/$C$106)+(SUM($D$118:K118)*$C$105/$C$107)</f>
        <v>12167163.994928785</v>
      </c>
      <c r="L120" s="149">
        <f>(SUM($D$118:L118)*$C$104/$C$106)+(SUM($D$118:L118)*$C$105/$C$107)</f>
        <v>13686758.856760826</v>
      </c>
      <c r="M120" s="149">
        <f>(SUM($D$118:M118)*$C$104/$C$106)+(SUM($D$118:M118)*$C$105/$C$107)</f>
        <v>15206214.948028963</v>
      </c>
      <c r="N120" s="149">
        <f>(SUM($D$118:N118)*$C$104/$C$106)+(SUM($D$118:N118)*$C$105/$C$107)</f>
        <v>16725532.281405829</v>
      </c>
      <c r="O120" s="149">
        <f>(SUM($D$118:O118)*$C$104/$C$106)+(SUM($D$118:O118)*$C$105/$C$107)</f>
        <v>18244710.869562898</v>
      </c>
      <c r="P120" s="149">
        <f>(SUM($D$118:P118)*$C$104/$C$106)+(SUM($D$118:P118)*$C$105/$C$107)</f>
        <v>19763750.725170497</v>
      </c>
      <c r="Q120" s="149">
        <f>(SUM($D$118:Q118)*$C$104/$C$106)+(SUM($D$118:Q118)*$C$105/$C$107)</f>
        <v>21282651.860897779</v>
      </c>
      <c r="R120" s="149">
        <f>(SUM($D$118:R118)*$C$104/$C$106)+(SUM($D$118:R118)*$C$105/$C$107)</f>
        <v>22801460.488543451</v>
      </c>
      <c r="S120" s="149">
        <f>(SUM($D$118:S118)*$C$104/$C$106)+(SUM($D$118:S118)*$C$105/$C$107)</f>
        <v>24320176.61374167</v>
      </c>
      <c r="T120" s="149">
        <f>(SUM($D$118:T118)*$C$104/$C$106)+(SUM($D$118:T118)*$C$105/$C$107)</f>
        <v>25838800.24212626</v>
      </c>
      <c r="U120" s="149">
        <f>(SUM($D$118:U118)*$C$104/$C$106)+(SUM($D$118:U118)*$C$105/$C$107)</f>
        <v>27357331.379330717</v>
      </c>
      <c r="V120" s="149">
        <f>(SUM($D$118:V118)*$C$104/$C$106)+(SUM($D$118:V118)*$C$105/$C$107)</f>
        <v>28875770.030988164</v>
      </c>
      <c r="W120" s="149">
        <f>(SUM($D$118:W118)*$C$104/$C$106)+(SUM($D$118:W118)*$C$105/$C$107)</f>
        <v>30394208.682645619</v>
      </c>
      <c r="X120" s="149">
        <f>(SUM($D$118:X118)*$C$104/$C$106)+(SUM($D$118:X118)*$C$105/$C$107)</f>
        <v>31912647.33430307</v>
      </c>
      <c r="Y120" s="149">
        <f>(SUM($D$118:Y118)*$C$104/$C$106)+(SUM($D$118:Y118)*$C$105/$C$107)</f>
        <v>33431085.985960521</v>
      </c>
      <c r="Z120" s="149">
        <f>(SUM($D$118:Z118)*$C$104/$C$106)+(SUM($D$118:Z118)*$C$105/$C$107)</f>
        <v>34949524.637617975</v>
      </c>
      <c r="AA120" s="149">
        <f>(SUM($D$118:AA118)*$C$104/$C$106)+(SUM($D$118:AA118)*$C$105/$C$107)</f>
        <v>36467963.289275423</v>
      </c>
      <c r="AB120" s="149">
        <f>(SUM($D$118:AB118)*$C$104/$C$106)+(SUM($D$118:AB118)*$C$105/$C$107)</f>
        <v>37986401.940932877</v>
      </c>
      <c r="AC120" s="149">
        <f>(SUM($D$118:AC118)*$C$104/$C$106)+(SUM($D$118:AC118)*$C$105/$C$107)</f>
        <v>39504840.592590325</v>
      </c>
      <c r="AD120" s="149">
        <f>(SUM($D$118:AD118)*$C$104/$C$106)+(SUM($D$118:AD118)*$C$105/$C$107)</f>
        <v>41023279.244247779</v>
      </c>
      <c r="AE120" s="149">
        <f>(SUM($D$118:AE118)*$C$104/$C$106)+(SUM($D$118:AE118)*$C$105/$C$107)</f>
        <v>42541717.895905226</v>
      </c>
      <c r="AF120" s="149">
        <f>(SUM($D$118:AF118)*$C$104/$C$106)+(SUM($D$118:AF118)*$C$105/$C$107)</f>
        <v>44060156.547562689</v>
      </c>
      <c r="AG120" s="149">
        <f>(SUM($D$118:AG118)*$C$104/$C$106)+(SUM($D$118:AG118)*$C$105/$C$107)</f>
        <v>45578595.199220136</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93</v>
      </c>
      <c r="B122" s="69" t="s">
        <v>87</v>
      </c>
      <c r="C122" s="126"/>
      <c r="D122" s="72">
        <f>(SUM($D$118:D118)*$C$109)</f>
        <v>1901661.4713674106</v>
      </c>
      <c r="E122" s="72">
        <f>(SUM($D$118:E118)*$C$109)</f>
        <v>3803322.9427348212</v>
      </c>
      <c r="F122" s="72">
        <f>(SUM($D$118:F118)*$C$109)</f>
        <v>5704984.4141022321</v>
      </c>
      <c r="G122" s="72">
        <f>(SUM($D$118:G118)*$C$109)</f>
        <v>7606645.8854696425</v>
      </c>
      <c r="H122" s="72">
        <f>(SUM($D$118:H118)*$C$109)</f>
        <v>9507873.5801742971</v>
      </c>
      <c r="I122" s="72">
        <f>(SUM($D$118:I118)*$C$109)</f>
        <v>11408667.597162409</v>
      </c>
      <c r="J122" s="72">
        <f>(SUM($D$118:J118)*$C$109)</f>
        <v>13309028.035357611</v>
      </c>
      <c r="K122" s="72">
        <f>(SUM($D$118:K118)*$C$109)</f>
        <v>15208954.993660979</v>
      </c>
      <c r="L122" s="72">
        <f>(SUM($D$118:L118)*$C$109)</f>
        <v>17108448.570951033</v>
      </c>
      <c r="M122" s="72">
        <f>(SUM($D$118:M118)*$C$109)</f>
        <v>19007768.685036201</v>
      </c>
      <c r="N122" s="72">
        <f>(SUM($D$118:N118)*$C$109)</f>
        <v>20906915.351757284</v>
      </c>
      <c r="O122" s="72">
        <f>(SUM($D$118:O118)*$C$109)</f>
        <v>22805888.586953621</v>
      </c>
      <c r="P122" s="72">
        <f>(SUM($D$118:P118)*$C$109)</f>
        <v>24704688.40646312</v>
      </c>
      <c r="Q122" s="72">
        <f>(SUM($D$118:Q118)*$C$109)</f>
        <v>26603314.826122224</v>
      </c>
      <c r="R122" s="72">
        <f>(SUM($D$118:R118)*$C$109)</f>
        <v>28501825.610679314</v>
      </c>
      <c r="S122" s="72">
        <f>(SUM($D$118:S118)*$C$109)</f>
        <v>30400220.767177086</v>
      </c>
      <c r="T122" s="72">
        <f>(SUM($D$118:T118)*$C$109)</f>
        <v>32298500.302657828</v>
      </c>
      <c r="U122" s="72">
        <f>(SUM($D$118:U118)*$C$109)</f>
        <v>34196664.224163391</v>
      </c>
      <c r="V122" s="72">
        <f>(SUM($D$118:V118)*$C$109)</f>
        <v>36094712.538735211</v>
      </c>
      <c r="W122" s="72">
        <f>(SUM($D$118:W118)*$C$109)</f>
        <v>37992760.853307024</v>
      </c>
      <c r="X122" s="72">
        <f>(SUM($D$118:X118)*$C$109)</f>
        <v>39890809.167878836</v>
      </c>
      <c r="Y122" s="72">
        <f>(SUM($D$118:Y118)*$C$109)</f>
        <v>41788857.482450649</v>
      </c>
      <c r="Z122" s="72">
        <f>(SUM($D$118:Z118)*$C$109)</f>
        <v>43686905.797022462</v>
      </c>
      <c r="AA122" s="72">
        <f>(SUM($D$118:AA118)*$C$109)</f>
        <v>45584954.111594282</v>
      </c>
      <c r="AB122" s="72">
        <f>(SUM($D$118:AB118)*$C$109)</f>
        <v>47483002.426166095</v>
      </c>
      <c r="AC122" s="72">
        <f>(SUM($D$118:AC118)*$C$109)</f>
        <v>49381050.740737908</v>
      </c>
      <c r="AD122" s="72">
        <f>(SUM($D$118:AD118)*$C$109)</f>
        <v>51279099.05530972</v>
      </c>
      <c r="AE122" s="72">
        <f>(SUM($D$118:AE118)*$C$109)</f>
        <v>53177147.369881541</v>
      </c>
      <c r="AF122" s="72">
        <f>(SUM($D$118:AF118)*$C$109)</f>
        <v>55075195.684453353</v>
      </c>
      <c r="AG122" s="72">
        <f>(SUM($D$118:AG118)*$C$109)</f>
        <v>56973243.999025166</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154</v>
      </c>
      <c r="B126" s="77" t="s">
        <v>135</v>
      </c>
      <c r="C126" s="126">
        <v>61720</v>
      </c>
      <c r="D126" s="140"/>
    </row>
    <row r="127" spans="1:33" x14ac:dyDescent="0.35">
      <c r="A127" s="77" t="s">
        <v>153</v>
      </c>
      <c r="B127" s="77" t="s">
        <v>136</v>
      </c>
      <c r="C127" s="126">
        <v>61489</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115</v>
      </c>
      <c r="B129" s="77" t="s">
        <v>87</v>
      </c>
      <c r="C129" s="126">
        <f>AVERAGE(C126:C127)</f>
        <v>61604.5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125</v>
      </c>
      <c r="B131" s="77" t="s">
        <v>124</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158</v>
      </c>
      <c r="B133" s="77" t="s">
        <v>159</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101</v>
      </c>
      <c r="B135" s="79" t="s">
        <v>87</v>
      </c>
      <c r="C135" s="156">
        <f>C129/C131</f>
        <v>22816.481481481482</v>
      </c>
      <c r="D135" s="157">
        <f t="shared" ref="D135:AG135" si="12">$C$135*D13</f>
        <v>23133.915188486364</v>
      </c>
      <c r="E135" s="157">
        <f t="shared" si="12"/>
        <v>23455.765183709245</v>
      </c>
      <c r="F135" s="157">
        <f t="shared" si="12"/>
        <v>23782.092908645445</v>
      </c>
      <c r="G135" s="157">
        <f t="shared" si="12"/>
        <v>24112.960659593504</v>
      </c>
      <c r="H135" s="157">
        <f t="shared" si="12"/>
        <v>24448.431599547592</v>
      </c>
      <c r="I135" s="157">
        <f t="shared" si="12"/>
        <v>24788.569770255399</v>
      </c>
      <c r="J135" s="157">
        <f t="shared" si="12"/>
        <v>25133.440104443773</v>
      </c>
      <c r="K135" s="157">
        <f t="shared" si="12"/>
        <v>25483.108438214433</v>
      </c>
      <c r="L135" s="157">
        <f t="shared" si="12"/>
        <v>25837.641523612157</v>
      </c>
      <c r="M135" s="157">
        <f t="shared" si="12"/>
        <v>26197.107041367835</v>
      </c>
      <c r="N135" s="157">
        <f t="shared" si="12"/>
        <v>26561.573613818739</v>
      </c>
      <c r="O135" s="157">
        <f t="shared" si="12"/>
        <v>26931.110818008645</v>
      </c>
      <c r="P135" s="157">
        <f t="shared" si="12"/>
        <v>27305.789198970157</v>
      </c>
      <c r="Q135" s="157">
        <f t="shared" si="12"/>
        <v>27685.680283191796</v>
      </c>
      <c r="R135" s="157">
        <f t="shared" si="12"/>
        <v>28070.856592272507</v>
      </c>
      <c r="S135" s="157">
        <f t="shared" si="12"/>
        <v>28461.391656766111</v>
      </c>
      <c r="T135" s="157">
        <f t="shared" si="12"/>
        <v>28857.36003021834</v>
      </c>
      <c r="U135" s="157">
        <f t="shared" si="12"/>
        <v>29258.837303399196</v>
      </c>
      <c r="V135" s="157">
        <f t="shared" si="12"/>
        <v>29665.900118733312</v>
      </c>
      <c r="W135" s="157">
        <f t="shared" si="12"/>
        <v>30078.626184931083</v>
      </c>
      <c r="X135" s="157">
        <f t="shared" si="12"/>
        <v>30497.094291823294</v>
      </c>
      <c r="Y135" s="157">
        <f t="shared" si="12"/>
        <v>30921.384325402225</v>
      </c>
      <c r="Z135" s="157">
        <f t="shared" si="12"/>
        <v>31351.577283071954</v>
      </c>
      <c r="AA135" s="157">
        <f t="shared" si="12"/>
        <v>31787.755289110832</v>
      </c>
      <c r="AB135" s="157">
        <f t="shared" si="12"/>
        <v>32230.001610349107</v>
      </c>
      <c r="AC135" s="157">
        <f t="shared" si="12"/>
        <v>32678.400672064658</v>
      </c>
      <c r="AD135" s="157">
        <f t="shared" si="12"/>
        <v>33133.03807409983</v>
      </c>
      <c r="AE135" s="157">
        <f t="shared" si="12"/>
        <v>33594.000607202557</v>
      </c>
      <c r="AF135" s="157">
        <f t="shared" si="12"/>
        <v>34061.376269594839</v>
      </c>
      <c r="AG135" s="157">
        <f t="shared" si="12"/>
        <v>34535.25428377161</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107</v>
      </c>
      <c r="B4" s="35"/>
      <c r="C4" s="34"/>
      <c r="D4" s="53"/>
      <c r="E4" s="65">
        <v>0.6</v>
      </c>
      <c r="F4" s="65">
        <v>0.6</v>
      </c>
      <c r="G4" s="65">
        <v>0.3</v>
      </c>
      <c r="H4" s="65">
        <v>0.12</v>
      </c>
      <c r="I4" s="65">
        <v>0.08</v>
      </c>
      <c r="J4" s="65">
        <v>0.08</v>
      </c>
      <c r="K4" s="65">
        <v>0.08</v>
      </c>
      <c r="L4" s="65">
        <v>0.08</v>
      </c>
      <c r="M4" s="65">
        <v>0.06</v>
      </c>
      <c r="N4" s="65">
        <v>0.04</v>
      </c>
      <c r="O4" s="65">
        <v>0.04</v>
      </c>
      <c r="P4" s="65">
        <v>0.04</v>
      </c>
      <c r="Q4" s="65">
        <v>0.04</v>
      </c>
      <c r="R4" s="65">
        <v>0.04</v>
      </c>
      <c r="S4" s="65">
        <v>0.04</v>
      </c>
      <c r="T4" s="65">
        <v>0.04</v>
      </c>
      <c r="U4" s="65">
        <v>0.04</v>
      </c>
      <c r="V4" s="65">
        <v>0.04</v>
      </c>
      <c r="W4" s="65">
        <v>0.04</v>
      </c>
      <c r="X4" s="65">
        <v>0.04</v>
      </c>
      <c r="Y4" s="65">
        <v>0.04</v>
      </c>
      <c r="Z4" s="65">
        <v>0.04</v>
      </c>
      <c r="AA4" s="65">
        <v>0.04</v>
      </c>
      <c r="AB4" s="65">
        <v>0.03</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2.4694651344309544</v>
      </c>
      <c r="C6" s="25"/>
      <c r="D6" s="25"/>
      <c r="E6" s="27">
        <f>'Debt worksheet'!C5/'Profit and Loss'!C5</f>
        <v>2.4389678828911805</v>
      </c>
      <c r="F6" s="28">
        <f ca="1">'Debt worksheet'!D5/'Profit and Loss'!D5</f>
        <v>2.4326311195082821</v>
      </c>
      <c r="G6" s="28">
        <f ca="1">'Debt worksheet'!E5/'Profit and Loss'!E5</f>
        <v>2.352380323348283</v>
      </c>
      <c r="H6" s="28">
        <f ca="1">'Debt worksheet'!F5/'Profit and Loss'!F5</f>
        <v>2.3852911407625501</v>
      </c>
      <c r="I6" s="28">
        <f ca="1">'Debt worksheet'!G5/'Profit and Loss'!G5</f>
        <v>2.4303588804152607</v>
      </c>
      <c r="J6" s="28">
        <f ca="1">'Debt worksheet'!H5/'Profit and Loss'!H5</f>
        <v>2.44052068103215</v>
      </c>
      <c r="K6" s="28">
        <f ca="1">'Debt worksheet'!I5/'Profit and Loss'!I5</f>
        <v>2.4173536410417484</v>
      </c>
      <c r="L6" s="28">
        <f ca="1">'Debt worksheet'!J5/'Profit and Loss'!J5</f>
        <v>2.3625154450963617</v>
      </c>
      <c r="M6" s="28">
        <f ca="1">'Debt worksheet'!K5/'Profit and Loss'!K5</f>
        <v>2.3206961740127729</v>
      </c>
      <c r="N6" s="28">
        <f ca="1">'Debt worksheet'!L5/'Profit and Loss'!L5</f>
        <v>2.3089334322287653</v>
      </c>
      <c r="O6" s="28">
        <f ca="1">'Debt worksheet'!M5/'Profit and Loss'!M5</f>
        <v>2.3006620004965099</v>
      </c>
      <c r="P6" s="28">
        <f ca="1">'Debt worksheet'!N5/'Profit and Loss'!N5</f>
        <v>2.294972761474313</v>
      </c>
      <c r="Q6" s="28">
        <f ca="1">'Debt worksheet'!O5/'Profit and Loss'!O5</f>
        <v>2.2910159756049775</v>
      </c>
      <c r="R6" s="28">
        <f ca="1">'Debt worksheet'!P5/'Profit and Loss'!P5</f>
        <v>2.28799846196085</v>
      </c>
      <c r="S6" s="28">
        <f ca="1">'Debt worksheet'!Q5/'Profit and Loss'!Q5</f>
        <v>2.2851808954302477</v>
      </c>
      <c r="T6" s="28">
        <f ca="1">'Debt worksheet'!R5/'Profit and Loss'!R5</f>
        <v>2.2819002275858202</v>
      </c>
      <c r="U6" s="28">
        <f ca="1">'Debt worksheet'!S5/'Profit and Loss'!S5</f>
        <v>2.2775170857105924</v>
      </c>
      <c r="V6" s="28">
        <f ca="1">'Debt worksheet'!T5/'Profit and Loss'!T5</f>
        <v>2.2714384126047835</v>
      </c>
      <c r="W6" s="28">
        <f ca="1">'Debt worksheet'!U5/'Profit and Loss'!U5</f>
        <v>2.2631151938845715</v>
      </c>
      <c r="X6" s="28">
        <f ca="1">'Debt worksheet'!V5/'Profit and Loss'!V5</f>
        <v>2.2520402804468493</v>
      </c>
      <c r="Y6" s="28">
        <f ca="1">'Debt worksheet'!W5/'Profit and Loss'!W5</f>
        <v>2.2377945452721191</v>
      </c>
      <c r="Z6" s="28">
        <f ca="1">'Debt worksheet'!X5/'Profit and Loss'!X5</f>
        <v>2.2199478786920044</v>
      </c>
      <c r="AA6" s="28">
        <f ca="1">'Debt worksheet'!Y5/'Profit and Loss'!Y5</f>
        <v>2.1981059085631522</v>
      </c>
      <c r="AB6" s="28">
        <f ca="1">'Debt worksheet'!Z5/'Profit and Loss'!Z5</f>
        <v>2.1929946676262828</v>
      </c>
      <c r="AC6" s="28">
        <f ca="1">'Debt worksheet'!AA5/'Profit and Loss'!AA5</f>
        <v>2.2095972796336474</v>
      </c>
      <c r="AD6" s="28">
        <f ca="1">'Debt worksheet'!AB5/'Profit and Loss'!AB5</f>
        <v>2.2383383874690415</v>
      </c>
      <c r="AE6" s="28">
        <f ca="1">'Debt worksheet'!AC5/'Profit and Loss'!AC5</f>
        <v>2.2789532478438868</v>
      </c>
      <c r="AF6" s="28">
        <f ca="1">'Debt worksheet'!AD5/'Profit and Loss'!AD5</f>
        <v>2.3311819666998104</v>
      </c>
      <c r="AG6" s="28">
        <f ca="1">'Debt worksheet'!AE5/'Profit and Loss'!AE5</f>
        <v>2.3947694130723147</v>
      </c>
      <c r="AH6" s="28">
        <f ca="1">'Debt worksheet'!AF5/'Profit and Loss'!AF5</f>
        <v>2.4694651344309544</v>
      </c>
      <c r="AI6" s="31"/>
    </row>
    <row r="7" spans="1:35" ht="21" x14ac:dyDescent="0.5">
      <c r="A7" s="19" t="s">
        <v>39</v>
      </c>
      <c r="B7" s="26">
        <f ca="1">MIN('Price and Financial ratios'!E7:AH7)</f>
        <v>0.18929825848625534</v>
      </c>
      <c r="C7" s="26"/>
      <c r="D7" s="26"/>
      <c r="E7" s="56">
        <f ca="1">'Cash Flow'!C7/'Debt worksheet'!C5</f>
        <v>0.18929825848625534</v>
      </c>
      <c r="F7" s="32">
        <f ca="1">'Cash Flow'!D7/'Debt worksheet'!D5</f>
        <v>0.24986085711491982</v>
      </c>
      <c r="G7" s="32">
        <f ca="1">'Cash Flow'!E7/'Debt worksheet'!E5</f>
        <v>0.28089081855076076</v>
      </c>
      <c r="H7" s="32">
        <f ca="1">'Cash Flow'!F7/'Debt worksheet'!F5</f>
        <v>0.27870557436882776</v>
      </c>
      <c r="I7" s="32">
        <f ca="1">'Cash Flow'!G7/'Debt worksheet'!G5</f>
        <v>0.27156004878434437</v>
      </c>
      <c r="J7" s="32">
        <f ca="1">'Cash Flow'!H7/'Debt worksheet'!H5</f>
        <v>0.2696608970580967</v>
      </c>
      <c r="K7" s="32">
        <f ca="1">'Cash Flow'!I7/'Debt worksheet'!I5</f>
        <v>0.27257243230427569</v>
      </c>
      <c r="L7" s="32">
        <f ca="1">'Cash Flow'!J7/'Debt worksheet'!J5</f>
        <v>0.28025832443231641</v>
      </c>
      <c r="M7" s="17">
        <f ca="1">'Cash Flow'!K7/'Debt worksheet'!K5</f>
        <v>0.28463742155282201</v>
      </c>
      <c r="N7" s="17">
        <f ca="1">'Cash Flow'!L7/'Debt worksheet'!L5</f>
        <v>0.28289527677390353</v>
      </c>
      <c r="O7" s="17">
        <f ca="1">'Cash Flow'!M7/'Debt worksheet'!M5</f>
        <v>0.28096955038671695</v>
      </c>
      <c r="P7" s="17">
        <f ca="1">'Cash Flow'!N7/'Debt worksheet'!N5</f>
        <v>0.27897579813155221</v>
      </c>
      <c r="Q7" s="17">
        <f ca="1">'Cash Flow'!O7/'Debt worksheet'!O5</f>
        <v>0.27702099378897643</v>
      </c>
      <c r="R7" s="17">
        <f ca="1">'Cash Flow'!P7/'Debt worksheet'!P5</f>
        <v>0.27520294536660406</v>
      </c>
      <c r="S7" s="17">
        <f ca="1">'Cash Flow'!Q7/'Debt worksheet'!Q5</f>
        <v>0.27360519134711059</v>
      </c>
      <c r="T7" s="17">
        <f ca="1">'Cash Flow'!R7/'Debt worksheet'!R5</f>
        <v>0.27231007938252993</v>
      </c>
      <c r="U7" s="17">
        <f ca="1">'Cash Flow'!S7/'Debt worksheet'!S5</f>
        <v>0.27139151272946471</v>
      </c>
      <c r="V7" s="17">
        <f ca="1">'Cash Flow'!T7/'Debt worksheet'!T5</f>
        <v>0.27091808646408166</v>
      </c>
      <c r="W7" s="17">
        <f ca="1">'Cash Flow'!U7/'Debt worksheet'!U5</f>
        <v>0.27095490277623857</v>
      </c>
      <c r="X7" s="17">
        <f ca="1">'Cash Flow'!V7/'Debt worksheet'!V5</f>
        <v>0.27155434252350258</v>
      </c>
      <c r="Y7" s="17">
        <f ca="1">'Cash Flow'!W7/'Debt worksheet'!W5</f>
        <v>0.27278473384850899</v>
      </c>
      <c r="Z7" s="17">
        <f ca="1">'Cash Flow'!X7/'Debt worksheet'!X5</f>
        <v>0.27471316867829898</v>
      </c>
      <c r="AA7" s="17">
        <f ca="1">'Cash Flow'!Y7/'Debt worksheet'!Y5</f>
        <v>0.27741219355431718</v>
      </c>
      <c r="AB7" s="17">
        <f ca="1">'Cash Flow'!Z7/'Debt worksheet'!Z5</f>
        <v>0.27637499241561903</v>
      </c>
      <c r="AC7" s="17">
        <f ca="1">'Cash Flow'!AA7/'Debt worksheet'!AA5</f>
        <v>0.27115026089920047</v>
      </c>
      <c r="AD7" s="17">
        <f ca="1">'Cash Flow'!AB7/'Debt worksheet'!AB5</f>
        <v>0.26445923022589013</v>
      </c>
      <c r="AE7" s="17">
        <f ca="1">'Cash Flow'!AC7/'Debt worksheet'!AC5</f>
        <v>0.25649624776284397</v>
      </c>
      <c r="AF7" s="17">
        <f ca="1">'Cash Flow'!AD7/'Debt worksheet'!AD5</f>
        <v>0.24747913134958588</v>
      </c>
      <c r="AG7" s="17">
        <f ca="1">'Cash Flow'!AE7/'Debt worksheet'!AE5</f>
        <v>0.23763533553552188</v>
      </c>
      <c r="AH7" s="17">
        <f ca="1">'Cash Flow'!AF7/'Debt worksheet'!AF5</f>
        <v>0.22718947944657639</v>
      </c>
      <c r="AI7" s="29"/>
    </row>
    <row r="8" spans="1:35" ht="21" x14ac:dyDescent="0.5">
      <c r="A8" s="19" t="s">
        <v>34</v>
      </c>
      <c r="B8" s="26">
        <f ca="1">MAX('Price and Financial ratios'!E8:AH8)</f>
        <v>0.36051612927673021</v>
      </c>
      <c r="C8" s="26"/>
      <c r="D8" s="176"/>
      <c r="E8" s="17">
        <f>'Balance Sheet'!B11/'Balance Sheet'!B8</f>
        <v>0.18188284854550382</v>
      </c>
      <c r="F8" s="17">
        <f ca="1">'Balance Sheet'!C11/'Balance Sheet'!C8</f>
        <v>0.29517785504851018</v>
      </c>
      <c r="G8" s="17">
        <f ca="1">'Balance Sheet'!D11/'Balance Sheet'!D8</f>
        <v>0.33798497549408768</v>
      </c>
      <c r="H8" s="17">
        <f ca="1">'Balance Sheet'!E11/'Balance Sheet'!E8</f>
        <v>0.35225127553436808</v>
      </c>
      <c r="I8" s="17">
        <f ca="1">'Balance Sheet'!F11/'Balance Sheet'!F8</f>
        <v>0.35798466814361163</v>
      </c>
      <c r="J8" s="17">
        <f ca="1">'Balance Sheet'!G11/'Balance Sheet'!G8</f>
        <v>0.36051612927673021</v>
      </c>
      <c r="K8" s="17">
        <f ca="1">'Balance Sheet'!H11/'Balance Sheet'!H8</f>
        <v>0.35981167504974737</v>
      </c>
      <c r="L8" s="17">
        <f ca="1">'Balance Sheet'!I11/'Balance Sheet'!I8</f>
        <v>0.35578437954431363</v>
      </c>
      <c r="M8" s="17">
        <f ca="1">'Balance Sheet'!J11/'Balance Sheet'!J8</f>
        <v>0.34830507470325944</v>
      </c>
      <c r="N8" s="17">
        <f ca="1">'Balance Sheet'!K11/'Balance Sheet'!K8</f>
        <v>0.33993929556912367</v>
      </c>
      <c r="O8" s="17">
        <f ca="1">'Balance Sheet'!L11/'Balance Sheet'!L8</f>
        <v>0.33321805066166921</v>
      </c>
      <c r="P8" s="17">
        <f ca="1">'Balance Sheet'!M11/'Balance Sheet'!M8</f>
        <v>0.32783039147970222</v>
      </c>
      <c r="Q8" s="17">
        <f ca="1">'Balance Sheet'!N11/'Balance Sheet'!N8</f>
        <v>0.32351700883110346</v>
      </c>
      <c r="R8" s="17">
        <f ca="1">'Balance Sheet'!O11/'Balance Sheet'!O8</f>
        <v>0.32005851213986281</v>
      </c>
      <c r="S8" s="17">
        <f ca="1">'Balance Sheet'!P11/'Balance Sheet'!P8</f>
        <v>0.31726670953106278</v>
      </c>
      <c r="T8" s="17">
        <f ca="1">'Balance Sheet'!Q11/'Balance Sheet'!Q8</f>
        <v>0.31498085446169954</v>
      </c>
      <c r="U8" s="17">
        <f ca="1">'Balance Sheet'!R11/'Balance Sheet'!R8</f>
        <v>0.3130568640980203</v>
      </c>
      <c r="V8" s="17">
        <f ca="1">'Balance Sheet'!S11/'Balance Sheet'!S8</f>
        <v>0.31136627342205991</v>
      </c>
      <c r="W8" s="17">
        <f ca="1">'Balance Sheet'!T11/'Balance Sheet'!T8</f>
        <v>0.30979316859621975</v>
      </c>
      <c r="X8" s="17">
        <f ca="1">'Balance Sheet'!U11/'Balance Sheet'!U8</f>
        <v>0.30823178531080453</v>
      </c>
      <c r="Y8" s="17">
        <f ca="1">'Balance Sheet'!V11/'Balance Sheet'!V8</f>
        <v>0.306590131313417</v>
      </c>
      <c r="Z8" s="17">
        <f ca="1">'Balance Sheet'!W11/'Balance Sheet'!W8</f>
        <v>0.3047772969606487</v>
      </c>
      <c r="AA8" s="17">
        <f ca="1">'Balance Sheet'!X11/'Balance Sheet'!X8</f>
        <v>0.302707736258997</v>
      </c>
      <c r="AB8" s="17">
        <f ca="1">'Balance Sheet'!Y11/'Balance Sheet'!Y8</f>
        <v>0.30030022546051421</v>
      </c>
      <c r="AC8" s="17">
        <f ca="1">'Balance Sheet'!Z11/'Balance Sheet'!Z8</f>
        <v>0.29878991855598402</v>
      </c>
      <c r="AD8" s="17">
        <f ca="1">'Balance Sheet'!AA11/'Balance Sheet'!AA8</f>
        <v>0.29913495710115434</v>
      </c>
      <c r="AE8" s="17">
        <f ca="1">'Balance Sheet'!AB11/'Balance Sheet'!AB8</f>
        <v>0.3012294278680876</v>
      </c>
      <c r="AF8" s="17">
        <f ca="1">'Balance Sheet'!AC11/'Balance Sheet'!AC8</f>
        <v>0.30497943621431461</v>
      </c>
      <c r="AG8" s="17">
        <f ca="1">'Balance Sheet'!AD11/'Balance Sheet'!AD8</f>
        <v>0.31030149723372252</v>
      </c>
      <c r="AH8" s="17">
        <f ca="1">'Balance Sheet'!AE11/'Balance Sheet'!AE8</f>
        <v>0.31712117731218487</v>
      </c>
      <c r="AI8" s="29"/>
    </row>
    <row r="9" spans="1:35" ht="21.5" thickBot="1" x14ac:dyDescent="0.55000000000000004">
      <c r="A9" s="20" t="s">
        <v>33</v>
      </c>
      <c r="B9" s="21">
        <f ca="1">MIN('Price and Financial ratios'!E9:AH9)</f>
        <v>4.3426272444276854</v>
      </c>
      <c r="C9" s="21"/>
      <c r="D9" s="177"/>
      <c r="E9" s="21">
        <f ca="1">('Cash Flow'!C7+'Profit and Loss'!C8)/('Profit and Loss'!C8)</f>
        <v>4.3426272444276854</v>
      </c>
      <c r="F9" s="21">
        <f ca="1">('Cash Flow'!D7+'Profit and Loss'!D8)/('Profit and Loss'!D8)</f>
        <v>6.6008647149759412</v>
      </c>
      <c r="G9" s="21">
        <f ca="1">('Cash Flow'!E7+'Profit and Loss'!E8)/('Profit and Loss'!E8)</f>
        <v>7.96974924341594</v>
      </c>
      <c r="H9" s="21">
        <f ca="1">('Cash Flow'!F7+'Profit and Loss'!F8)/('Profit and Loss'!F8)</f>
        <v>8.1371426248406493</v>
      </c>
      <c r="I9" s="21">
        <f ca="1">('Cash Flow'!G7+'Profit and Loss'!G8)/('Profit and Loss'!G8)</f>
        <v>8.0560480320829573</v>
      </c>
      <c r="J9" s="21">
        <f ca="1">('Cash Flow'!H7+'Profit and Loss'!H8)/('Profit and Loss'!H8)</f>
        <v>8.1034284770380278</v>
      </c>
      <c r="K9" s="21">
        <f ca="1">('Cash Flow'!I7+'Profit and Loss'!I8)/('Profit and Loss'!I8)</f>
        <v>8.2770472755077247</v>
      </c>
      <c r="L9" s="21">
        <f ca="1">('Cash Flow'!J7+'Profit and Loss'!J8)/('Profit and Loss'!J8)</f>
        <v>8.5847368129043744</v>
      </c>
      <c r="M9" s="21">
        <f ca="1">('Cash Flow'!K7+'Profit and Loss'!K8)/('Profit and Loss'!K8)</f>
        <v>8.7517011465583394</v>
      </c>
      <c r="N9" s="21">
        <f ca="1">('Cash Flow'!L7+'Profit and Loss'!L8)/('Profit and Loss'!L8)</f>
        <v>8.6927645345705447</v>
      </c>
      <c r="O9" s="21">
        <f ca="1">('Cash Flow'!M7+'Profit and Loss'!M8)/('Profit and Loss'!M8)</f>
        <v>8.631900342922485</v>
      </c>
      <c r="P9" s="21">
        <f ca="1">('Cash Flow'!N7+'Profit and Loss'!N8)/('Profit and Loss'!N8)</f>
        <v>8.5720608731902068</v>
      </c>
      <c r="Q9" s="21">
        <f ca="1">('Cash Flow'!O7+'Profit and Loss'!O8)/('Profit and Loss'!O8)</f>
        <v>8.515938582245246</v>
      </c>
      <c r="R9" s="21">
        <f ca="1">('Cash Flow'!P7+'Profit and Loss'!P8)/('Profit and Loss'!P8)</f>
        <v>8.4659722499919194</v>
      </c>
      <c r="S9" s="21">
        <f ca="1">('Cash Flow'!Q7+'Profit and Loss'!Q8)/('Profit and Loss'!Q8)</f>
        <v>8.4241445051256694</v>
      </c>
      <c r="T9" s="21">
        <f ca="1">('Cash Flow'!R7+'Profit and Loss'!R8)/('Profit and Loss'!R8)</f>
        <v>8.3925943311084072</v>
      </c>
      <c r="U9" s="21">
        <f ca="1">('Cash Flow'!S7+'Profit and Loss'!S8)/('Profit and Loss'!S8)</f>
        <v>8.3731843011043203</v>
      </c>
      <c r="V9" s="21">
        <f ca="1">('Cash Flow'!T7+'Profit and Loss'!T8)/('Profit and Loss'!T8)</f>
        <v>8.3676749154481058</v>
      </c>
      <c r="W9" s="21">
        <f ca="1">('Cash Flow'!U7+'Profit and Loss'!U8)/('Profit and Loss'!U8)</f>
        <v>8.3777794802408057</v>
      </c>
      <c r="X9" s="21">
        <f ca="1">('Cash Flow'!V7+'Profit and Loss'!V8)/('Profit and Loss'!V8)</f>
        <v>8.4047575897331654</v>
      </c>
      <c r="Y9" s="21">
        <f ca="1">('Cash Flow'!W7+'Profit and Loss'!W8)/('Profit and Loss'!W8)</f>
        <v>8.4506754308558456</v>
      </c>
      <c r="Z9" s="21">
        <f ca="1">('Cash Flow'!X7+'Profit and Loss'!X8)/('Profit and Loss'!X8)</f>
        <v>8.5174715427879608</v>
      </c>
      <c r="AA9" s="21">
        <f ca="1">('Cash Flow'!Y7+'Profit and Loss'!Y8)/('Profit and Loss'!Y8)</f>
        <v>8.6073053570130114</v>
      </c>
      <c r="AB9" s="21">
        <f ca="1">('Cash Flow'!Z7+'Profit and Loss'!Z8)/('Profit and Loss'!Z8)</f>
        <v>8.5631686795204534</v>
      </c>
      <c r="AC9" s="21">
        <f ca="1">('Cash Flow'!AA7+'Profit and Loss'!AA8)/('Profit and Loss'!AA8)</f>
        <v>8.3803677756571879</v>
      </c>
      <c r="AD9" s="21">
        <f ca="1">('Cash Flow'!AB7+'Profit and Loss'!AB8)/('Profit and Loss'!AB8)</f>
        <v>8.1619230457969145</v>
      </c>
      <c r="AE9" s="21">
        <f ca="1">('Cash Flow'!AC7+'Profit and Loss'!AC8)/('Profit and Loss'!AC8)</f>
        <v>7.9138642939908923</v>
      </c>
      <c r="AF9" s="21">
        <f ca="1">('Cash Flow'!AD7+'Profit and Loss'!AD8)/('Profit and Loss'!AD8)</f>
        <v>7.642501314087486</v>
      </c>
      <c r="AG9" s="21">
        <f ca="1">('Cash Flow'!AE7+'Profit and Loss'!AE8)/('Profit and Loss'!AE8)</f>
        <v>7.3540761675861015</v>
      </c>
      <c r="AH9" s="21">
        <f ca="1">('Cash Flow'!AF7+'Profit and Loss'!AF8)/('Profit and Loss'!AF8)</f>
        <v>7.0544799953626072</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164</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17245121.488753691</v>
      </c>
      <c r="D5" s="1">
        <f>Assumptions!E111</f>
        <v>17245121.488753691</v>
      </c>
      <c r="E5" s="1">
        <f>Assumptions!F111</f>
        <v>17245121.488753691</v>
      </c>
      <c r="F5" s="1">
        <f>Assumptions!G111</f>
        <v>17245121.488753691</v>
      </c>
      <c r="G5" s="1">
        <f>Assumptions!H111</f>
        <v>17245121.488753691</v>
      </c>
      <c r="H5" s="1">
        <f>Assumptions!I111</f>
        <v>17245121.488753691</v>
      </c>
      <c r="I5" s="1">
        <f>Assumptions!J111</f>
        <v>17245121.488753691</v>
      </c>
      <c r="J5" s="1">
        <f>Assumptions!K111</f>
        <v>17245121.488753691</v>
      </c>
      <c r="K5" s="1">
        <f>Assumptions!L111</f>
        <v>17245121.488753691</v>
      </c>
      <c r="L5" s="1">
        <f>Assumptions!M111</f>
        <v>17245121.488753691</v>
      </c>
      <c r="M5" s="1">
        <f>Assumptions!N111</f>
        <v>17245121.488753691</v>
      </c>
      <c r="N5" s="1">
        <f>Assumptions!O111</f>
        <v>17245121.488753691</v>
      </c>
      <c r="O5" s="1">
        <f>Assumptions!P111</f>
        <v>17245121.488753691</v>
      </c>
      <c r="P5" s="1">
        <f>Assumptions!Q111</f>
        <v>17245121.488753691</v>
      </c>
      <c r="Q5" s="1">
        <f>Assumptions!R111</f>
        <v>17245121.488753691</v>
      </c>
      <c r="R5" s="1">
        <f>Assumptions!S111</f>
        <v>17245121.488753691</v>
      </c>
      <c r="S5" s="1">
        <f>Assumptions!T111</f>
        <v>17245121.488753691</v>
      </c>
      <c r="T5" s="1">
        <f>Assumptions!U111</f>
        <v>17245121.488753691</v>
      </c>
      <c r="U5" s="1">
        <f>Assumptions!V111</f>
        <v>17245121.488753691</v>
      </c>
      <c r="V5" s="1">
        <f>Assumptions!W111</f>
        <v>17245121.488753691</v>
      </c>
      <c r="W5" s="1">
        <f>Assumptions!X111</f>
        <v>17245121.488753691</v>
      </c>
      <c r="X5" s="1">
        <f>Assumptions!Y111</f>
        <v>17245121.488753691</v>
      </c>
      <c r="Y5" s="1">
        <f>Assumptions!Z111</f>
        <v>17245121.488753691</v>
      </c>
      <c r="Z5" s="1">
        <f>Assumptions!AA111</f>
        <v>17245121.488753691</v>
      </c>
      <c r="AA5" s="1">
        <f>Assumptions!AB111</f>
        <v>17245121.488753691</v>
      </c>
      <c r="AB5" s="1">
        <f>Assumptions!AC111</f>
        <v>17245121.488753691</v>
      </c>
      <c r="AC5" s="1">
        <f>Assumptions!AD111</f>
        <v>17245121.488753691</v>
      </c>
      <c r="AD5" s="1">
        <f>Assumptions!AE111</f>
        <v>17245121.488753691</v>
      </c>
      <c r="AE5" s="1">
        <f>Assumptions!AF111</f>
        <v>17245121.488753691</v>
      </c>
      <c r="AF5" s="1">
        <f>Assumptions!AG111</f>
        <v>17245121.488753691</v>
      </c>
    </row>
    <row r="6" spans="1:32" x14ac:dyDescent="0.35">
      <c r="A6" t="s">
        <v>69</v>
      </c>
      <c r="C6" s="1">
        <f>Assumptions!D113</f>
        <v>63388715.712247021</v>
      </c>
      <c r="D6" s="1">
        <f>Assumptions!E113</f>
        <v>63388715.712247021</v>
      </c>
      <c r="E6" s="1">
        <f>Assumptions!F113</f>
        <v>63388715.712247021</v>
      </c>
      <c r="F6" s="1">
        <f>Assumptions!G113</f>
        <v>63388715.712247021</v>
      </c>
      <c r="G6" s="1">
        <f>Assumptions!H113</f>
        <v>63388715.712247021</v>
      </c>
      <c r="H6" s="1">
        <f>Assumptions!I113</f>
        <v>63388715.712247021</v>
      </c>
      <c r="I6" s="1">
        <f>Assumptions!J113</f>
        <v>63388715.712247021</v>
      </c>
      <c r="J6" s="1">
        <f>Assumptions!K113</f>
        <v>63388715.712247021</v>
      </c>
      <c r="K6" s="1">
        <f>Assumptions!L113</f>
        <v>63388715.712247021</v>
      </c>
      <c r="L6" s="1">
        <f>Assumptions!M113</f>
        <v>63388715.712247021</v>
      </c>
      <c r="M6" s="1">
        <f>Assumptions!N113</f>
        <v>63388715.712247021</v>
      </c>
      <c r="N6" s="1">
        <f>Assumptions!O113</f>
        <v>63388715.712247021</v>
      </c>
      <c r="O6" s="1">
        <f>Assumptions!P113</f>
        <v>63388715.712247021</v>
      </c>
      <c r="P6" s="1">
        <f>Assumptions!Q113</f>
        <v>63388715.712247021</v>
      </c>
      <c r="Q6" s="1">
        <f>Assumptions!R113</f>
        <v>63388715.712247021</v>
      </c>
      <c r="R6" s="1">
        <f>Assumptions!S113</f>
        <v>63388715.712247021</v>
      </c>
      <c r="S6" s="1">
        <f>Assumptions!T113</f>
        <v>63388715.712247021</v>
      </c>
      <c r="T6" s="1">
        <f>Assumptions!U113</f>
        <v>63388715.712247021</v>
      </c>
      <c r="U6" s="1">
        <f>Assumptions!V113</f>
        <v>63388715.712247021</v>
      </c>
      <c r="V6" s="1">
        <f>Assumptions!W113</f>
        <v>63388715.712247021</v>
      </c>
      <c r="W6" s="1">
        <f>Assumptions!X113</f>
        <v>63388715.712247021</v>
      </c>
      <c r="X6" s="1">
        <f>Assumptions!Y113</f>
        <v>63388715.712247021</v>
      </c>
      <c r="Y6" s="1">
        <f>Assumptions!Z113</f>
        <v>63388715.712247021</v>
      </c>
      <c r="Z6" s="1">
        <f>Assumptions!AA113</f>
        <v>63388715.712247021</v>
      </c>
      <c r="AA6" s="1">
        <f>Assumptions!AB113</f>
        <v>63388715.712247021</v>
      </c>
      <c r="AB6" s="1">
        <f>Assumptions!AC113</f>
        <v>63388715.712247021</v>
      </c>
      <c r="AC6" s="1">
        <f>Assumptions!AD113</f>
        <v>63388715.712247021</v>
      </c>
      <c r="AD6" s="1">
        <f>Assumptions!AE113</f>
        <v>63388715.712247021</v>
      </c>
      <c r="AE6" s="1">
        <f>Assumptions!AF113</f>
        <v>63388715.712247021</v>
      </c>
      <c r="AF6" s="1">
        <f>Assumptions!AG113</f>
        <v>63388715.712247021</v>
      </c>
    </row>
    <row r="7" spans="1:32" x14ac:dyDescent="0.35">
      <c r="A7" t="s">
        <v>74</v>
      </c>
      <c r="C7" s="1">
        <f>Assumptions!D120</f>
        <v>1521329.1770939284</v>
      </c>
      <c r="D7" s="1">
        <f>Assumptions!E120</f>
        <v>3042658.3541878569</v>
      </c>
      <c r="E7" s="1">
        <f>Assumptions!F120</f>
        <v>4563987.531281786</v>
      </c>
      <c r="F7" s="1">
        <f>Assumptions!G120</f>
        <v>6085316.7083757138</v>
      </c>
      <c r="G7" s="1">
        <f>Assumptions!H120</f>
        <v>7606298.8641394395</v>
      </c>
      <c r="H7" s="1">
        <f>Assumptions!I120</f>
        <v>9126934.0777299274</v>
      </c>
      <c r="I7" s="1">
        <f>Assumptions!J120</f>
        <v>10647222.42828609</v>
      </c>
      <c r="J7" s="1">
        <f>Assumptions!K120</f>
        <v>12167163.994928785</v>
      </c>
      <c r="K7" s="1">
        <f>Assumptions!L120</f>
        <v>13686758.856760826</v>
      </c>
      <c r="L7" s="1">
        <f>Assumptions!M120</f>
        <v>15206214.948028963</v>
      </c>
      <c r="M7" s="1">
        <f>Assumptions!N120</f>
        <v>16725532.281405829</v>
      </c>
      <c r="N7" s="1">
        <f>Assumptions!O120</f>
        <v>18244710.869562898</v>
      </c>
      <c r="O7" s="1">
        <f>Assumptions!P120</f>
        <v>19763750.725170497</v>
      </c>
      <c r="P7" s="1">
        <f>Assumptions!Q120</f>
        <v>21282651.860897779</v>
      </c>
      <c r="Q7" s="1">
        <f>Assumptions!R120</f>
        <v>22801460.488543451</v>
      </c>
      <c r="R7" s="1">
        <f>Assumptions!S120</f>
        <v>24320176.61374167</v>
      </c>
      <c r="S7" s="1">
        <f>Assumptions!T120</f>
        <v>25838800.24212626</v>
      </c>
      <c r="T7" s="1">
        <f>Assumptions!U120</f>
        <v>27357331.379330717</v>
      </c>
      <c r="U7" s="1">
        <f>Assumptions!V120</f>
        <v>28875770.030988164</v>
      </c>
      <c r="V7" s="1">
        <f>Assumptions!W120</f>
        <v>30394208.682645619</v>
      </c>
      <c r="W7" s="1">
        <f>Assumptions!X120</f>
        <v>31912647.33430307</v>
      </c>
      <c r="X7" s="1">
        <f>Assumptions!Y120</f>
        <v>33431085.985960521</v>
      </c>
      <c r="Y7" s="1">
        <f>Assumptions!Z120</f>
        <v>34949524.637617975</v>
      </c>
      <c r="Z7" s="1">
        <f>Assumptions!AA120</f>
        <v>36467963.289275423</v>
      </c>
      <c r="AA7" s="1">
        <f>Assumptions!AB120</f>
        <v>37986401.940932877</v>
      </c>
      <c r="AB7" s="1">
        <f>Assumptions!AC120</f>
        <v>39504840.592590325</v>
      </c>
      <c r="AC7" s="1">
        <f>Assumptions!AD120</f>
        <v>41023279.244247779</v>
      </c>
      <c r="AD7" s="1">
        <f>Assumptions!AE120</f>
        <v>42541717.895905226</v>
      </c>
      <c r="AE7" s="1">
        <f>Assumptions!AF120</f>
        <v>44060156.547562689</v>
      </c>
      <c r="AF7" s="1">
        <f>Assumptions!AG120</f>
        <v>45578595.199220136</v>
      </c>
    </row>
    <row r="9" spans="1:32" x14ac:dyDescent="0.35">
      <c r="A9" t="s">
        <v>94</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17796965.37639381</v>
      </c>
      <c r="D11" s="1">
        <f>D5*D$9</f>
        <v>18366468.26843841</v>
      </c>
      <c r="E11" s="1">
        <f t="shared" ref="D11:AF13" si="1">E5*E$9</f>
        <v>18954195.253028437</v>
      </c>
      <c r="F11" s="1">
        <f t="shared" si="1"/>
        <v>19560729.501125351</v>
      </c>
      <c r="G11" s="1">
        <f t="shared" si="1"/>
        <v>20186672.845161363</v>
      </c>
      <c r="H11" s="1">
        <f t="shared" si="1"/>
        <v>20832646.376206525</v>
      </c>
      <c r="I11" s="1">
        <f t="shared" si="1"/>
        <v>21499291.06024513</v>
      </c>
      <c r="J11" s="1">
        <f t="shared" si="1"/>
        <v>22187268.374172978</v>
      </c>
      <c r="K11" s="1">
        <f t="shared" si="1"/>
        <v>22897260.962146513</v>
      </c>
      <c r="L11" s="1">
        <f t="shared" si="1"/>
        <v>23629973.3129352</v>
      </c>
      <c r="M11" s="1">
        <f t="shared" si="1"/>
        <v>24386132.458949126</v>
      </c>
      <c r="N11" s="1">
        <f t="shared" si="1"/>
        <v>25166488.697635498</v>
      </c>
      <c r="O11" s="1">
        <f t="shared" si="1"/>
        <v>25971816.335959837</v>
      </c>
      <c r="P11" s="1">
        <f t="shared" si="1"/>
        <v>26802914.458710548</v>
      </c>
      <c r="Q11" s="1">
        <f t="shared" si="1"/>
        <v>27660607.721389279</v>
      </c>
      <c r="R11" s="1">
        <f t="shared" si="1"/>
        <v>28545747.168473743</v>
      </c>
      <c r="S11" s="1">
        <f t="shared" si="1"/>
        <v>29459211.077864904</v>
      </c>
      <c r="T11" s="1">
        <f t="shared" si="1"/>
        <v>30401905.83235658</v>
      </c>
      <c r="U11" s="1">
        <f t="shared" si="1"/>
        <v>31374766.818991985</v>
      </c>
      <c r="V11" s="1">
        <f t="shared" si="1"/>
        <v>32378759.357199732</v>
      </c>
      <c r="W11" s="1">
        <f t="shared" si="1"/>
        <v>33414879.656630129</v>
      </c>
      <c r="X11" s="1">
        <f t="shared" si="1"/>
        <v>34484155.805642284</v>
      </c>
      <c r="Y11" s="1">
        <f t="shared" si="1"/>
        <v>35587648.791422836</v>
      </c>
      <c r="Z11" s="1">
        <f t="shared" si="1"/>
        <v>36726453.552748367</v>
      </c>
      <c r="AA11" s="1">
        <f t="shared" si="1"/>
        <v>37901700.066436328</v>
      </c>
      <c r="AB11" s="1">
        <f t="shared" si="1"/>
        <v>39114554.468562283</v>
      </c>
      <c r="AC11" s="1">
        <f t="shared" si="1"/>
        <v>40366220.211556271</v>
      </c>
      <c r="AD11" s="1">
        <f t="shared" si="1"/>
        <v>41657939.258326076</v>
      </c>
      <c r="AE11" s="1">
        <f t="shared" si="1"/>
        <v>42990993.31459251</v>
      </c>
      <c r="AF11" s="1">
        <f t="shared" si="1"/>
        <v>44366705.10065946</v>
      </c>
    </row>
    <row r="12" spans="1:32" x14ac:dyDescent="0.35">
      <c r="A12" t="s">
        <v>72</v>
      </c>
      <c r="C12" s="1">
        <f t="shared" ref="C12:R12" si="2">C6*C$9</f>
        <v>65417154.615038931</v>
      </c>
      <c r="D12" s="1">
        <f t="shared" si="2"/>
        <v>67510503.562720165</v>
      </c>
      <c r="E12" s="1">
        <f t="shared" si="2"/>
        <v>69670839.676727206</v>
      </c>
      <c r="F12" s="1">
        <f t="shared" si="2"/>
        <v>71900306.546382487</v>
      </c>
      <c r="G12" s="1">
        <f t="shared" si="2"/>
        <v>74201116.35586673</v>
      </c>
      <c r="H12" s="1">
        <f t="shared" si="2"/>
        <v>76575552.079254448</v>
      </c>
      <c r="I12" s="1">
        <f t="shared" si="2"/>
        <v>79025969.745790586</v>
      </c>
      <c r="J12" s="1">
        <f t="shared" si="2"/>
        <v>81554800.7776559</v>
      </c>
      <c r="K12" s="1">
        <f t="shared" si="2"/>
        <v>84164554.402540892</v>
      </c>
      <c r="L12" s="1">
        <f t="shared" si="2"/>
        <v>86857820.143422186</v>
      </c>
      <c r="M12" s="1">
        <f t="shared" si="2"/>
        <v>89637270.388011694</v>
      </c>
      <c r="N12" s="1">
        <f t="shared" si="2"/>
        <v>92505663.040428072</v>
      </c>
      <c r="O12" s="1">
        <f t="shared" si="2"/>
        <v>95465844.257721782</v>
      </c>
      <c r="P12" s="1">
        <f t="shared" si="2"/>
        <v>98520751.273968861</v>
      </c>
      <c r="Q12" s="1">
        <f t="shared" si="2"/>
        <v>101673415.31473584</v>
      </c>
      <c r="R12" s="1">
        <f t="shared" si="2"/>
        <v>104926964.60480742</v>
      </c>
      <c r="S12" s="1">
        <f t="shared" si="1"/>
        <v>108284627.47216126</v>
      </c>
      <c r="T12" s="1">
        <f t="shared" si="1"/>
        <v>111749735.55127041</v>
      </c>
      <c r="U12" s="1">
        <f t="shared" si="1"/>
        <v>115325727.08891106</v>
      </c>
      <c r="V12" s="1">
        <f t="shared" si="1"/>
        <v>119016150.35575622</v>
      </c>
      <c r="W12" s="1">
        <f t="shared" si="1"/>
        <v>122824667.16714044</v>
      </c>
      <c r="X12" s="1">
        <f t="shared" si="1"/>
        <v>126755056.51648891</v>
      </c>
      <c r="Y12" s="1">
        <f t="shared" si="1"/>
        <v>130811218.32501654</v>
      </c>
      <c r="Z12" s="1">
        <f t="shared" si="1"/>
        <v>134997177.31141707</v>
      </c>
      <c r="AA12" s="1">
        <f t="shared" si="1"/>
        <v>139317086.98538247</v>
      </c>
      <c r="AB12" s="1">
        <f t="shared" si="1"/>
        <v>143775233.76891467</v>
      </c>
      <c r="AC12" s="1">
        <f t="shared" si="1"/>
        <v>148376041.24951991</v>
      </c>
      <c r="AD12" s="1">
        <f t="shared" si="1"/>
        <v>153124074.56950459</v>
      </c>
      <c r="AE12" s="1">
        <f t="shared" si="1"/>
        <v>158024044.95572874</v>
      </c>
      <c r="AF12" s="1">
        <f t="shared" si="1"/>
        <v>163080814.39431202</v>
      </c>
    </row>
    <row r="13" spans="1:32" x14ac:dyDescent="0.35">
      <c r="A13" t="s">
        <v>75</v>
      </c>
      <c r="C13" s="1">
        <f>C7*C$9</f>
        <v>1570011.7107609343</v>
      </c>
      <c r="D13" s="1">
        <f t="shared" si="1"/>
        <v>3240504.1710105678</v>
      </c>
      <c r="E13" s="1">
        <f t="shared" si="1"/>
        <v>5016300.4567243597</v>
      </c>
      <c r="F13" s="1">
        <f t="shared" si="1"/>
        <v>6902429.4284527181</v>
      </c>
      <c r="G13" s="1">
        <f t="shared" si="1"/>
        <v>8903727.7489195652</v>
      </c>
      <c r="H13" s="1">
        <f t="shared" si="1"/>
        <v>11025621.957160102</v>
      </c>
      <c r="I13" s="1">
        <f t="shared" si="1"/>
        <v>13273767.547429195</v>
      </c>
      <c r="J13" s="1">
        <f t="shared" si="1"/>
        <v>15654058.052540246</v>
      </c>
      <c r="K13" s="1">
        <f t="shared" si="1"/>
        <v>18172634.473674063</v>
      </c>
      <c r="L13" s="1">
        <f t="shared" si="1"/>
        <v>20836179.881191954</v>
      </c>
      <c r="M13" s="1">
        <f t="shared" si="1"/>
        <v>23651387.201115567</v>
      </c>
      <c r="N13" s="1">
        <f t="shared" si="1"/>
        <v>26625229.064922374</v>
      </c>
      <c r="O13" s="1">
        <f t="shared" si="1"/>
        <v>29764968.850962702</v>
      </c>
      <c r="P13" s="1">
        <f t="shared" si="1"/>
        <v>33078172.145911951</v>
      </c>
      <c r="Q13" s="1">
        <f t="shared" si="1"/>
        <v>36572792.743714012</v>
      </c>
      <c r="R13" s="1">
        <f t="shared" si="1"/>
        <v>40257043.892746173</v>
      </c>
      <c r="S13" s="1">
        <f t="shared" si="1"/>
        <v>44139478.566619001</v>
      </c>
      <c r="T13" s="1">
        <f t="shared" si="1"/>
        <v>48229002.791391432</v>
      </c>
      <c r="U13" s="1">
        <f t="shared" si="1"/>
        <v>52534889.477694556</v>
      </c>
      <c r="V13" s="1">
        <f t="shared" si="1"/>
        <v>57066966.413062729</v>
      </c>
      <c r="W13" s="1">
        <f t="shared" si="1"/>
        <v>61835300.545469292</v>
      </c>
      <c r="X13" s="1">
        <f t="shared" si="1"/>
        <v>66850371.488742881</v>
      </c>
      <c r="Y13" s="1">
        <f t="shared" si="1"/>
        <v>72123087.624627426</v>
      </c>
      <c r="Z13" s="1">
        <f t="shared" si="1"/>
        <v>77664802.812804118</v>
      </c>
      <c r="AA13" s="1">
        <f t="shared" si="1"/>
        <v>83487333.731296524</v>
      </c>
      <c r="AB13" s="1">
        <f t="shared" si="1"/>
        <v>89602977.870492086</v>
      </c>
      <c r="AC13" s="1">
        <f t="shared" si="1"/>
        <v>96024532.204855323</v>
      </c>
      <c r="AD13" s="1">
        <f t="shared" si="1"/>
        <v>102765312.56727844</v>
      </c>
      <c r="AE13" s="1">
        <f t="shared" si="1"/>
        <v>109839173.7519189</v>
      </c>
      <c r="AF13" s="1">
        <f t="shared" si="1"/>
        <v>117260530.37230738</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0.99977189596082905</v>
      </c>
      <c r="H15" s="38">
        <f>Assumptions!I44</f>
        <v>0.9995438439531108</v>
      </c>
      <c r="I15" s="38">
        <f>Assumptions!J44</f>
        <v>0.99931584396497664</v>
      </c>
      <c r="J15" s="38">
        <f>Assumptions!K44</f>
        <v>0.99908789598456071</v>
      </c>
      <c r="K15" s="38">
        <f>Assumptions!L44</f>
        <v>0.99885999999999986</v>
      </c>
      <c r="L15" s="38">
        <f>Assumptions!M44</f>
        <v>0.99876878334157126</v>
      </c>
      <c r="M15" s="38">
        <f>Assumptions!N44</f>
        <v>0.9986775750131176</v>
      </c>
      <c r="N15" s="38">
        <f>Assumptions!O44</f>
        <v>0.99858637501387815</v>
      </c>
      <c r="O15" s="38">
        <f>Assumptions!P44</f>
        <v>0.9984951833430924</v>
      </c>
      <c r="P15" s="38">
        <f>Assumptions!Q44</f>
        <v>0.99840399999999963</v>
      </c>
      <c r="Q15" s="38">
        <f>Assumptions!R44</f>
        <v>0.99834319259354798</v>
      </c>
      <c r="R15" s="38">
        <f>Assumptions!S44</f>
        <v>0.99828238889054766</v>
      </c>
      <c r="S15" s="38">
        <f>Assumptions!T44</f>
        <v>0.99822158889077317</v>
      </c>
      <c r="T15" s="38">
        <f>Assumptions!U44</f>
        <v>0.99816079259399904</v>
      </c>
      <c r="U15" s="38">
        <f>Assumptions!V44</f>
        <v>0.99809999999999965</v>
      </c>
      <c r="V15" s="38">
        <f>Assumptions!W44</f>
        <v>0.99809999999999965</v>
      </c>
      <c r="W15" s="38">
        <f>Assumptions!X44</f>
        <v>0.99809999999999965</v>
      </c>
      <c r="X15" s="38">
        <f>Assumptions!Y44</f>
        <v>0.99809999999999965</v>
      </c>
      <c r="Y15" s="38">
        <f>Assumptions!Z44</f>
        <v>0.99809999999999965</v>
      </c>
      <c r="Z15" s="38">
        <f>Assumptions!AA44</f>
        <v>0.99809999999999965</v>
      </c>
      <c r="AA15" s="38">
        <f>Assumptions!AB44</f>
        <v>0.99809999999999965</v>
      </c>
      <c r="AB15" s="38">
        <f>Assumptions!AC44</f>
        <v>0.99809999999999965</v>
      </c>
      <c r="AC15" s="38">
        <f>Assumptions!AD44</f>
        <v>0.99809999999999965</v>
      </c>
      <c r="AD15" s="38">
        <f>Assumptions!AE44</f>
        <v>0.99809999999999965</v>
      </c>
      <c r="AE15" s="38">
        <f>Assumptions!AF44</f>
        <v>0.99809999999999965</v>
      </c>
      <c r="AF15" s="38">
        <f>Assumptions!AG44</f>
        <v>0.99809999999999965</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-16925.574351772666</v>
      </c>
      <c r="H20" s="1">
        <f t="shared" si="4"/>
        <v>-34930.401124835014</v>
      </c>
      <c r="I20" s="1">
        <f t="shared" si="4"/>
        <v>-54066.094125151634</v>
      </c>
      <c r="J20" s="1">
        <f t="shared" si="4"/>
        <v>-74386.461267650127</v>
      </c>
      <c r="K20" s="1">
        <f t="shared" si="4"/>
        <v>-95947.592018902302</v>
      </c>
      <c r="L20" s="1">
        <f t="shared" si="4"/>
        <v>-106940.79507538676</v>
      </c>
      <c r="M20" s="1">
        <f t="shared" si="4"/>
        <v>-118538.56611703336</v>
      </c>
      <c r="N20" s="1">
        <f t="shared" si="4"/>
        <v>-130768.31663171947</v>
      </c>
      <c r="O20" s="1">
        <f t="shared" si="4"/>
        <v>-143658.59260477126</v>
      </c>
      <c r="P20" s="1">
        <f t="shared" si="4"/>
        <v>-157239.11903329194</v>
      </c>
      <c r="Q20" s="1">
        <f t="shared" si="4"/>
        <v>-168453.26753272116</v>
      </c>
      <c r="R20" s="1">
        <f t="shared" si="4"/>
        <v>-180223.72008633614</v>
      </c>
      <c r="S20" s="1">
        <f t="shared" si="4"/>
        <v>-192574.58445498347</v>
      </c>
      <c r="T20" s="1">
        <f t="shared" si="4"/>
        <v>-205530.9412445426</v>
      </c>
      <c r="U20" s="1">
        <f t="shared" si="4"/>
        <v>-219118.8814689666</v>
      </c>
      <c r="V20" s="1">
        <f t="shared" si="4"/>
        <v>-226130.68567597866</v>
      </c>
      <c r="W20" s="1">
        <f t="shared" si="4"/>
        <v>-233366.86761760712</v>
      </c>
      <c r="X20" s="1">
        <f t="shared" si="4"/>
        <v>-240834.60738137364</v>
      </c>
      <c r="Y20" s="1">
        <f t="shared" si="4"/>
        <v>-248541.3148175776</v>
      </c>
      <c r="Z20" s="1">
        <f t="shared" si="4"/>
        <v>-256494.63689175248</v>
      </c>
      <c r="AA20" s="1">
        <f t="shared" si="4"/>
        <v>-264702.46527227759</v>
      </c>
      <c r="AB20" s="1">
        <f t="shared" si="4"/>
        <v>-273172.94416099787</v>
      </c>
      <c r="AC20" s="1">
        <f t="shared" si="4"/>
        <v>-281914.47837415338</v>
      </c>
      <c r="AD20" s="1">
        <f t="shared" si="4"/>
        <v>-290935.74168211222</v>
      </c>
      <c r="AE20" s="1">
        <f t="shared" si="4"/>
        <v>-300245.6854159534</v>
      </c>
      <c r="AF20" s="1">
        <f t="shared" si="4"/>
        <v>-309853.54734924436</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99</v>
      </c>
      <c r="C25" s="40">
        <f>SUM(C11:C13,C18:C23)</f>
        <v>84784131.702193677</v>
      </c>
      <c r="D25" s="40">
        <f>SUM(D11:D13,D18:D23)</f>
        <v>89117476.002169147</v>
      </c>
      <c r="E25" s="40">
        <f t="shared" ref="E25:AF25" si="7">SUM(E11:E13,E18:E23)</f>
        <v>93641335.386480004</v>
      </c>
      <c r="F25" s="40">
        <f t="shared" si="7"/>
        <v>98363465.475960553</v>
      </c>
      <c r="G25" s="40">
        <f t="shared" si="7"/>
        <v>103274591.37559588</v>
      </c>
      <c r="H25" s="40">
        <f t="shared" si="7"/>
        <v>108398890.01149623</v>
      </c>
      <c r="I25" s="40">
        <f t="shared" si="7"/>
        <v>113744962.25933975</v>
      </c>
      <c r="J25" s="40">
        <f t="shared" si="7"/>
        <v>119321740.74310148</v>
      </c>
      <c r="K25" s="40">
        <f t="shared" si="7"/>
        <v>125138502.24634257</v>
      </c>
      <c r="L25" s="40">
        <f t="shared" si="7"/>
        <v>131217032.54247396</v>
      </c>
      <c r="M25" s="40">
        <f t="shared" si="7"/>
        <v>137556251.48195934</v>
      </c>
      <c r="N25" s="40">
        <f t="shared" si="7"/>
        <v>144166612.48635423</v>
      </c>
      <c r="O25" s="40">
        <f t="shared" si="7"/>
        <v>151058970.85203958</v>
      </c>
      <c r="P25" s="40">
        <f t="shared" si="7"/>
        <v>158244598.75955808</v>
      </c>
      <c r="Q25" s="40">
        <f t="shared" si="7"/>
        <v>165738362.51230639</v>
      </c>
      <c r="R25" s="40">
        <f t="shared" si="7"/>
        <v>173549531.945941</v>
      </c>
      <c r="S25" s="40">
        <f t="shared" si="7"/>
        <v>181690742.5321902</v>
      </c>
      <c r="T25" s="40">
        <f t="shared" si="7"/>
        <v>190175113.23377389</v>
      </c>
      <c r="U25" s="40">
        <f t="shared" si="7"/>
        <v>199016264.50412863</v>
      </c>
      <c r="V25" s="40">
        <f t="shared" si="7"/>
        <v>208235745.44034269</v>
      </c>
      <c r="W25" s="40">
        <f t="shared" si="7"/>
        <v>217841480.50162226</v>
      </c>
      <c r="X25" s="40">
        <f t="shared" si="7"/>
        <v>227848749.2034927</v>
      </c>
      <c r="Y25" s="40">
        <f t="shared" si="7"/>
        <v>238273413.42624924</v>
      </c>
      <c r="Z25" s="40">
        <f t="shared" si="7"/>
        <v>249131939.04007778</v>
      </c>
      <c r="AA25" s="40">
        <f t="shared" si="7"/>
        <v>260441418.31784305</v>
      </c>
      <c r="AB25" s="40">
        <f t="shared" si="7"/>
        <v>272219593.16380805</v>
      </c>
      <c r="AC25" s="40">
        <f t="shared" si="7"/>
        <v>284484879.18755734</v>
      </c>
      <c r="AD25" s="40">
        <f t="shared" si="7"/>
        <v>297256390.653427</v>
      </c>
      <c r="AE25" s="40">
        <f t="shared" si="7"/>
        <v>310553966.33682418</v>
      </c>
      <c r="AF25" s="40">
        <f t="shared" si="7"/>
        <v>324398196.3199296</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165</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43057639.018810131</v>
      </c>
      <c r="D5" s="59">
        <f>C5*('Price and Financial ratios'!F4+1)*(1+Assumptions!$C$13)</f>
        <v>69850683.688355491</v>
      </c>
      <c r="E5" s="59">
        <f>D5*('Price and Financial ratios'!G4+1)*(1+Assumptions!$C$13)</f>
        <v>92069223.368223995</v>
      </c>
      <c r="F5" s="59">
        <f>E5*('Price and Financial ratios'!H4+1)*(1+Assumptions!$C$13)</f>
        <v>104552150.13721059</v>
      </c>
      <c r="G5" s="59">
        <f>F5*('Price and Financial ratios'!I4+1)*(1+Assumptions!$C$13)</f>
        <v>114487267.55227827</v>
      </c>
      <c r="H5" s="59">
        <f>G5*('Price and Financial ratios'!J4+1)*(1+Assumptions!$C$13)</f>
        <v>125366474.18905628</v>
      </c>
      <c r="I5" s="59">
        <f>H5*('Price and Financial ratios'!K4+1)*(1+Assumptions!$C$13)</f>
        <v>137279482.57144472</v>
      </c>
      <c r="J5" s="59">
        <f>I5*('Price and Financial ratios'!L4+1)*(1+Assumptions!$C$13)</f>
        <v>150324530.19827133</v>
      </c>
      <c r="K5" s="59">
        <f>J5*('Price and Financial ratios'!M4+1)*(1+Assumptions!$C$13)</f>
        <v>161560871.30651966</v>
      </c>
      <c r="L5" s="59">
        <f>K5*('Price and Financial ratios'!N4+1)*(1+Assumptions!$C$13)</f>
        <v>170360926.04905525</v>
      </c>
      <c r="M5" s="59">
        <f>L5*('Price and Financial ratios'!O4+1)*(1+Assumptions!$C$13)</f>
        <v>179640310.73605925</v>
      </c>
      <c r="N5" s="59">
        <f>M5*('Price and Financial ratios'!P4+1)*(1+Assumptions!$C$13)</f>
        <v>189425133.97735128</v>
      </c>
      <c r="O5" s="59">
        <f>N5*('Price and Financial ratios'!Q4+1)*(1+Assumptions!$C$13)</f>
        <v>199742926.49191517</v>
      </c>
      <c r="P5" s="59">
        <f>O5*('Price and Financial ratios'!R4+1)*(1+Assumptions!$C$13)</f>
        <v>210622718.56872469</v>
      </c>
      <c r="Q5" s="59">
        <f>P5*('Price and Financial ratios'!S4+1)*(1+Assumptions!$C$13)</f>
        <v>222095121.7467809</v>
      </c>
      <c r="R5" s="59">
        <f>Q5*('Price and Financial ratios'!T4+1)*(1+Assumptions!$C$13)</f>
        <v>234192414.94417721</v>
      </c>
      <c r="S5" s="59">
        <f>R5*('Price and Financial ratios'!U4+1)*(1+Assumptions!$C$13)</f>
        <v>246948635.27852622</v>
      </c>
      <c r="T5" s="59">
        <f>S5*('Price and Financial ratios'!V4+1)*(1+Assumptions!$C$13)</f>
        <v>260399673.83428198</v>
      </c>
      <c r="U5" s="59">
        <f>T5*('Price and Financial ratios'!W4+1)*(1+Assumptions!$C$13)</f>
        <v>274583376.64640975</v>
      </c>
      <c r="V5" s="59">
        <f>U5*('Price and Financial ratios'!X4+1)*(1+Assumptions!$C$13)</f>
        <v>289539651.18453282</v>
      </c>
      <c r="W5" s="59">
        <f>V5*('Price and Financial ratios'!Y4+1)*(1+Assumptions!$C$13)</f>
        <v>305310578.6371612</v>
      </c>
      <c r="X5" s="59">
        <f>W5*('Price and Financial ratios'!Z4+1)*(1+Assumptions!$C$13)</f>
        <v>321940532.31192714</v>
      </c>
      <c r="Y5" s="59">
        <f>X5*('Price and Financial ratios'!AA4+1)*(1+Assumptions!$C$13)</f>
        <v>339476302.4849596</v>
      </c>
      <c r="Z5" s="59">
        <f>Y5*('Price and Financial ratios'!AB4+1)*(1+Assumptions!$C$13)</f>
        <v>354525235.47326612</v>
      </c>
      <c r="AA5" s="59">
        <f>Z5*('Price and Financial ratios'!AC4+1)*(1+Assumptions!$C$13)</f>
        <v>367365624.90896463</v>
      </c>
      <c r="AB5" s="59">
        <f>AA5*('Price and Financial ratios'!AD4+1)*(1+Assumptions!$C$13)</f>
        <v>380671074.61220741</v>
      </c>
      <c r="AC5" s="59">
        <f>AB5*('Price and Financial ratios'!AE4+1)*(1+Assumptions!$C$13)</f>
        <v>394458428.39085025</v>
      </c>
      <c r="AD5" s="59">
        <f>AC5*('Price and Financial ratios'!AF4+1)*(1+Assumptions!$C$13)</f>
        <v>408745140.11102068</v>
      </c>
      <c r="AE5" s="59">
        <f>AD5*('Price and Financial ratios'!AG4+1)*(1+Assumptions!$C$13)</f>
        <v>423549295.79254317</v>
      </c>
      <c r="AF5" s="59">
        <f>AE5*('Price and Financial ratios'!AH4+1)*(1+Assumptions!$C$13)</f>
        <v>438889636.5046283</v>
      </c>
    </row>
    <row r="6" spans="1:32" s="11" customFormat="1" x14ac:dyDescent="0.35">
      <c r="A6" s="11" t="s">
        <v>20</v>
      </c>
      <c r="C6" s="59">
        <f>C27</f>
        <v>17231022.355766729</v>
      </c>
      <c r="D6" s="59">
        <f t="shared" ref="D6:AF6" si="1">D27</f>
        <v>19813726.234023381</v>
      </c>
      <c r="E6" s="59">
        <f>E27</f>
        <v>22504819.902891681</v>
      </c>
      <c r="F6" s="59">
        <f t="shared" si="1"/>
        <v>25307934.42278745</v>
      </c>
      <c r="G6" s="59">
        <f t="shared" si="1"/>
        <v>28218420.199173406</v>
      </c>
      <c r="H6" s="59">
        <f t="shared" si="1"/>
        <v>31246311.249289803</v>
      </c>
      <c r="I6" s="59">
        <f t="shared" si="1"/>
        <v>34395446.795006827</v>
      </c>
      <c r="J6" s="59">
        <f t="shared" si="1"/>
        <v>37669781.63921722</v>
      </c>
      <c r="K6" s="59">
        <f t="shared" si="1"/>
        <v>41073389.529578879</v>
      </c>
      <c r="L6" s="59">
        <f t="shared" si="1"/>
        <v>44618285.190927707</v>
      </c>
      <c r="M6" s="59">
        <f t="shared" si="1"/>
        <v>48302552.104324259</v>
      </c>
      <c r="N6" s="59">
        <f t="shared" si="1"/>
        <v>52130736.035174429</v>
      </c>
      <c r="O6" s="59">
        <f t="shared" si="1"/>
        <v>56107520.207188353</v>
      </c>
      <c r="P6" s="59">
        <f t="shared" si="1"/>
        <v>60237729.332470305</v>
      </c>
      <c r="Q6" s="59">
        <f t="shared" si="1"/>
        <v>64528824.636867031</v>
      </c>
      <c r="R6" s="59">
        <f t="shared" si="1"/>
        <v>68983853.413110942</v>
      </c>
      <c r="S6" s="59">
        <f t="shared" si="1"/>
        <v>73608114.621330783</v>
      </c>
      <c r="T6" s="59">
        <f t="shared" si="1"/>
        <v>78407067.091501385</v>
      </c>
      <c r="U6" s="59">
        <f t="shared" si="1"/>
        <v>83386334.21586594</v>
      </c>
      <c r="V6" s="59">
        <f t="shared" si="1"/>
        <v>88558513.816121638</v>
      </c>
      <c r="W6" s="59">
        <f t="shared" si="1"/>
        <v>93923760.356283292</v>
      </c>
      <c r="X6" s="59">
        <f t="shared" si="1"/>
        <v>99488277.32613121</v>
      </c>
      <c r="Y6" s="59">
        <f t="shared" si="1"/>
        <v>105258455.3985597</v>
      </c>
      <c r="Z6" s="59">
        <f t="shared" si="1"/>
        <v>111240877.94108482</v>
      </c>
      <c r="AA6" s="59">
        <f t="shared" si="1"/>
        <v>117442326.68932827</v>
      </c>
      <c r="AB6" s="59">
        <f t="shared" si="1"/>
        <v>123869787.58730192</v>
      </c>
      <c r="AC6" s="59">
        <f t="shared" si="1"/>
        <v>130530456.79946329</v>
      </c>
      <c r="AD6" s="59">
        <f t="shared" si="1"/>
        <v>137431746.89966527</v>
      </c>
      <c r="AE6" s="59">
        <f t="shared" si="1"/>
        <v>144581293.24227899</v>
      </c>
      <c r="AF6" s="59">
        <f t="shared" si="1"/>
        <v>151986960.52093047</v>
      </c>
    </row>
    <row r="7" spans="1:32" x14ac:dyDescent="0.35">
      <c r="A7" t="s">
        <v>21</v>
      </c>
      <c r="C7" s="4">
        <f>Depreciation!C8+Depreciation!C9</f>
        <v>19366977.087154746</v>
      </c>
      <c r="D7" s="4">
        <f>Depreciation!D8+Depreciation!D9</f>
        <v>21606972.439448979</v>
      </c>
      <c r="E7" s="4">
        <f>Depreciation!E8+Depreciation!E9</f>
        <v>23970495.709752798</v>
      </c>
      <c r="F7" s="4">
        <f>Depreciation!F8+Depreciation!F9</f>
        <v>26463158.92957807</v>
      </c>
      <c r="G7" s="4">
        <f>Depreciation!G8+Depreciation!G9</f>
        <v>29090400.594080929</v>
      </c>
      <c r="H7" s="4">
        <f>Depreciation!H8+Depreciation!H9</f>
        <v>31858268.333366625</v>
      </c>
      <c r="I7" s="4">
        <f>Depreciation!I8+Depreciation!I9</f>
        <v>34773058.607674323</v>
      </c>
      <c r="J7" s="4">
        <f>Depreciation!J8+Depreciation!J9</f>
        <v>37841326.426713228</v>
      </c>
      <c r="K7" s="4">
        <f>Depreciation!K8+Depreciation!K9</f>
        <v>41069895.43582058</v>
      </c>
      <c r="L7" s="4">
        <f>Depreciation!L8+Depreciation!L9</f>
        <v>44466153.194127157</v>
      </c>
      <c r="M7" s="4">
        <f>Depreciation!M8+Depreciation!M9</f>
        <v>48037519.660064697</v>
      </c>
      <c r="N7" s="4">
        <f>Depreciation!N8+Depreciation!N9</f>
        <v>51791717.762557872</v>
      </c>
      <c r="O7" s="4">
        <f>Depreciation!O8+Depreciation!O9</f>
        <v>55736785.186922535</v>
      </c>
      <c r="P7" s="4">
        <f>Depreciation!P8+Depreciation!P9</f>
        <v>59881086.604622498</v>
      </c>
      <c r="Q7" s="4">
        <f>Depreciation!Q8+Depreciation!Q9</f>
        <v>64233400.465103291</v>
      </c>
      <c r="R7" s="4">
        <f>Depreciation!R8+Depreciation!R9</f>
        <v>68802791.061219916</v>
      </c>
      <c r="S7" s="4">
        <f>Depreciation!S8+Depreciation!S9</f>
        <v>73598689.644483909</v>
      </c>
      <c r="T7" s="4">
        <f>Depreciation!T8+Depreciation!T9</f>
        <v>78630908.623748004</v>
      </c>
      <c r="U7" s="4">
        <f>Depreciation!U8+Depreciation!U9</f>
        <v>83909656.296686545</v>
      </c>
      <c r="V7" s="4">
        <f>Depreciation!V8+Depreciation!V9</f>
        <v>89445725.770262465</v>
      </c>
      <c r="W7" s="4">
        <f>Depreciation!W8+Depreciation!W9</f>
        <v>95250180.202099413</v>
      </c>
      <c r="X7" s="4">
        <f>Depreciation!X8+Depreciation!X9</f>
        <v>101334527.29438516</v>
      </c>
      <c r="Y7" s="4">
        <f>Depreciation!Y8+Depreciation!Y9</f>
        <v>107710736.41605026</v>
      </c>
      <c r="Z7" s="4">
        <f>Depreciation!Z8+Depreciation!Z9</f>
        <v>114391256.36555248</v>
      </c>
      <c r="AA7" s="4">
        <f>Depreciation!AA8+Depreciation!AA9</f>
        <v>121389033.79773286</v>
      </c>
      <c r="AB7" s="4">
        <f>Depreciation!AB8+Depreciation!AB9</f>
        <v>128717532.33905438</v>
      </c>
      <c r="AC7" s="4">
        <f>Depreciation!AC8+Depreciation!AC9</f>
        <v>136390752.41641158</v>
      </c>
      <c r="AD7" s="4">
        <f>Depreciation!AD8+Depreciation!AD9</f>
        <v>144423251.82560453</v>
      </c>
      <c r="AE7" s="4">
        <f>Depreciation!AE8+Depreciation!AE9</f>
        <v>152830167.06651139</v>
      </c>
      <c r="AF7" s="4">
        <f>Depreciation!AF8+Depreciation!AF9</f>
        <v>161627235.47296685</v>
      </c>
    </row>
    <row r="8" spans="1:32" x14ac:dyDescent="0.35">
      <c r="A8" t="s">
        <v>6</v>
      </c>
      <c r="C8" s="4">
        <f ca="1">'Debt worksheet'!C8</f>
        <v>5947233.1400728105</v>
      </c>
      <c r="D8" s="4">
        <f ca="1">'Debt worksheet'!D8</f>
        <v>7580364.0303078815</v>
      </c>
      <c r="E8" s="4">
        <f ca="1">'Debt worksheet'!E8</f>
        <v>8728556.1114487574</v>
      </c>
      <c r="F8" s="4">
        <f ca="1">'Debt worksheet'!F8</f>
        <v>9738580.1586555094</v>
      </c>
      <c r="G8" s="4">
        <f ca="1">'Debt worksheet'!G8</f>
        <v>10708581.553826628</v>
      </c>
      <c r="H8" s="4">
        <f ca="1">'Debt worksheet'!H8</f>
        <v>11614856.996204322</v>
      </c>
      <c r="I8" s="4">
        <f ca="1">'Debt worksheet'!I8</f>
        <v>12430040.852959469</v>
      </c>
      <c r="J8" s="4">
        <f ca="1">'Debt worksheet'!J8</f>
        <v>13122679.356892357</v>
      </c>
      <c r="K8" s="4">
        <f ca="1">'Debt worksheet'!K8</f>
        <v>13767321.319504064</v>
      </c>
      <c r="L8" s="4">
        <f ca="1">'Debt worksheet'!L8</f>
        <v>14465207.283374287</v>
      </c>
      <c r="M8" s="4">
        <f ca="1">'Debt worksheet'!M8</f>
        <v>15215393.298582528</v>
      </c>
      <c r="N8" s="4">
        <f ca="1">'Debt worksheet'!N8</f>
        <v>16016498.246247394</v>
      </c>
      <c r="O8" s="4">
        <f ca="1">'Debt worksheet'!O8</f>
        <v>16866655.964873929</v>
      </c>
      <c r="P8" s="4">
        <f ca="1">'Debt worksheet'!P8</f>
        <v>17763463.521439955</v>
      </c>
      <c r="Q8" s="4">
        <f ca="1">'Debt worksheet'!Q8</f>
        <v>18704130.373599682</v>
      </c>
      <c r="R8" s="4">
        <f ca="1">'Debt worksheet'!R8</f>
        <v>19685040.764891498</v>
      </c>
      <c r="S8" s="4">
        <f ca="1">'Debt worksheet'!S8</f>
        <v>20701863.762193073</v>
      </c>
      <c r="T8" s="4">
        <f ca="1">'Debt worksheet'!T8</f>
        <v>21749483.408681698</v>
      </c>
      <c r="U8" s="4">
        <f ca="1">'Debt worksheet'!U8</f>
        <v>22821923.503893439</v>
      </c>
      <c r="V8" s="4">
        <f ca="1">'Debt worksheet'!V8</f>
        <v>23912782.16208398</v>
      </c>
      <c r="W8" s="4">
        <f ca="1">'Debt worksheet'!W8</f>
        <v>25014192.061979309</v>
      </c>
      <c r="X8" s="4">
        <f ca="1">'Debt worksheet'!X8</f>
        <v>26117170.320827663</v>
      </c>
      <c r="Y8" s="4">
        <f ca="1">'Debt worksheet'!Y8</f>
        <v>27211518.282613873</v>
      </c>
      <c r="Z8" s="4">
        <f ca="1">'Debt worksheet'!Z8</f>
        <v>28410552.99004171</v>
      </c>
      <c r="AA8" s="4">
        <f ca="1">'Debt worksheet'!AA8</f>
        <v>29822473.775625847</v>
      </c>
      <c r="AB8" s="4">
        <f ca="1">'Debt worksheet'!AB8</f>
        <v>31463331.078225318</v>
      </c>
      <c r="AC8" s="4">
        <f ca="1">'Debt worksheet'!AC8</f>
        <v>33350075.486104958</v>
      </c>
      <c r="AD8" s="4">
        <f ca="1">'Debt worksheet'!AD8</f>
        <v>35500601.447230533</v>
      </c>
      <c r="AE8" s="4">
        <f ca="1">'Debt worksheet'!AE8</f>
        <v>37933792.932393916</v>
      </c>
      <c r="AF8" s="4">
        <f ca="1">'Debt worksheet'!AF8</f>
        <v>40669571.133846663</v>
      </c>
    </row>
    <row r="9" spans="1:32" x14ac:dyDescent="0.35">
      <c r="A9" t="s">
        <v>22</v>
      </c>
      <c r="C9" s="4">
        <f ca="1">C5-C6-C7-C8</f>
        <v>512406.43581584562</v>
      </c>
      <c r="D9" s="4">
        <f t="shared" ref="D9:AF9" ca="1" si="2">D5-D6-D7-D8</f>
        <v>20849620.984575253</v>
      </c>
      <c r="E9" s="4">
        <f t="shared" ca="1" si="2"/>
        <v>36865351.644130759</v>
      </c>
      <c r="F9" s="4">
        <f t="shared" ca="1" si="2"/>
        <v>43042476.626189575</v>
      </c>
      <c r="G9" s="4">
        <f t="shared" ca="1" si="2"/>
        <v>46469865.205197304</v>
      </c>
      <c r="H9" s="4">
        <f t="shared" ca="1" si="2"/>
        <v>50647037.610195518</v>
      </c>
      <c r="I9" s="4">
        <f t="shared" ca="1" si="2"/>
        <v>55680936.315804109</v>
      </c>
      <c r="J9" s="4">
        <f t="shared" ca="1" si="2"/>
        <v>61690742.775448523</v>
      </c>
      <c r="K9" s="4">
        <f t="shared" ca="1" si="2"/>
        <v>65650265.021616131</v>
      </c>
      <c r="L9" s="4">
        <f t="shared" ca="1" si="2"/>
        <v>66811280.38062609</v>
      </c>
      <c r="M9" s="4">
        <f t="shared" ca="1" si="2"/>
        <v>68084845.673087776</v>
      </c>
      <c r="N9" s="4">
        <f t="shared" ca="1" si="2"/>
        <v>69486181.933371589</v>
      </c>
      <c r="O9" s="4">
        <f t="shared" ca="1" si="2"/>
        <v>71031965.132930338</v>
      </c>
      <c r="P9" s="4">
        <f t="shared" ca="1" si="2"/>
        <v>72740439.110191941</v>
      </c>
      <c r="Q9" s="4">
        <f t="shared" ca="1" si="2"/>
        <v>74628766.271210909</v>
      </c>
      <c r="R9" s="4">
        <f t="shared" ca="1" si="2"/>
        <v>76720729.704954863</v>
      </c>
      <c r="S9" s="4">
        <f t="shared" ca="1" si="2"/>
        <v>79039967.250518471</v>
      </c>
      <c r="T9" s="4">
        <f t="shared" ca="1" si="2"/>
        <v>81612214.710350901</v>
      </c>
      <c r="U9" s="4">
        <f t="shared" ca="1" si="2"/>
        <v>84465462.62996383</v>
      </c>
      <c r="V9" s="4">
        <f t="shared" ca="1" si="2"/>
        <v>87622629.436064735</v>
      </c>
      <c r="W9" s="4">
        <f t="shared" ca="1" si="2"/>
        <v>91122446.016799167</v>
      </c>
      <c r="X9" s="4">
        <f t="shared" ca="1" si="2"/>
        <v>95000557.370583087</v>
      </c>
      <c r="Y9" s="4">
        <f t="shared" ca="1" si="2"/>
        <v>99295592.387735784</v>
      </c>
      <c r="Z9" s="4">
        <f t="shared" ca="1" si="2"/>
        <v>100482548.17658713</v>
      </c>
      <c r="AA9" s="4">
        <f t="shared" ca="1" si="2"/>
        <v>98711790.646277666</v>
      </c>
      <c r="AB9" s="4">
        <f t="shared" ca="1" si="2"/>
        <v>96620423.607625812</v>
      </c>
      <c r="AC9" s="4">
        <f t="shared" ca="1" si="2"/>
        <v>94187143.68887043</v>
      </c>
      <c r="AD9" s="4">
        <f t="shared" ca="1" si="2"/>
        <v>91389539.938520387</v>
      </c>
      <c r="AE9" s="4">
        <f t="shared" ca="1" si="2"/>
        <v>88204042.551358879</v>
      </c>
      <c r="AF9" s="4">
        <f t="shared" ca="1" si="2"/>
        <v>84605869.376884311</v>
      </c>
    </row>
    <row r="12" spans="1:32" x14ac:dyDescent="0.35">
      <c r="A12" t="s">
        <v>80</v>
      </c>
      <c r="C12" s="2">
        <f>Assumptions!$C$25*Assumptions!D9*Assumptions!D13</f>
        <v>15287524.332029236</v>
      </c>
      <c r="D12" s="2">
        <f>Assumptions!$C$25*Assumptions!E9*Assumptions!E13</f>
        <v>15841216.273503944</v>
      </c>
      <c r="E12" s="2">
        <f>Assumptions!$C$25*Assumptions!F9*Assumptions!F13</f>
        <v>16414962.133415382</v>
      </c>
      <c r="F12" s="2">
        <f>Assumptions!$C$25*Assumptions!G9*Assumptions!G13</f>
        <v>17009488.235581081</v>
      </c>
      <c r="G12" s="2">
        <f>Assumptions!$C$25*Assumptions!H9*Assumptions!H13</f>
        <v>17625547.210212979</v>
      </c>
      <c r="H12" s="2">
        <f>Assumptions!$C$25*Assumptions!I9*Assumptions!I13</f>
        <v>18263918.946696855</v>
      </c>
      <c r="I12" s="2">
        <f>Assumptions!$C$25*Assumptions!J9*Assumptions!J13</f>
        <v>18925411.580880027</v>
      </c>
      <c r="J12" s="2">
        <f>Assumptions!$C$25*Assumptions!K9*Assumptions!K13</f>
        <v>19610862.518117193</v>
      </c>
      <c r="K12" s="2">
        <f>Assumptions!$C$25*Assumptions!L9*Assumptions!L13</f>
        <v>20321139.493369509</v>
      </c>
      <c r="L12" s="2">
        <f>Assumptions!$C$25*Assumptions!M9*Assumptions!M13</f>
        <v>21057141.669698913</v>
      </c>
      <c r="M12" s="2">
        <f>Assumptions!$C$25*Assumptions!N9*Assumptions!N13</f>
        <v>21819800.776548296</v>
      </c>
      <c r="N12" s="2">
        <f>Assumptions!$C$25*Assumptions!O9*Assumptions!O13</f>
        <v>22610082.289248575</v>
      </c>
      <c r="O12" s="2">
        <f>Assumptions!$C$25*Assumptions!P9*Assumptions!P13</f>
        <v>23428986.651245769</v>
      </c>
      <c r="P12" s="2">
        <f>Assumptions!$C$25*Assumptions!Q9*Assumptions!Q13</f>
        <v>24277550.540595368</v>
      </c>
      <c r="Q12" s="2">
        <f>Assumptions!$C$25*Assumptions!R9*Assumptions!R13</f>
        <v>25156848.182327289</v>
      </c>
      <c r="R12" s="2">
        <f>Assumptions!$C$25*Assumptions!S9*Assumptions!S13</f>
        <v>26067992.708342794</v>
      </c>
      <c r="S12" s="2">
        <f>Assumptions!$C$25*Assumptions!T9*Assumptions!T13</f>
        <v>27012137.566564918</v>
      </c>
      <c r="T12" s="2">
        <f>Assumptions!$C$25*Assumptions!U9*Assumptions!U13</f>
        <v>27990477.9811262</v>
      </c>
      <c r="U12" s="2">
        <f>Assumptions!$C$25*Assumptions!V9*Assumptions!V13</f>
        <v>29004252.465442441</v>
      </c>
      <c r="V12" s="2">
        <f>Assumptions!$C$25*Assumptions!W9*Assumptions!W13</f>
        <v>30054744.390087623</v>
      </c>
      <c r="W12" s="2">
        <f>Assumptions!$C$25*Assumptions!X9*Assumptions!X13</f>
        <v>31143283.607455131</v>
      </c>
      <c r="X12" s="2">
        <f>Assumptions!$C$25*Assumptions!Y9*Assumptions!Y13</f>
        <v>32271248.135261733</v>
      </c>
      <c r="Y12" s="2">
        <f>Assumptions!$C$25*Assumptions!Z9*Assumptions!Z13</f>
        <v>33440065.901025731</v>
      </c>
      <c r="Z12" s="2">
        <f>Assumptions!$C$25*Assumptions!AA9*Assumptions!AA13</f>
        <v>34651216.549727499</v>
      </c>
      <c r="AA12" s="2">
        <f>Assumptions!$C$25*Assumptions!AB9*Assumptions!AB13</f>
        <v>35906233.316940874</v>
      </c>
      <c r="AB12" s="2">
        <f>Assumptions!$C$25*Assumptions!AC9*Assumptions!AC13</f>
        <v>37206704.969806731</v>
      </c>
      <c r="AC12" s="2">
        <f>Assumptions!$C$25*Assumptions!AD9*Assumptions!AD13</f>
        <v>38554277.818305641</v>
      </c>
      <c r="AD12" s="2">
        <f>Assumptions!$C$25*Assumptions!AE9*Assumptions!AE13</f>
        <v>39950657.799376085</v>
      </c>
      <c r="AE12" s="2">
        <f>Assumptions!$C$25*Assumptions!AF9*Assumptions!AF13</f>
        <v>41397612.636516295</v>
      </c>
      <c r="AF12" s="2">
        <f>Assumptions!$C$25*Assumptions!AG9*Assumptions!AG13</f>
        <v>42896974.077603735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1943498.0237374937</v>
      </c>
      <c r="D14" s="5">
        <f>Assumptions!E122*Assumptions!E9</f>
        <v>3972509.9605194367</v>
      </c>
      <c r="E14" s="5">
        <f>Assumptions!F122*Assumptions!F9</f>
        <v>6089857.7694762973</v>
      </c>
      <c r="F14" s="5">
        <f>Assumptions!G122*Assumptions!G9</f>
        <v>8298446.187206368</v>
      </c>
      <c r="G14" s="5">
        <f>Assumptions!H122*Assumptions!H9</f>
        <v>10600781.365882579</v>
      </c>
      <c r="H14" s="5">
        <f>Assumptions!I122*Assumptions!I9</f>
        <v>12999908.678897247</v>
      </c>
      <c r="I14" s="5">
        <f>Assumptions!J122*Assumptions!J9</f>
        <v>15498961.893493297</v>
      </c>
      <c r="J14" s="5">
        <f>Assumptions!K122*Assumptions!K9</f>
        <v>18101165.581145179</v>
      </c>
      <c r="K14" s="5">
        <f>Assumptions!L122*Assumptions!L9</f>
        <v>20809837.591105349</v>
      </c>
      <c r="L14" s="5">
        <f>Assumptions!M122*Assumptions!M9</f>
        <v>23628714.571816817</v>
      </c>
      <c r="M14" s="5">
        <f>Assumptions!N122*Assumptions!N9</f>
        <v>26561329.820926867</v>
      </c>
      <c r="N14" s="5">
        <f>Assumptions!O122*Assumptions!O9</f>
        <v>29611318.658490378</v>
      </c>
      <c r="O14" s="5">
        <f>Assumptions!P122*Assumptions!P9</f>
        <v>32782421.203572791</v>
      </c>
      <c r="P14" s="5">
        <f>Assumptions!Q122*Assumptions!Q9</f>
        <v>36078485.223594971</v>
      </c>
      <c r="Q14" s="5">
        <f>Assumptions!R122*Assumptions!R9</f>
        <v>39503549.098307937</v>
      </c>
      <c r="R14" s="5">
        <f>Assumptions!S122*Assumptions!S9</f>
        <v>43061690.010361098</v>
      </c>
      <c r="S14" s="5">
        <f>Assumptions!T122*Assumptions!T9</f>
        <v>46757102.025378287</v>
      </c>
      <c r="T14" s="5">
        <f>Assumptions!U122*Assumptions!U9</f>
        <v>50594099.259760074</v>
      </c>
      <c r="U14" s="5">
        <f>Assumptions!V122*Assumptions!V9</f>
        <v>54577119.131260991</v>
      </c>
      <c r="V14" s="5">
        <f>Assumptions!W122*Assumptions!W9</f>
        <v>58710904.33306621</v>
      </c>
      <c r="W14" s="5">
        <f>Assumptions!X122*Assumptions!X9</f>
        <v>63000160.758091323</v>
      </c>
      <c r="X14" s="5">
        <f>Assumptions!Y122*Assumptions!Y9</f>
        <v>67449728.388120338</v>
      </c>
      <c r="Y14" s="5">
        <f>Assumptions!Z122*Assumptions!Z9</f>
        <v>72064584.916063711</v>
      </c>
      <c r="Z14" s="5">
        <f>Assumptions!AA122*Assumptions!AA9</f>
        <v>76849849.462696761</v>
      </c>
      <c r="AA14" s="5">
        <f>Assumptions!AB122*Assumptions!AB9</f>
        <v>81810786.390282273</v>
      </c>
      <c r="AB14" s="5">
        <f>Assumptions!AC122*Assumptions!AC9</f>
        <v>86952809.215541616</v>
      </c>
      <c r="AC14" s="5">
        <f>Assumptions!AD122*Assumptions!AD9</f>
        <v>92281484.624499455</v>
      </c>
      <c r="AD14" s="5">
        <f>Assumptions!AE122*Assumptions!AE9</f>
        <v>97802536.591791138</v>
      </c>
      <c r="AE14" s="5">
        <f>Assumptions!AF122*Assumptions!AF9</f>
        <v>103521850.60708539</v>
      </c>
      <c r="AF14" s="5">
        <f>Assumptions!AG122*Assumptions!AG9</f>
        <v>109445478.01134214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195</v>
      </c>
      <c r="C16" s="37">
        <f>Assumptions!D43</f>
        <v>1</v>
      </c>
      <c r="D16" s="37">
        <f>Assumptions!E43</f>
        <v>1</v>
      </c>
      <c r="E16" s="37">
        <f>Assumptions!F43</f>
        <v>1</v>
      </c>
      <c r="F16" s="37">
        <f>Assumptions!G43</f>
        <v>1</v>
      </c>
      <c r="G16" s="37">
        <f>Assumptions!H43</f>
        <v>0.99971982268608417</v>
      </c>
      <c r="H16" s="37">
        <f>Assumptions!I43</f>
        <v>0.9994397238714956</v>
      </c>
      <c r="I16" s="37">
        <f>Assumptions!J43</f>
        <v>0.99915970353424055</v>
      </c>
      <c r="J16" s="37">
        <f>Assumptions!K43</f>
        <v>0.99887976165233139</v>
      </c>
      <c r="K16" s="37">
        <f>Assumptions!L43</f>
        <v>0.99859989820378681</v>
      </c>
      <c r="L16" s="37">
        <f>Assumptions!M43</f>
        <v>0.99848786492480279</v>
      </c>
      <c r="M16" s="37">
        <f>Assumptions!N43</f>
        <v>0.99837584421487235</v>
      </c>
      <c r="N16" s="37">
        <f>Assumptions!O43</f>
        <v>0.99826383607258529</v>
      </c>
      <c r="O16" s="37">
        <f>Assumptions!P43</f>
        <v>0.99815184049653172</v>
      </c>
      <c r="P16" s="37">
        <f>Assumptions!Q43</f>
        <v>0.99803985748530177</v>
      </c>
      <c r="Q16" s="37">
        <f>Assumptions!R43</f>
        <v>0.99796517421324915</v>
      </c>
      <c r="R16" s="37">
        <f>Assumptions!S43</f>
        <v>0.99789049652974193</v>
      </c>
      <c r="S16" s="37">
        <f>Assumptions!T43</f>
        <v>0.99781582443436201</v>
      </c>
      <c r="T16" s="37">
        <f>Assumptions!U43</f>
        <v>0.99774115792669127</v>
      </c>
      <c r="U16" s="37">
        <f>Assumptions!V43</f>
        <v>0.99766649700631149</v>
      </c>
      <c r="V16" s="37">
        <f>Assumptions!W43</f>
        <v>0.99766649700631149</v>
      </c>
      <c r="W16" s="37">
        <f>Assumptions!X43</f>
        <v>0.99766649700631149</v>
      </c>
      <c r="X16" s="37">
        <f>Assumptions!Y43</f>
        <v>0.99766649700631149</v>
      </c>
      <c r="Y16" s="37">
        <f>Assumptions!Z43</f>
        <v>0.99766649700631149</v>
      </c>
      <c r="Z16" s="37">
        <f>Assumptions!AA43</f>
        <v>0.99766649700631149</v>
      </c>
      <c r="AA16" s="37">
        <f>Assumptions!AB43</f>
        <v>0.99766649700631149</v>
      </c>
      <c r="AB16" s="37">
        <f>Assumptions!AC43</f>
        <v>0.99766649700631149</v>
      </c>
      <c r="AC16" s="37">
        <f>Assumptions!AD43</f>
        <v>0.99766649700631149</v>
      </c>
      <c r="AD16" s="37">
        <f>Assumptions!AE43</f>
        <v>0.99766649700631149</v>
      </c>
      <c r="AE16" s="37">
        <f>Assumptions!AF43</f>
        <v>0.99766649700631149</v>
      </c>
      <c r="AF16" s="37">
        <f>Assumptions!AG43</f>
        <v>0.99766649700631149</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-4938.2784736528993</v>
      </c>
      <c r="H19" s="44">
        <f t="shared" si="3"/>
        <v>-10232.837798774242</v>
      </c>
      <c r="I19" s="44">
        <f t="shared" si="3"/>
        <v>-15902.956464458257</v>
      </c>
      <c r="J19" s="44">
        <f t="shared" si="3"/>
        <v>-21968.840223651379</v>
      </c>
      <c r="K19" s="44">
        <f t="shared" si="3"/>
        <v>-28451.663905765861</v>
      </c>
      <c r="L19" s="44">
        <f t="shared" si="3"/>
        <v>-31841.242502149194</v>
      </c>
      <c r="M19" s="44">
        <f t="shared" si="3"/>
        <v>-35438.755661562085</v>
      </c>
      <c r="N19" s="44">
        <f t="shared" si="3"/>
        <v>-39254.809266470373</v>
      </c>
      <c r="O19" s="44">
        <f t="shared" si="3"/>
        <v>-43300.504336129874</v>
      </c>
      <c r="P19" s="44">
        <f t="shared" si="3"/>
        <v>-47587.458967354149</v>
      </c>
      <c r="Q19" s="44">
        <f t="shared" si="3"/>
        <v>-51189.803394775838</v>
      </c>
      <c r="R19" s="44">
        <f t="shared" si="3"/>
        <v>-54990.52108091116</v>
      </c>
      <c r="S19" s="44">
        <f t="shared" si="3"/>
        <v>-58999.250848542899</v>
      </c>
      <c r="T19" s="44">
        <f t="shared" si="3"/>
        <v>-63226.06931579113</v>
      </c>
      <c r="U19" s="44">
        <f t="shared" si="3"/>
        <v>-67681.509957809001</v>
      </c>
      <c r="V19" s="44">
        <f t="shared" si="3"/>
        <v>-70132.836008813232</v>
      </c>
      <c r="W19" s="44">
        <f t="shared" si="3"/>
        <v>-72672.945531286299</v>
      </c>
      <c r="X19" s="44">
        <f t="shared" si="3"/>
        <v>-75305.054133698344</v>
      </c>
      <c r="Y19" s="44">
        <f t="shared" si="3"/>
        <v>-78032.493889182806</v>
      </c>
      <c r="Z19" s="44">
        <f t="shared" si="3"/>
        <v>-80858.717553734779</v>
      </c>
      <c r="AA19" s="44">
        <f t="shared" si="3"/>
        <v>-83787.302937157452</v>
      </c>
      <c r="AB19" s="44">
        <f t="shared" si="3"/>
        <v>-86821.957432329655</v>
      </c>
      <c r="AC19" s="44">
        <f t="shared" si="3"/>
        <v>-89966.522708512843</v>
      </c>
      <c r="AD19" s="44">
        <f t="shared" si="3"/>
        <v>-93224.979574672878</v>
      </c>
      <c r="AE19" s="44">
        <f t="shared" si="3"/>
        <v>-96601.453018866479</v>
      </c>
      <c r="AF19" s="44">
        <f t="shared" si="3"/>
        <v>-100100.21743026376</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95</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-2970.0984485018998</v>
      </c>
      <c r="H24" s="44">
        <f t="shared" si="6"/>
        <v>-7283.5385055225343</v>
      </c>
      <c r="I24" s="44">
        <f t="shared" si="6"/>
        <v>-13023.722902042791</v>
      </c>
      <c r="J24" s="44">
        <f t="shared" si="6"/>
        <v>-20277.619821496308</v>
      </c>
      <c r="K24" s="44">
        <f t="shared" si="6"/>
        <v>-29135.89099021256</v>
      </c>
      <c r="L24" s="44">
        <f t="shared" si="6"/>
        <v>-35729.808085866272</v>
      </c>
      <c r="M24" s="44">
        <f t="shared" si="6"/>
        <v>-43139.73748934269</v>
      </c>
      <c r="N24" s="44">
        <f t="shared" si="6"/>
        <v>-51410.103298053145</v>
      </c>
      <c r="O24" s="44">
        <f t="shared" si="6"/>
        <v>-60587.143294084817</v>
      </c>
      <c r="P24" s="44">
        <f t="shared" si="6"/>
        <v>-70718.972752682865</v>
      </c>
      <c r="Q24" s="44">
        <f t="shared" si="6"/>
        <v>-80382.840373411775</v>
      </c>
      <c r="R24" s="44">
        <f t="shared" si="6"/>
        <v>-90838.784512035549</v>
      </c>
      <c r="S24" s="44">
        <f t="shared" si="6"/>
        <v>-102125.71976387501</v>
      </c>
      <c r="T24" s="44">
        <f t="shared" si="6"/>
        <v>-114284.08006910235</v>
      </c>
      <c r="U24" s="44">
        <f t="shared" si="6"/>
        <v>-127355.87087969482</v>
      </c>
      <c r="V24" s="44">
        <f t="shared" si="6"/>
        <v>-137002.07102336735</v>
      </c>
      <c r="W24" s="44">
        <f t="shared" si="6"/>
        <v>-147011.06373186409</v>
      </c>
      <c r="X24" s="44">
        <f t="shared" si="6"/>
        <v>-157394.14311715961</v>
      </c>
      <c r="Y24" s="44">
        <f t="shared" si="6"/>
        <v>-168162.92464055121</v>
      </c>
      <c r="Z24" s="44">
        <f t="shared" si="6"/>
        <v>-179329.35378570855</v>
      </c>
      <c r="AA24" s="44">
        <f t="shared" si="6"/>
        <v>-190905.71495772898</v>
      </c>
      <c r="AB24" s="44">
        <f t="shared" si="6"/>
        <v>-202904.64061409235</v>
      </c>
      <c r="AC24" s="44">
        <f t="shared" si="6"/>
        <v>-215339.12063328922</v>
      </c>
      <c r="AD24" s="44">
        <f t="shared" si="6"/>
        <v>-228222.51192727685</v>
      </c>
      <c r="AE24" s="44">
        <f t="shared" si="6"/>
        <v>-241568.54830381274</v>
      </c>
      <c r="AF24" s="44">
        <f t="shared" si="6"/>
        <v>-255391.35058513284</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17231022.355766729</v>
      </c>
      <c r="D27" s="2">
        <f t="shared" ref="D27:AF27" si="8">D12+D13+D14+D19+D20+D22+D24+D25</f>
        <v>19813726.234023381</v>
      </c>
      <c r="E27" s="2">
        <f t="shared" si="8"/>
        <v>22504819.902891681</v>
      </c>
      <c r="F27" s="2">
        <f t="shared" si="8"/>
        <v>25307934.42278745</v>
      </c>
      <c r="G27" s="2">
        <f t="shared" si="8"/>
        <v>28218420.199173406</v>
      </c>
      <c r="H27" s="2">
        <f t="shared" si="8"/>
        <v>31246311.249289803</v>
      </c>
      <c r="I27" s="2">
        <f t="shared" si="8"/>
        <v>34395446.795006827</v>
      </c>
      <c r="J27" s="2">
        <f t="shared" si="8"/>
        <v>37669781.63921722</v>
      </c>
      <c r="K27" s="2">
        <f t="shared" si="8"/>
        <v>41073389.529578879</v>
      </c>
      <c r="L27" s="2">
        <f t="shared" si="8"/>
        <v>44618285.190927707</v>
      </c>
      <c r="M27" s="2">
        <f t="shared" si="8"/>
        <v>48302552.104324259</v>
      </c>
      <c r="N27" s="2">
        <f t="shared" si="8"/>
        <v>52130736.035174429</v>
      </c>
      <c r="O27" s="2">
        <f t="shared" si="8"/>
        <v>56107520.207188353</v>
      </c>
      <c r="P27" s="2">
        <f t="shared" si="8"/>
        <v>60237729.332470305</v>
      </c>
      <c r="Q27" s="2">
        <f t="shared" si="8"/>
        <v>64528824.636867031</v>
      </c>
      <c r="R27" s="2">
        <f t="shared" si="8"/>
        <v>68983853.413110942</v>
      </c>
      <c r="S27" s="2">
        <f t="shared" si="8"/>
        <v>73608114.621330783</v>
      </c>
      <c r="T27" s="2">
        <f t="shared" si="8"/>
        <v>78407067.091501385</v>
      </c>
      <c r="U27" s="2">
        <f t="shared" si="8"/>
        <v>83386334.21586594</v>
      </c>
      <c r="V27" s="2">
        <f t="shared" si="8"/>
        <v>88558513.816121638</v>
      </c>
      <c r="W27" s="2">
        <f t="shared" si="8"/>
        <v>93923760.356283292</v>
      </c>
      <c r="X27" s="2">
        <f t="shared" si="8"/>
        <v>99488277.32613121</v>
      </c>
      <c r="Y27" s="2">
        <f t="shared" si="8"/>
        <v>105258455.3985597</v>
      </c>
      <c r="Z27" s="2">
        <f t="shared" si="8"/>
        <v>111240877.94108482</v>
      </c>
      <c r="AA27" s="2">
        <f t="shared" si="8"/>
        <v>117442326.68932827</v>
      </c>
      <c r="AB27" s="2">
        <f t="shared" si="8"/>
        <v>123869787.58730192</v>
      </c>
      <c r="AC27" s="2">
        <f t="shared" si="8"/>
        <v>130530456.79946329</v>
      </c>
      <c r="AD27" s="2">
        <f t="shared" si="8"/>
        <v>137431746.89966527</v>
      </c>
      <c r="AE27" s="2">
        <f t="shared" si="8"/>
        <v>144581293.24227899</v>
      </c>
      <c r="AF27" s="2">
        <f t="shared" si="8"/>
        <v>151986960.52093047</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3W2DU3RAJ5R2-1900874439-784</_dlc_DocId>
    <_dlc_DocIdUrl xmlns="f54e2983-00ce-40fc-8108-18f351fc47bf">
      <Url>https://dia.cohesion.net.nz/Sites/LGV/TWRP/CAE/_layouts/15/DocIdRedir.aspx?ID=3W2DU3RAJ5R2-1900874439-784</Url>
      <Description>3W2DU3RAJ5R2-1900874439-784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47F3AFE0-EF3B-4ED6-B709-D62D3BB00455}"/>
</file>

<file path=customXml/itemProps4.xml><?xml version="1.0" encoding="utf-8"?>
<ds:datastoreItem xmlns:ds="http://schemas.openxmlformats.org/officeDocument/2006/customXml" ds:itemID="{24402ACA-5E29-4E14-B26F-8FC0043F21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2021-06-28T21:56:29Z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f166476f-d890-4f3b-9e95-d96349512096</vt:lpwstr>
  </property>
</Properties>
</file>