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104" documentId="8_{A543AD3E-6EA9-4F7D-B856-01B7B6574F5B}" xr6:coauthVersionLast="47" xr6:coauthVersionMax="47" xr10:uidLastSave="{1FF4C142-551C-4530-A010-BBCAFA9551A3}"/>
  <bookViews>
    <workbookView xWindow="-110" yWindow="-11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c r="A9" i="19"/>
  <c r="B40" i="21"/>
  <c r="B27" i="21"/>
  <c r="A21" i="21"/>
  <c r="A34" i="21"/>
  <c r="B8" i="21"/>
  <c r="B21" i="21"/>
  <c r="B34" i="21"/>
  <c r="C83" i="2"/>
  <c r="C87" i="2"/>
  <c r="C82" i="2"/>
  <c r="C89" i="2"/>
  <c r="C94" i="2"/>
  <c r="C90" i="2"/>
  <c r="C95" i="2"/>
  <c r="C96" i="2"/>
  <c r="C102" i="2"/>
  <c r="D113" i="2"/>
  <c r="C58" i="2"/>
  <c r="C106" i="2"/>
  <c r="C63" i="2"/>
  <c r="C107" i="2"/>
  <c r="D11" i="2"/>
  <c r="F9" i="2"/>
  <c r="E9" i="2"/>
  <c r="D9" i="2"/>
  <c r="G11" i="2"/>
  <c r="V9" i="2"/>
  <c r="E11" i="2"/>
  <c r="F11" i="2"/>
  <c r="H11" i="2"/>
  <c r="I11" i="2"/>
  <c r="C67" i="2"/>
  <c r="C72" i="2"/>
  <c r="C5" i="3"/>
  <c r="B7" i="2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B11" i="5"/>
  <c r="C22" i="6"/>
  <c r="E113" i="2"/>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c r="V12" i="9"/>
  <c r="V21" i="9"/>
  <c r="H116" i="2"/>
  <c r="G6" i="9"/>
  <c r="G12" i="9"/>
  <c r="G21" i="9"/>
  <c r="W116" i="2"/>
  <c r="J116" i="2"/>
  <c r="O116" i="2"/>
  <c r="P116" i="2"/>
  <c r="V116" i="2"/>
  <c r="AB6" i="9"/>
  <c r="AB12" i="9"/>
  <c r="AB21" i="9"/>
  <c r="F6" i="9"/>
  <c r="F12" i="9"/>
  <c r="AE6" i="9"/>
  <c r="AE12" i="9"/>
  <c r="AE21" i="9"/>
  <c r="H6" i="9"/>
  <c r="H12" i="9"/>
  <c r="H21" i="9"/>
  <c r="L116" i="2"/>
  <c r="T6" i="9"/>
  <c r="T12" i="9"/>
  <c r="T21" i="9"/>
  <c r="Q6" i="9"/>
  <c r="Q12" i="9"/>
  <c r="Q21" i="9"/>
  <c r="S116" i="2"/>
  <c r="E116" i="2"/>
  <c r="AA6" i="9"/>
  <c r="AA12" i="9"/>
  <c r="AA21" i="9"/>
  <c r="F115" i="2"/>
  <c r="W6" i="9"/>
  <c r="W12" i="9"/>
  <c r="W21" i="9"/>
  <c r="Z6" i="9"/>
  <c r="Z12" i="9"/>
  <c r="Z21" i="9"/>
  <c r="Q116" i="2"/>
  <c r="M116" i="2"/>
  <c r="S6" i="9"/>
  <c r="S12" i="9"/>
  <c r="S21" i="9"/>
  <c r="AC6" i="9"/>
  <c r="AC12" i="9"/>
  <c r="AC21" i="9"/>
  <c r="K116" i="2"/>
  <c r="C6" i="9"/>
  <c r="C12" i="9"/>
  <c r="C21" i="9"/>
  <c r="D116" i="2"/>
  <c r="D115" i="2"/>
  <c r="X6" i="9"/>
  <c r="X12" i="9"/>
  <c r="X21" i="9"/>
  <c r="Y116" i="2"/>
  <c r="AF6" i="9"/>
  <c r="AF12" i="9"/>
  <c r="AF21" i="9"/>
  <c r="AG116" i="2"/>
  <c r="N6" i="9"/>
  <c r="N12" i="9"/>
  <c r="N21" i="9"/>
  <c r="AD6" i="9"/>
  <c r="AD12" i="9"/>
  <c r="AD21" i="9"/>
  <c r="AE116" i="2"/>
  <c r="Y6" i="9"/>
  <c r="Y12" i="9"/>
  <c r="Y21" i="9"/>
  <c r="Z116" i="2"/>
  <c r="O6" i="9"/>
  <c r="O12" i="9"/>
  <c r="O21" i="9"/>
  <c r="M6" i="9"/>
  <c r="M12" i="9"/>
  <c r="M21" i="9"/>
  <c r="N116" i="2"/>
  <c r="D118" i="2"/>
  <c r="D120" i="2"/>
  <c r="C9" i="6"/>
  <c r="I6" i="9"/>
  <c r="I12" i="9"/>
  <c r="I21" i="9"/>
  <c r="R6" i="9"/>
  <c r="R12" i="9"/>
  <c r="R21" i="9"/>
  <c r="K6" i="9"/>
  <c r="K12" i="9"/>
  <c r="K21" i="9"/>
  <c r="E115" i="2"/>
  <c r="E118" i="2"/>
  <c r="I116" i="2"/>
  <c r="U116" i="2"/>
  <c r="F20" i="9"/>
  <c r="F21" i="9"/>
  <c r="J6" i="9"/>
  <c r="J12" i="9"/>
  <c r="J21" i="9"/>
  <c r="G116" i="2"/>
  <c r="AA116" i="2"/>
  <c r="X116" i="2"/>
  <c r="AD116" i="2"/>
  <c r="T116" i="2"/>
  <c r="U6" i="9"/>
  <c r="U12" i="9"/>
  <c r="U21" i="9"/>
  <c r="G115" i="2"/>
  <c r="AB116" i="2"/>
  <c r="AC116" i="2"/>
  <c r="R116" i="2"/>
  <c r="P6" i="9"/>
  <c r="P12" i="9"/>
  <c r="P21" i="9"/>
  <c r="AF116" i="2"/>
  <c r="L6" i="9"/>
  <c r="L12" i="9"/>
  <c r="L21" i="9"/>
  <c r="E6" i="9"/>
  <c r="E12" i="9"/>
  <c r="F116" i="2"/>
  <c r="F118" i="2"/>
  <c r="C113" i="2"/>
  <c r="C114" i="2"/>
  <c r="D6" i="9"/>
  <c r="D12" i="9"/>
  <c r="C20" i="9"/>
  <c r="G118" i="2"/>
  <c r="G120" i="2"/>
  <c r="F9" i="6"/>
  <c r="D20" i="9"/>
  <c r="D21" i="9"/>
  <c r="E20" i="9"/>
  <c r="E21" i="9"/>
  <c r="E120" i="2"/>
  <c r="D9" i="6"/>
  <c r="F120" i="2"/>
  <c r="E9" i="6"/>
  <c r="D122" i="2"/>
  <c r="C7" i="9"/>
  <c r="C13" i="9"/>
  <c r="C23" i="9"/>
  <c r="F7" i="9"/>
  <c r="F13" i="9"/>
  <c r="F23" i="9"/>
  <c r="E7" i="9"/>
  <c r="E13" i="9"/>
  <c r="E23" i="9"/>
  <c r="D7" i="9"/>
  <c r="D13" i="9"/>
  <c r="D23" i="9"/>
  <c r="C129" i="2"/>
  <c r="C135" i="2"/>
  <c r="B10" i="21"/>
  <c r="B12" i="21"/>
  <c r="B16" i="21"/>
  <c r="G22" i="8"/>
  <c r="F22" i="8"/>
  <c r="C22" i="8"/>
  <c r="E22" i="8"/>
  <c r="D22" i="8"/>
  <c r="C14" i="8"/>
  <c r="E122" i="2"/>
  <c r="D14" i="8"/>
  <c r="G122" i="2"/>
  <c r="F14" i="8"/>
  <c r="F122" i="2"/>
  <c r="E14" i="8"/>
  <c r="H44" i="2"/>
  <c r="C24" i="8"/>
  <c r="C25" i="8"/>
  <c r="D24" i="8"/>
  <c r="D25" i="8"/>
  <c r="E24" i="8"/>
  <c r="E25" i="8"/>
  <c r="F24" i="8"/>
  <c r="F25" i="8"/>
  <c r="H43" i="2"/>
  <c r="H115" i="2"/>
  <c r="H118" i="2"/>
  <c r="I44" i="2"/>
  <c r="J44" i="2"/>
  <c r="G15" i="9"/>
  <c r="G20" i="9"/>
  <c r="I43" i="2"/>
  <c r="G16" i="8"/>
  <c r="D13" i="2"/>
  <c r="D135" i="2"/>
  <c r="E13" i="2"/>
  <c r="F13" i="2"/>
  <c r="C5" i="8"/>
  <c r="G13" i="2"/>
  <c r="I115" i="2"/>
  <c r="I118" i="2"/>
  <c r="I122" i="2"/>
  <c r="H14" i="8"/>
  <c r="H25" i="8"/>
  <c r="H120" i="2"/>
  <c r="H122" i="2"/>
  <c r="G14" i="8"/>
  <c r="G24" i="8"/>
  <c r="H15" i="9"/>
  <c r="H20" i="9"/>
  <c r="AF13" i="2"/>
  <c r="J43" i="2"/>
  <c r="H16" i="8"/>
  <c r="I15" i="9"/>
  <c r="I20" i="9"/>
  <c r="K44" i="2"/>
  <c r="J115" i="2"/>
  <c r="J118" i="2"/>
  <c r="G7" i="9"/>
  <c r="G13" i="9"/>
  <c r="G23" i="9"/>
  <c r="G9" i="6"/>
  <c r="I120" i="2"/>
  <c r="G25" i="8"/>
  <c r="H24" i="8"/>
  <c r="AE13" i="2"/>
  <c r="AD12" i="8"/>
  <c r="V13" i="2"/>
  <c r="U12" i="8"/>
  <c r="U13" i="2"/>
  <c r="U135" i="2"/>
  <c r="J13" i="2"/>
  <c r="J135" i="2"/>
  <c r="E135" i="2"/>
  <c r="C12" i="8"/>
  <c r="C20" i="8"/>
  <c r="O13" i="2"/>
  <c r="N12" i="8"/>
  <c r="AB13" i="2"/>
  <c r="AA12" i="8"/>
  <c r="S13" i="2"/>
  <c r="R12" i="8"/>
  <c r="Z13" i="2"/>
  <c r="Z135" i="2"/>
  <c r="AG13" i="2"/>
  <c r="AF12" i="8"/>
  <c r="AC13" i="2"/>
  <c r="AB12" i="8"/>
  <c r="AA13" i="2"/>
  <c r="AA135" i="2"/>
  <c r="Q13" i="2"/>
  <c r="P12" i="8"/>
  <c r="P13" i="2"/>
  <c r="O12" i="8"/>
  <c r="G135" i="2"/>
  <c r="E12" i="8"/>
  <c r="W13" i="2"/>
  <c r="V12" i="8"/>
  <c r="T13" i="2"/>
  <c r="T135" i="2"/>
  <c r="Y13" i="2"/>
  <c r="X12" i="8"/>
  <c r="N13" i="2"/>
  <c r="M12" i="8"/>
  <c r="L13" i="2"/>
  <c r="K12" i="8"/>
  <c r="R13" i="2"/>
  <c r="R135" i="2"/>
  <c r="I13" i="2"/>
  <c r="H12" i="8"/>
  <c r="X13" i="2"/>
  <c r="X135" i="2"/>
  <c r="AD13" i="2"/>
  <c r="AC12" i="8"/>
  <c r="K13" i="2"/>
  <c r="K135" i="2"/>
  <c r="M13" i="2"/>
  <c r="L12" i="8"/>
  <c r="H13" i="2"/>
  <c r="G12" i="8"/>
  <c r="J120" i="2"/>
  <c r="I9" i="6"/>
  <c r="J122" i="2"/>
  <c r="I14" i="8"/>
  <c r="J15" i="9"/>
  <c r="J20" i="9"/>
  <c r="L44" i="2"/>
  <c r="K115" i="2"/>
  <c r="K118" i="2"/>
  <c r="K122" i="2"/>
  <c r="J14" i="8"/>
  <c r="K43" i="2"/>
  <c r="I16" i="8"/>
  <c r="AF135" i="2"/>
  <c r="AE12" i="8"/>
  <c r="H7" i="9"/>
  <c r="H13" i="9"/>
  <c r="H23" i="9"/>
  <c r="H9" i="6"/>
  <c r="S12" i="8"/>
  <c r="S20" i="8"/>
  <c r="Y135" i="2"/>
  <c r="AB135" i="2"/>
  <c r="I135" i="2"/>
  <c r="O135" i="2"/>
  <c r="Q135" i="2"/>
  <c r="AE135" i="2"/>
  <c r="N135" i="2"/>
  <c r="C19" i="8"/>
  <c r="P135" i="2"/>
  <c r="V135" i="2"/>
  <c r="W12" i="8"/>
  <c r="W20" i="8"/>
  <c r="Z12" i="8"/>
  <c r="Z20" i="8"/>
  <c r="E6" i="7"/>
  <c r="D5" i="8"/>
  <c r="E5" i="8"/>
  <c r="F5" i="8"/>
  <c r="G5" i="8"/>
  <c r="H5" i="8"/>
  <c r="I5" i="8"/>
  <c r="J5" i="8"/>
  <c r="K5" i="8"/>
  <c r="L5" i="8"/>
  <c r="B20" i="21"/>
  <c r="I12" i="8"/>
  <c r="I20" i="8"/>
  <c r="S135" i="2"/>
  <c r="D12" i="8"/>
  <c r="D19" i="8"/>
  <c r="L135" i="2"/>
  <c r="Y12" i="8"/>
  <c r="Y20" i="8"/>
  <c r="Q12" i="8"/>
  <c r="Q20" i="8"/>
  <c r="H135" i="2"/>
  <c r="AG135" i="2"/>
  <c r="B36" i="21"/>
  <c r="J12" i="8"/>
  <c r="J20" i="8"/>
  <c r="AD135" i="2"/>
  <c r="F12" i="8"/>
  <c r="F20" i="8"/>
  <c r="AC135" i="2"/>
  <c r="M135" i="2"/>
  <c r="B23" i="21"/>
  <c r="W135" i="2"/>
  <c r="T12" i="8"/>
  <c r="T20" i="8"/>
  <c r="F135" i="2"/>
  <c r="J25" i="8"/>
  <c r="L43" i="2"/>
  <c r="J16" i="8"/>
  <c r="J24" i="8"/>
  <c r="K120" i="2"/>
  <c r="J9" i="6"/>
  <c r="I25" i="8"/>
  <c r="I24" i="8"/>
  <c r="K15" i="9"/>
  <c r="K20" i="9"/>
  <c r="M44" i="2"/>
  <c r="L115" i="2"/>
  <c r="L118" i="2"/>
  <c r="L120" i="2"/>
  <c r="K9" i="6"/>
  <c r="I7" i="9"/>
  <c r="I13" i="9"/>
  <c r="I23" i="9"/>
  <c r="P20" i="8"/>
  <c r="U20" i="8"/>
  <c r="AA20" i="8"/>
  <c r="AB20" i="8"/>
  <c r="G20" i="8"/>
  <c r="G19" i="8"/>
  <c r="AD20" i="8"/>
  <c r="L20" i="8"/>
  <c r="V20" i="8"/>
  <c r="AF20" i="8"/>
  <c r="K20" i="8"/>
  <c r="E19" i="8"/>
  <c r="E20" i="8"/>
  <c r="R20" i="8"/>
  <c r="O20" i="8"/>
  <c r="N20" i="8"/>
  <c r="M20" i="8"/>
  <c r="AE20" i="8"/>
  <c r="AC20" i="8"/>
  <c r="X20" i="8"/>
  <c r="H19" i="8"/>
  <c r="H20" i="8"/>
  <c r="C17" i="2"/>
  <c r="B25" i="21"/>
  <c r="B29" i="21"/>
  <c r="C66" i="2"/>
  <c r="C68" i="2"/>
  <c r="C71" i="2"/>
  <c r="C73" i="2"/>
  <c r="C75" i="2"/>
  <c r="C27" i="8"/>
  <c r="C6" i="8"/>
  <c r="I19" i="8"/>
  <c r="I27" i="8"/>
  <c r="I6" i="8"/>
  <c r="M5" i="8"/>
  <c r="N5" i="8"/>
  <c r="O5" i="8"/>
  <c r="P5" i="8"/>
  <c r="Q5" i="8"/>
  <c r="R5" i="8"/>
  <c r="S5" i="8"/>
  <c r="T5" i="8"/>
  <c r="U5" i="8"/>
  <c r="V5" i="8"/>
  <c r="W5" i="8"/>
  <c r="X5" i="8"/>
  <c r="Y5" i="8"/>
  <c r="Z5" i="8"/>
  <c r="AA5" i="8"/>
  <c r="AB5" i="8"/>
  <c r="AC5" i="8"/>
  <c r="AD5" i="8"/>
  <c r="AE5" i="8"/>
  <c r="AF5" i="8"/>
  <c r="B33" i="21"/>
  <c r="B38" i="21"/>
  <c r="B42" i="21"/>
  <c r="F19" i="8"/>
  <c r="F27" i="8"/>
  <c r="F6" i="8"/>
  <c r="D20" i="8"/>
  <c r="D27" i="8"/>
  <c r="D6" i="8"/>
  <c r="L122" i="2"/>
  <c r="K14" i="8"/>
  <c r="K25" i="8"/>
  <c r="J19" i="8"/>
  <c r="J27" i="8"/>
  <c r="J6" i="8"/>
  <c r="L15" i="9"/>
  <c r="L20" i="9"/>
  <c r="N44" i="2"/>
  <c r="M115" i="2"/>
  <c r="M118" i="2"/>
  <c r="M120" i="2"/>
  <c r="L9" i="6"/>
  <c r="K16" i="8"/>
  <c r="K19" i="8"/>
  <c r="M43" i="2"/>
  <c r="J7" i="9"/>
  <c r="J13" i="9"/>
  <c r="J23" i="9"/>
  <c r="K7" i="9"/>
  <c r="K13" i="9"/>
  <c r="K23" i="9"/>
  <c r="H27" i="8"/>
  <c r="H6" i="8"/>
  <c r="G27" i="8"/>
  <c r="G6" i="8"/>
  <c r="E27" i="8"/>
  <c r="E6" i="8"/>
  <c r="D111" i="2"/>
  <c r="C5" i="9"/>
  <c r="C11" i="9"/>
  <c r="C18" i="2"/>
  <c r="C7" i="6"/>
  <c r="B6" i="5"/>
  <c r="K24" i="8"/>
  <c r="K27" i="8"/>
  <c r="K6" i="8"/>
  <c r="M122" i="2"/>
  <c r="L14" i="8"/>
  <c r="L7" i="9"/>
  <c r="L13" i="9"/>
  <c r="L23" i="9"/>
  <c r="M15" i="9"/>
  <c r="M20" i="9"/>
  <c r="O44" i="2"/>
  <c r="N115" i="2"/>
  <c r="N118" i="2"/>
  <c r="N43" i="2"/>
  <c r="L16" i="8"/>
  <c r="L19" i="8"/>
  <c r="I111" i="2"/>
  <c r="H5" i="9"/>
  <c r="H11" i="9"/>
  <c r="H18" i="9"/>
  <c r="H25" i="9"/>
  <c r="H18" i="6"/>
  <c r="C6" i="6"/>
  <c r="AB111" i="2"/>
  <c r="AA8" i="6"/>
  <c r="AG111" i="2"/>
  <c r="AF5" i="9"/>
  <c r="AF11" i="9"/>
  <c r="AF18" i="9"/>
  <c r="M111" i="2"/>
  <c r="L8" i="6"/>
  <c r="K111" i="2"/>
  <c r="J5" i="9"/>
  <c r="J11" i="9"/>
  <c r="AE111" i="2"/>
  <c r="AD5" i="9"/>
  <c r="AD11" i="9"/>
  <c r="AF111" i="2"/>
  <c r="AE5" i="9"/>
  <c r="AE11" i="9"/>
  <c r="AE18" i="9"/>
  <c r="Z111" i="2"/>
  <c r="Y8" i="6"/>
  <c r="J111" i="2"/>
  <c r="I5" i="9"/>
  <c r="I11" i="9"/>
  <c r="I18" i="9"/>
  <c r="I25" i="9"/>
  <c r="I18" i="6"/>
  <c r="F111" i="2"/>
  <c r="E5" i="9"/>
  <c r="E11" i="9"/>
  <c r="G111" i="2"/>
  <c r="F8" i="6"/>
  <c r="N111" i="2"/>
  <c r="M5" i="9"/>
  <c r="M11" i="9"/>
  <c r="M18" i="9"/>
  <c r="T111" i="2"/>
  <c r="S5" i="9"/>
  <c r="S11" i="9"/>
  <c r="S18" i="9"/>
  <c r="X111" i="2"/>
  <c r="W8" i="6"/>
  <c r="AC111" i="2"/>
  <c r="AB5" i="9"/>
  <c r="AB11" i="9"/>
  <c r="Y111" i="2"/>
  <c r="X5" i="9"/>
  <c r="X11" i="9"/>
  <c r="S111" i="2"/>
  <c r="R5" i="9"/>
  <c r="R11" i="9"/>
  <c r="R18" i="9"/>
  <c r="W111" i="2"/>
  <c r="V5" i="9"/>
  <c r="V11" i="9"/>
  <c r="V18" i="9"/>
  <c r="O111" i="2"/>
  <c r="N8" i="6"/>
  <c r="P111" i="2"/>
  <c r="O5" i="9"/>
  <c r="O11" i="9"/>
  <c r="O18" i="9"/>
  <c r="H111" i="2"/>
  <c r="G8" i="6"/>
  <c r="R111" i="2"/>
  <c r="Q5" i="9"/>
  <c r="Q11" i="9"/>
  <c r="Q18" i="9"/>
  <c r="E111" i="2"/>
  <c r="D8" i="6"/>
  <c r="AD111" i="2"/>
  <c r="AC5" i="9"/>
  <c r="AC11" i="9"/>
  <c r="AC18" i="9"/>
  <c r="L111" i="2"/>
  <c r="K5" i="9"/>
  <c r="K11" i="9"/>
  <c r="K18" i="9"/>
  <c r="K25" i="9"/>
  <c r="K18" i="6"/>
  <c r="V111" i="2"/>
  <c r="U5" i="9"/>
  <c r="U11" i="9"/>
  <c r="AA111" i="2"/>
  <c r="Z5" i="9"/>
  <c r="Z11" i="9"/>
  <c r="Z18" i="9"/>
  <c r="Q111" i="2"/>
  <c r="P5" i="9"/>
  <c r="P11" i="9"/>
  <c r="U111" i="2"/>
  <c r="T5" i="9"/>
  <c r="T11" i="9"/>
  <c r="C18" i="9"/>
  <c r="C25" i="9"/>
  <c r="C10" i="4"/>
  <c r="H8" i="6"/>
  <c r="H7" i="8"/>
  <c r="N122" i="2"/>
  <c r="M14" i="8"/>
  <c r="L24" i="8"/>
  <c r="L25" i="8"/>
  <c r="N15" i="9"/>
  <c r="N20" i="9"/>
  <c r="P44" i="2"/>
  <c r="O115" i="2"/>
  <c r="O118" i="2"/>
  <c r="O122" i="2"/>
  <c r="N14" i="8"/>
  <c r="O43" i="2"/>
  <c r="M16" i="8"/>
  <c r="M19" i="8"/>
  <c r="N120" i="2"/>
  <c r="M9" i="6"/>
  <c r="AB8" i="6"/>
  <c r="W5" i="9"/>
  <c r="W11" i="9"/>
  <c r="W18" i="9"/>
  <c r="I8" i="6"/>
  <c r="I7" i="8"/>
  <c r="O8" i="6"/>
  <c r="L5" i="9"/>
  <c r="L11" i="9"/>
  <c r="L18" i="9"/>
  <c r="L25" i="9"/>
  <c r="L18" i="6"/>
  <c r="AC8" i="6"/>
  <c r="AF8" i="6"/>
  <c r="N5" i="9"/>
  <c r="N11" i="9"/>
  <c r="N18" i="9"/>
  <c r="M8" i="6"/>
  <c r="AA5" i="9"/>
  <c r="AA11" i="9"/>
  <c r="AA18" i="9"/>
  <c r="Z8" i="6"/>
  <c r="P8" i="6"/>
  <c r="K8" i="6"/>
  <c r="K7" i="8"/>
  <c r="U8" i="6"/>
  <c r="Y5" i="9"/>
  <c r="Y11" i="9"/>
  <c r="Y18" i="9"/>
  <c r="S8" i="6"/>
  <c r="AD8" i="6"/>
  <c r="V8" i="6"/>
  <c r="X8" i="6"/>
  <c r="D5" i="9"/>
  <c r="D11" i="9"/>
  <c r="D18" i="9"/>
  <c r="D25" i="9"/>
  <c r="D18" i="6"/>
  <c r="C8" i="6"/>
  <c r="C12" i="6"/>
  <c r="D7" i="6"/>
  <c r="D12" i="6"/>
  <c r="G5" i="9"/>
  <c r="G11" i="9"/>
  <c r="G18" i="9"/>
  <c r="G25" i="9"/>
  <c r="G18" i="6"/>
  <c r="F5" i="9"/>
  <c r="F11" i="9"/>
  <c r="F18" i="9"/>
  <c r="F25" i="9"/>
  <c r="F18" i="6"/>
  <c r="J8" i="6"/>
  <c r="J7" i="8"/>
  <c r="Q8" i="6"/>
  <c r="R8" i="6"/>
  <c r="E8" i="6"/>
  <c r="E6" i="4"/>
  <c r="T8" i="6"/>
  <c r="AE8" i="6"/>
  <c r="H10" i="4"/>
  <c r="D6" i="4"/>
  <c r="D7" i="8"/>
  <c r="AB18" i="9"/>
  <c r="T18" i="9"/>
  <c r="U18" i="9"/>
  <c r="I10" i="4"/>
  <c r="E18" i="9"/>
  <c r="E25" i="9"/>
  <c r="E18" i="6"/>
  <c r="L7" i="8"/>
  <c r="L6" i="4"/>
  <c r="K10" i="4"/>
  <c r="AD18" i="9"/>
  <c r="P18" i="9"/>
  <c r="G6" i="4"/>
  <c r="G7" i="8"/>
  <c r="X18" i="9"/>
  <c r="F6" i="4"/>
  <c r="F7" i="8"/>
  <c r="J18" i="9"/>
  <c r="J25" i="9"/>
  <c r="J18" i="6"/>
  <c r="C18" i="6"/>
  <c r="C19" i="6"/>
  <c r="C20" i="6"/>
  <c r="C23" i="6"/>
  <c r="L27" i="8"/>
  <c r="L6" i="8"/>
  <c r="H6" i="4"/>
  <c r="O120" i="2"/>
  <c r="N9" i="6"/>
  <c r="O15" i="9"/>
  <c r="O20" i="9"/>
  <c r="Q44" i="2"/>
  <c r="P115" i="2"/>
  <c r="P118" i="2"/>
  <c r="M7" i="9"/>
  <c r="M13" i="9"/>
  <c r="M7" i="8"/>
  <c r="M24" i="8"/>
  <c r="M25" i="8"/>
  <c r="P43" i="2"/>
  <c r="N16" i="8"/>
  <c r="N19" i="8"/>
  <c r="N25" i="8"/>
  <c r="I6" i="4"/>
  <c r="L10" i="4"/>
  <c r="J6" i="4"/>
  <c r="K6" i="4"/>
  <c r="E7" i="8"/>
  <c r="D10" i="4"/>
  <c r="F10" i="4"/>
  <c r="H10" i="6"/>
  <c r="G10" i="6"/>
  <c r="C6" i="4"/>
  <c r="K10" i="6"/>
  <c r="B7" i="5"/>
  <c r="B8" i="5"/>
  <c r="B10" i="5"/>
  <c r="J10" i="6"/>
  <c r="C10" i="6"/>
  <c r="L10" i="6"/>
  <c r="I10" i="6"/>
  <c r="C7" i="8"/>
  <c r="D10" i="6"/>
  <c r="F10" i="6"/>
  <c r="E10" i="6"/>
  <c r="J10" i="4"/>
  <c r="C7" i="5"/>
  <c r="E7" i="6"/>
  <c r="E12" i="6"/>
  <c r="G10" i="4"/>
  <c r="E10" i="4"/>
  <c r="D19" i="6"/>
  <c r="D20" i="6"/>
  <c r="N7" i="9"/>
  <c r="N13" i="9"/>
  <c r="N23" i="9"/>
  <c r="M10" i="6"/>
  <c r="N10" i="6"/>
  <c r="M6" i="4"/>
  <c r="N24" i="8"/>
  <c r="N27" i="8"/>
  <c r="N6" i="8"/>
  <c r="M27" i="8"/>
  <c r="M6" i="8"/>
  <c r="Q43" i="2"/>
  <c r="O16" i="8"/>
  <c r="O19" i="8"/>
  <c r="N6" i="4"/>
  <c r="N7" i="8"/>
  <c r="P122" i="2"/>
  <c r="O14" i="8"/>
  <c r="P120" i="2"/>
  <c r="O9" i="6"/>
  <c r="M23" i="9"/>
  <c r="M25" i="9"/>
  <c r="M18" i="6"/>
  <c r="P15" i="9"/>
  <c r="P20" i="9"/>
  <c r="R44" i="2"/>
  <c r="Q115" i="2"/>
  <c r="Q118" i="2"/>
  <c r="E8" i="7"/>
  <c r="D7" i="5"/>
  <c r="F7" i="6"/>
  <c r="F12" i="6"/>
  <c r="E19" i="6"/>
  <c r="E20" i="6"/>
  <c r="F19" i="6"/>
  <c r="F20" i="6"/>
  <c r="G19" i="6"/>
  <c r="G20" i="6"/>
  <c r="H19" i="6"/>
  <c r="H20" i="6"/>
  <c r="I19" i="6"/>
  <c r="I20" i="6"/>
  <c r="J19" i="6"/>
  <c r="J20" i="6"/>
  <c r="K19" i="6"/>
  <c r="K20" i="6"/>
  <c r="L19" i="6"/>
  <c r="L20" i="6"/>
  <c r="M19" i="6"/>
  <c r="M20" i="6"/>
  <c r="N25" i="9"/>
  <c r="N18" i="6"/>
  <c r="Q15" i="9"/>
  <c r="Q20" i="9"/>
  <c r="S44" i="2"/>
  <c r="R115" i="2"/>
  <c r="R118" i="2"/>
  <c r="P16" i="8"/>
  <c r="P19" i="8"/>
  <c r="R43" i="2"/>
  <c r="M10" i="4"/>
  <c r="O7" i="9"/>
  <c r="O13" i="9"/>
  <c r="O25" i="8"/>
  <c r="O24" i="8"/>
  <c r="Q122" i="2"/>
  <c r="P14" i="8"/>
  <c r="Q120" i="2"/>
  <c r="P9" i="6"/>
  <c r="E7" i="5"/>
  <c r="G7" i="6"/>
  <c r="G12" i="6"/>
  <c r="N19" i="6"/>
  <c r="N20" i="6"/>
  <c r="N10" i="4"/>
  <c r="O27" i="8"/>
  <c r="O6" i="8"/>
  <c r="O7" i="8"/>
  <c r="O6" i="4"/>
  <c r="O10" i="6"/>
  <c r="O23" i="9"/>
  <c r="O25" i="9"/>
  <c r="O18" i="6"/>
  <c r="P25" i="8"/>
  <c r="P24" i="8"/>
  <c r="R15" i="9"/>
  <c r="R20" i="9"/>
  <c r="T44" i="2"/>
  <c r="S115" i="2"/>
  <c r="S118" i="2"/>
  <c r="P7" i="9"/>
  <c r="P13" i="9"/>
  <c r="S43" i="2"/>
  <c r="Q16" i="8"/>
  <c r="Q19" i="8"/>
  <c r="R122" i="2"/>
  <c r="Q14" i="8"/>
  <c r="R120" i="2"/>
  <c r="Q9" i="6"/>
  <c r="F7" i="5"/>
  <c r="H7" i="6"/>
  <c r="H12" i="6"/>
  <c r="O19" i="6"/>
  <c r="O20" i="6"/>
  <c r="P27" i="8"/>
  <c r="P6" i="8"/>
  <c r="O10" i="4"/>
  <c r="P23" i="9"/>
  <c r="P25" i="9"/>
  <c r="P18" i="6"/>
  <c r="S120" i="2"/>
  <c r="R9" i="6"/>
  <c r="S122" i="2"/>
  <c r="R14" i="8"/>
  <c r="S15" i="9"/>
  <c r="S20" i="9"/>
  <c r="U44" i="2"/>
  <c r="T115" i="2"/>
  <c r="T118" i="2"/>
  <c r="Q25" i="8"/>
  <c r="Q24" i="8"/>
  <c r="P7" i="8"/>
  <c r="P6" i="4"/>
  <c r="Q7" i="9"/>
  <c r="Q13" i="9"/>
  <c r="Q10" i="6"/>
  <c r="P10" i="6"/>
  <c r="T43" i="2"/>
  <c r="R16" i="8"/>
  <c r="R19" i="8"/>
  <c r="G7" i="5"/>
  <c r="I7" i="6"/>
  <c r="I12" i="6"/>
  <c r="P19" i="6"/>
  <c r="P20" i="6"/>
  <c r="Q27" i="8"/>
  <c r="Q6" i="8"/>
  <c r="U43" i="2"/>
  <c r="S16" i="8"/>
  <c r="S19" i="8"/>
  <c r="Q6" i="4"/>
  <c r="Q7" i="8"/>
  <c r="P10" i="4"/>
  <c r="Q23" i="9"/>
  <c r="Q25" i="9"/>
  <c r="Q18" i="6"/>
  <c r="T122" i="2"/>
  <c r="S14" i="8"/>
  <c r="T120" i="2"/>
  <c r="S9" i="6"/>
  <c r="R25" i="8"/>
  <c r="R24" i="8"/>
  <c r="R7" i="9"/>
  <c r="R13" i="9"/>
  <c r="T15" i="9"/>
  <c r="T20" i="9"/>
  <c r="V44" i="2"/>
  <c r="U115" i="2"/>
  <c r="U118" i="2"/>
  <c r="J7" i="6"/>
  <c r="J12" i="6"/>
  <c r="H7" i="5"/>
  <c r="Q19" i="6"/>
  <c r="Q20" i="6"/>
  <c r="R27" i="8"/>
  <c r="R6" i="8"/>
  <c r="U120" i="2"/>
  <c r="T9" i="6"/>
  <c r="U122" i="2"/>
  <c r="T14" i="8"/>
  <c r="S24" i="8"/>
  <c r="S25" i="8"/>
  <c r="T16" i="8"/>
  <c r="T19" i="8"/>
  <c r="V43" i="2"/>
  <c r="U15" i="9"/>
  <c r="U20" i="9"/>
  <c r="W44" i="2"/>
  <c r="V115" i="2"/>
  <c r="V118" i="2"/>
  <c r="Q10" i="4"/>
  <c r="R23" i="9"/>
  <c r="R25" i="9"/>
  <c r="R18" i="6"/>
  <c r="R6" i="4"/>
  <c r="R7" i="8"/>
  <c r="S7" i="9"/>
  <c r="S13" i="9"/>
  <c r="S10" i="6"/>
  <c r="R10" i="6"/>
  <c r="I7" i="5"/>
  <c r="K7" i="6"/>
  <c r="K12" i="6"/>
  <c r="R19" i="6"/>
  <c r="R20" i="6"/>
  <c r="S27" i="8"/>
  <c r="S6" i="8"/>
  <c r="V15" i="9"/>
  <c r="V20" i="9"/>
  <c r="X44" i="2"/>
  <c r="W115" i="2"/>
  <c r="W118" i="2"/>
  <c r="S7" i="8"/>
  <c r="S6" i="4"/>
  <c r="S23" i="9"/>
  <c r="S25" i="9"/>
  <c r="S18" i="6"/>
  <c r="R10" i="4"/>
  <c r="V120" i="2"/>
  <c r="U9" i="6"/>
  <c r="V122" i="2"/>
  <c r="U14" i="8"/>
  <c r="T25" i="8"/>
  <c r="T24" i="8"/>
  <c r="T7" i="9"/>
  <c r="T13" i="9"/>
  <c r="W43" i="2"/>
  <c r="U16" i="8"/>
  <c r="U19" i="8"/>
  <c r="J7" i="5"/>
  <c r="L7" i="6"/>
  <c r="L12" i="6"/>
  <c r="S19" i="6"/>
  <c r="S20" i="6"/>
  <c r="T27" i="8"/>
  <c r="T6" i="8"/>
  <c r="S10" i="4"/>
  <c r="U7" i="9"/>
  <c r="U13" i="9"/>
  <c r="W15" i="9"/>
  <c r="W20" i="9"/>
  <c r="Y44" i="2"/>
  <c r="X115" i="2"/>
  <c r="X118" i="2"/>
  <c r="X43" i="2"/>
  <c r="V16" i="8"/>
  <c r="V19" i="8"/>
  <c r="T23" i="9"/>
  <c r="T25" i="9"/>
  <c r="T18" i="6"/>
  <c r="U24" i="8"/>
  <c r="U25" i="8"/>
  <c r="W120" i="2"/>
  <c r="V9" i="6"/>
  <c r="W122" i="2"/>
  <c r="V14" i="8"/>
  <c r="T6" i="4"/>
  <c r="T7" i="8"/>
  <c r="T10" i="6"/>
  <c r="M7" i="6"/>
  <c r="M12" i="6"/>
  <c r="K7" i="5"/>
  <c r="T19" i="6"/>
  <c r="T20" i="6"/>
  <c r="U27" i="8"/>
  <c r="U6" i="8"/>
  <c r="V24" i="8"/>
  <c r="V25" i="8"/>
  <c r="Y43" i="2"/>
  <c r="W16" i="8"/>
  <c r="W19" i="8"/>
  <c r="V7" i="9"/>
  <c r="V13" i="9"/>
  <c r="X122" i="2"/>
  <c r="W14" i="8"/>
  <c r="X120" i="2"/>
  <c r="W9" i="6"/>
  <c r="X15" i="9"/>
  <c r="X20" i="9"/>
  <c r="Z44" i="2"/>
  <c r="Y115" i="2"/>
  <c r="Y118" i="2"/>
  <c r="U6" i="4"/>
  <c r="U7" i="8"/>
  <c r="U10" i="6"/>
  <c r="T10" i="4"/>
  <c r="U23" i="9"/>
  <c r="U25" i="9"/>
  <c r="U18" i="6"/>
  <c r="U19" i="6"/>
  <c r="U20" i="6"/>
  <c r="L7" i="5"/>
  <c r="N7" i="6"/>
  <c r="N12" i="6"/>
  <c r="V27" i="8"/>
  <c r="V6" i="8"/>
  <c r="U10" i="4"/>
  <c r="V23" i="9"/>
  <c r="V25" i="9"/>
  <c r="V18" i="6"/>
  <c r="V19" i="6"/>
  <c r="V20" i="6"/>
  <c r="V7" i="8"/>
  <c r="V6" i="4"/>
  <c r="Y122" i="2"/>
  <c r="X14" i="8"/>
  <c r="Y120" i="2"/>
  <c r="X9" i="6"/>
  <c r="Y15" i="9"/>
  <c r="Y20" i="9"/>
  <c r="AA44" i="2"/>
  <c r="Z115" i="2"/>
  <c r="Z118" i="2"/>
  <c r="Z43" i="2"/>
  <c r="X16" i="8"/>
  <c r="X19" i="8"/>
  <c r="V10" i="6"/>
  <c r="W7" i="9"/>
  <c r="W13" i="9"/>
  <c r="W10" i="6"/>
  <c r="W24" i="8"/>
  <c r="W25" i="8"/>
  <c r="M7" i="5"/>
  <c r="O7" i="6"/>
  <c r="O12" i="6"/>
  <c r="W27" i="8"/>
  <c r="W6" i="8"/>
  <c r="Z15" i="9"/>
  <c r="Z20" i="9"/>
  <c r="AB44" i="2"/>
  <c r="AA115" i="2"/>
  <c r="AA118" i="2"/>
  <c r="AA43" i="2"/>
  <c r="Y16" i="8"/>
  <c r="Y19" i="8"/>
  <c r="V10" i="4"/>
  <c r="Z120" i="2"/>
  <c r="Y9" i="6"/>
  <c r="Z122" i="2"/>
  <c r="Y14" i="8"/>
  <c r="X7" i="9"/>
  <c r="X13" i="9"/>
  <c r="W23" i="9"/>
  <c r="W25" i="9"/>
  <c r="W18" i="6"/>
  <c r="W19" i="6"/>
  <c r="W20" i="6"/>
  <c r="W7" i="8"/>
  <c r="W6" i="4"/>
  <c r="X24" i="8"/>
  <c r="X25" i="8"/>
  <c r="N7" i="5"/>
  <c r="P7" i="6"/>
  <c r="P12" i="6"/>
  <c r="X27" i="8"/>
  <c r="X6" i="8"/>
  <c r="W10" i="4"/>
  <c r="X6" i="4"/>
  <c r="X7" i="8"/>
  <c r="X10" i="6"/>
  <c r="AA120" i="2"/>
  <c r="Z9" i="6"/>
  <c r="AA122" i="2"/>
  <c r="Z14" i="8"/>
  <c r="X23" i="9"/>
  <c r="X25" i="9"/>
  <c r="X18" i="6"/>
  <c r="X19" i="6"/>
  <c r="X20" i="6"/>
  <c r="Z16" i="8"/>
  <c r="Z19" i="8"/>
  <c r="AB43" i="2"/>
  <c r="Y24" i="8"/>
  <c r="Y25" i="8"/>
  <c r="AA15" i="9"/>
  <c r="AA20" i="9"/>
  <c r="AC44" i="2"/>
  <c r="AB115" i="2"/>
  <c r="AB118" i="2"/>
  <c r="Y7" i="9"/>
  <c r="Y13" i="9"/>
  <c r="O7" i="5"/>
  <c r="Q7" i="6"/>
  <c r="Q12" i="6"/>
  <c r="Y27" i="8"/>
  <c r="Y6" i="8"/>
  <c r="Y7" i="8"/>
  <c r="Y6" i="4"/>
  <c r="Y10" i="6"/>
  <c r="AC43" i="2"/>
  <c r="AA16" i="8"/>
  <c r="AA19" i="8"/>
  <c r="AB120" i="2"/>
  <c r="AA9" i="6"/>
  <c r="AB122" i="2"/>
  <c r="AA14" i="8"/>
  <c r="X10" i="4"/>
  <c r="AB15" i="9"/>
  <c r="AB20" i="9"/>
  <c r="AD44" i="2"/>
  <c r="AC115" i="2"/>
  <c r="AC118" i="2"/>
  <c r="Z7" i="9"/>
  <c r="Z13" i="9"/>
  <c r="Y23" i="9"/>
  <c r="Y25" i="9"/>
  <c r="Y18" i="6"/>
  <c r="Y19" i="6"/>
  <c r="Y20" i="6"/>
  <c r="Z25" i="8"/>
  <c r="Z24" i="8"/>
  <c r="P7" i="5"/>
  <c r="R7" i="6"/>
  <c r="R12" i="6"/>
  <c r="Z27" i="8"/>
  <c r="Z6" i="8"/>
  <c r="AA7" i="9"/>
  <c r="AA13" i="9"/>
  <c r="Z6" i="4"/>
  <c r="Z7" i="8"/>
  <c r="Z10" i="6"/>
  <c r="Z23" i="9"/>
  <c r="Z25" i="9"/>
  <c r="Z18" i="6"/>
  <c r="Z19" i="6"/>
  <c r="Z20" i="6"/>
  <c r="AD43" i="2"/>
  <c r="AB16" i="8"/>
  <c r="AB19" i="8"/>
  <c r="AA25" i="8"/>
  <c r="AA24" i="8"/>
  <c r="AC15" i="9"/>
  <c r="AC20" i="9"/>
  <c r="AE44" i="2"/>
  <c r="AD115" i="2"/>
  <c r="AD118" i="2"/>
  <c r="AC120" i="2"/>
  <c r="AB9" i="6"/>
  <c r="AC122" i="2"/>
  <c r="AB14" i="8"/>
  <c r="Y10" i="4"/>
  <c r="Q7" i="5"/>
  <c r="S7" i="6"/>
  <c r="S12" i="6"/>
  <c r="AA27" i="8"/>
  <c r="AA6" i="8"/>
  <c r="AD120" i="2"/>
  <c r="AC9" i="6"/>
  <c r="AD122" i="2"/>
  <c r="AC14" i="8"/>
  <c r="AD15" i="9"/>
  <c r="AD20" i="9"/>
  <c r="AF44" i="2"/>
  <c r="AE115" i="2"/>
  <c r="AE118" i="2"/>
  <c r="AA6" i="4"/>
  <c r="AA7" i="8"/>
  <c r="AA10" i="6"/>
  <c r="AA23" i="9"/>
  <c r="AA25" i="9"/>
  <c r="AA18" i="6"/>
  <c r="AA19" i="6"/>
  <c r="AA20" i="6"/>
  <c r="Z10" i="4"/>
  <c r="AB24" i="8"/>
  <c r="AB25" i="8"/>
  <c r="AB7" i="9"/>
  <c r="AB13" i="9"/>
  <c r="AE43" i="2"/>
  <c r="AC16" i="8"/>
  <c r="AC19" i="8"/>
  <c r="R7" i="5"/>
  <c r="T7" i="6"/>
  <c r="T12" i="6"/>
  <c r="AB27" i="8"/>
  <c r="AB6" i="8"/>
  <c r="AE15" i="9"/>
  <c r="AE20" i="9"/>
  <c r="AG44" i="2"/>
  <c r="AF115" i="2"/>
  <c r="AF118" i="2"/>
  <c r="AE120" i="2"/>
  <c r="AD9" i="6"/>
  <c r="AE122" i="2"/>
  <c r="AD14" i="8"/>
  <c r="AC24" i="8"/>
  <c r="AC25" i="8"/>
  <c r="AA10" i="4"/>
  <c r="AC7" i="9"/>
  <c r="AC13" i="9"/>
  <c r="AD16" i="8"/>
  <c r="AD19" i="8"/>
  <c r="AF43" i="2"/>
  <c r="AB6" i="4"/>
  <c r="AB7" i="8"/>
  <c r="AB10" i="6"/>
  <c r="AB23" i="9"/>
  <c r="AB25" i="9"/>
  <c r="AB18" i="6"/>
  <c r="AB19" i="6"/>
  <c r="AB20" i="6"/>
  <c r="U7" i="6"/>
  <c r="U12" i="6"/>
  <c r="S7" i="5"/>
  <c r="AC27" i="8"/>
  <c r="AC6" i="8"/>
  <c r="AC23" i="9"/>
  <c r="AC25" i="9"/>
  <c r="AC18" i="6"/>
  <c r="AC19" i="6"/>
  <c r="AC20" i="6"/>
  <c r="AC6" i="4"/>
  <c r="AC7" i="8"/>
  <c r="AC10" i="6"/>
  <c r="AD24" i="8"/>
  <c r="AD25" i="8"/>
  <c r="AF15" i="9"/>
  <c r="AF20" i="9"/>
  <c r="AG115" i="2"/>
  <c r="AG118" i="2"/>
  <c r="AD7" i="9"/>
  <c r="AD13" i="9"/>
  <c r="AF122" i="2"/>
  <c r="AE14" i="8"/>
  <c r="AF120" i="2"/>
  <c r="AE9" i="6"/>
  <c r="AG43" i="2"/>
  <c r="AE16" i="8"/>
  <c r="AE19" i="8"/>
  <c r="AB10" i="4"/>
  <c r="V7" i="6"/>
  <c r="V12" i="6"/>
  <c r="T7" i="5"/>
  <c r="AD27" i="8"/>
  <c r="AD6" i="8"/>
  <c r="AC10" i="4"/>
  <c r="AD6" i="4"/>
  <c r="AD7" i="8"/>
  <c r="AD10" i="6"/>
  <c r="AD23" i="9"/>
  <c r="AD25" i="9"/>
  <c r="AD18" i="6"/>
  <c r="AD19" i="6"/>
  <c r="AD20" i="6"/>
  <c r="AG120" i="2"/>
  <c r="AF9" i="6"/>
  <c r="AG122" i="2"/>
  <c r="AF14" i="8"/>
  <c r="AE7" i="9"/>
  <c r="AE13" i="9"/>
  <c r="AE24" i="8"/>
  <c r="AE25" i="8"/>
  <c r="AF16" i="8"/>
  <c r="AF19" i="8"/>
  <c r="W7" i="6"/>
  <c r="W12" i="6"/>
  <c r="U7" i="5"/>
  <c r="AE27" i="8"/>
  <c r="AE6" i="8"/>
  <c r="AD10" i="4"/>
  <c r="AE7" i="8"/>
  <c r="AE6" i="4"/>
  <c r="AE10" i="6"/>
  <c r="AF7" i="9"/>
  <c r="AF13" i="9"/>
  <c r="AE23" i="9"/>
  <c r="AE25" i="9"/>
  <c r="AE18" i="6"/>
  <c r="AE19" i="6"/>
  <c r="AE20" i="6"/>
  <c r="AF25" i="8"/>
  <c r="AF24" i="8"/>
  <c r="V7" i="5"/>
  <c r="X7" i="6"/>
  <c r="X12" i="6"/>
  <c r="AF27" i="8"/>
  <c r="AF6" i="8"/>
  <c r="AF7" i="8"/>
  <c r="AF6" i="4"/>
  <c r="AF10" i="6"/>
  <c r="AE10" i="4"/>
  <c r="AF23" i="9"/>
  <c r="AF25" i="9"/>
  <c r="AF18" i="6"/>
  <c r="AF19" i="6"/>
  <c r="AF20" i="6"/>
  <c r="Y7" i="6"/>
  <c r="Y12" i="6"/>
  <c r="W7" i="5"/>
  <c r="AF10" i="4"/>
  <c r="X7" i="5"/>
  <c r="Z7" i="6"/>
  <c r="Z12" i="6"/>
  <c r="Y7" i="5"/>
  <c r="AA7" i="6"/>
  <c r="AA12" i="6"/>
  <c r="Z7" i="5"/>
  <c r="AB7" i="6"/>
  <c r="AB12" i="6"/>
  <c r="AA7" i="5"/>
  <c r="AC7" i="6"/>
  <c r="AC12" i="6"/>
  <c r="AB7" i="5"/>
  <c r="AD7" i="6"/>
  <c r="AD12" i="6"/>
  <c r="AC7" i="5"/>
  <c r="AE7" i="6"/>
  <c r="AE12" i="6"/>
  <c r="AD7" i="5"/>
  <c r="AF7" i="6"/>
  <c r="AF12" i="6"/>
  <c r="AE7" i="5"/>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<sst xmlns="http://schemas.openxmlformats.org/spreadsheetml/2006/main" count="276" uniqueCount="204">
  <si>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</si>
  <si>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</si>
  <si>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</si>
  <si>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</si>
  <si>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</si>
  <si>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</si>
  <si>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</si>
  <si>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</si>
  <si>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</si>
  <si>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</si>
  <si>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</si>
  <si>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</si>
  <si>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</si>
  <si>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</si>
  <si>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</si>
  <si>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</si>
  <si>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</si>
  <si>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</si>
  <si>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</si>
  <si>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</si>
  <si>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</si>
  <si>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</si>
  <si>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</si>
  <si>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</si>
  <si>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</si>
  <si>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</si>
  <si>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</si>
  <si>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</si>
  <si>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</si>
  <si>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</si>
  <si>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</si>
  <si>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</si>
  <si>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</si>
  <si>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</si>
  <si>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</si>
  <si>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</si>
  <si>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</si>
  <si>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</si>
  <si>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</si>
  <si>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</si>
  <si>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</si>
  <si>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</si>
  <si>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</si>
  <si>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</si>
  <si>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</si>
  <si>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</si>
  <si>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</si>
  <si>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</si>
  <si>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</si>
  <si>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</si>
  <si>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</si>
  <si>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</si>
  <si>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</si>
  <si>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</si>
  <si>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</si>
  <si>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</si>
  <si>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</si>
  <si>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</si>
  <si>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</si>
  <si>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</si>
  <si>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</si>
  <si>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</si>
  <si>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</si>
  <si>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</si>
  <si>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</si>
  <si>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</si>
  <si>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</si>
  <si>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</si>
  <si>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</si>
  <si>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</si>
  <si>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</si>
  <si>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</si>
  <si>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</si>
  <si>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</si>
  <si>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</si>
  <si>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</si>
  <si>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</si>
  <si>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</si>
  <si>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</si>
  <si>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</si>
  <si>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</si>
  <si>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</si>
  <si>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</si>
  <si>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</si>
  <si>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</si>
  <si>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</si>
  <si>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</si>
  <si>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</si>
  <si>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</si>
  <si>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</si>
  <si>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</si>
  <si>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</si>
  <si>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</si>
  <si>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</si>
  <si>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</si>
  <si>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</si>
  <si>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</si>
  <si>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</si>
  <si>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</si>
  <si>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</si>
  <si>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</si>
  <si>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</si>
  <si>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</si>
  <si>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</si>
  <si>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</si>
  <si>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</si>
  <si>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</si>
  <si>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</si>
  <si>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</si>
  <si>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</si>
  <si>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</si>
  <si>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</si>
  <si>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</si>
  <si>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</si>
  <si>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</si>
  <si>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</si>
  <si>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</si>
  <si>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</si>
  <si>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</si>
  <si>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</si>
  <si>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</si>
  <si>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</si>
  <si>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</si>
  <si>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</si>
  <si>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</si>
  <si>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</si>
  <si>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</si>
  <si>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</si>
  <si>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</si>
  <si>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</si>
  <si>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</si>
  <si>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</si>
  <si>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</si>
  <si>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</si>
  <si>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</si>
  <si>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</si>
  <si>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</si>
  <si>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</si>
  <si>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</si>
  <si>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</si>
  <si>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</si>
  <si>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</si>
  <si>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</si>
  <si>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</si>
  <si>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</si>
  <si>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</si>
  <si>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</si>
  <si>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</si>
  <si>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</si>
  <si>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</si>
  <si>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</si>
  <si>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</si>
  <si>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</si>
  <si>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</si>
  <si>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</si>
  <si>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</si>
  <si>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</si>
  <si>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</si>
  <si>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</si>
  <si>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</si>
  <si>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</si>
  <si>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</si>
  <si>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</si>
  <si>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</si>
  <si>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</si>
  <si>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</si>
  <si>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</si>
  <si>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</si>
  <si>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</si>
  <si>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</si>
  <si>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</si>
  <si>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</si>
  <si>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</si>
  <si>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</si>
  <si>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</si>
  <si>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</si>
  <si>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</si>
  <si>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</si>
  <si>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</si>
  <si>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</si>
  <si>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</si>
  <si>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</si>
  <si>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</si>
  <si>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</si>
  <si>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</si>
  <si>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</si>
  <si>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</si>
  <si>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</si>
  <si>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</si>
  <si>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</si>
  <si>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</si>
  <si>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</si>
  <si>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</si>
  <si>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</si>
  <si>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</si>
  <si>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</si>
  <si>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</si>
  <si>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</si>
  <si>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Hamilton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</si>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</sst>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10" fillId="0" borderId="0" xfId="0" applyNumberFormat="1" applyFont="1" applyFill="1" applyAlignment="1">
      <alignment vertical="top" wrapText="1"/>
    </xf>
    <xf numFmtId="0" fontId="18" fillId="0" borderId="0" xfId="0" applyFont="1" applyAlignment="1">
      <alignment horizontal="left" vertical="center" wrapText="1"/>
    </xf>
    <xf numFmtId="0" fontId="0" fillId="0" borderId="0" xfId="0" applyAlignment="1">
      <alignment horizontal="right"/>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externalLink" Target="externalLinks/externalLink57.xml"/><Relationship Id="rId75"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sharedStrings" Target="sharedStrings.xml"/><Relationship Id="rId78"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sites/commission-business/DIA2/Information_release/Council%20Financial%20Models/Christchurch_mode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ide outputs and checklist"/>
      <sheetName val="Model overview and manual"/>
      <sheetName val="Model output==&gt;"/>
      <sheetName val="Average cost per household"/>
      <sheetName val="Input sheets ===&gt;"/>
      <sheetName val="Assumptions"/>
      <sheetName val="Price and Financial ratios"/>
      <sheetName val="Processing sheets ===&gt;"/>
      <sheetName val="Investment"/>
      <sheetName val="Profit and Loss"/>
      <sheetName val="Balance Sheet"/>
      <sheetName val="Cash Flow"/>
      <sheetName val="Depreciation"/>
      <sheetName val="Debt worksheet"/>
    </sheetNames>
    <sheetDataSet>
      <sheetData sheetId="0"/>
      <sheetData sheetId="1"/>
      <sheetData sheetId="2"/>
      <sheetData sheetId="3"/>
      <sheetData sheetId="4"/>
      <sheetData sheetId="5">
        <row r="24">
          <cell r="B24" t="str">
            <v>RFI Table F10; Lines F10.62 + F10.70</v>
          </cell>
        </row>
      </sheetData>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198</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2461400481.1949997</v>
      </c>
      <c r="C6" s="12">
        <f ca="1">B6+Depreciation!C18+'Cash Flow'!C13</f>
        <v>2517577486.3931823</v>
      </c>
      <c r="D6" s="1">
        <f ca="1">C6+Depreciation!D18</f>
        <v>2664786279.6039748</v>
      </c>
      <c r="E6" s="1">
        <f ca="1">D6+Depreciation!E18</f>
        <v>2819309831.6782846</v>
      </c>
      <c r="F6" s="1">
        <f ca="1">E6+Depreciation!F18</f>
        <v>2981465545.3791289</v>
      </c>
      <c r="G6" s="1">
        <f ca="1">F6+Depreciation!G18</f>
        <v>3151160313.7192383</v>
      </c>
      <c r="H6" s="1">
        <f ca="1">G6+Depreciation!H18</f>
        <v>3328701912.3128242</v>
      </c>
      <c r="I6" s="1">
        <f ca="1">H6+Depreciation!I18</f>
        <v>3514409848.8089008</v>
      </c>
      <c r="J6" s="1">
        <f ca="1">I6+Depreciation!J18</f>
        <v>3708615791.6264801</v>
      </c>
      <c r="K6" s="1">
        <f ca="1">J6+Depreciation!K18</f>
        <v>3911664013.9183946</v>
      </c>
      <c r="L6" s="1">
        <f ca="1">K6+Depreciation!L18</f>
        <v>4124201219.2551003</v>
      </c>
      <c r="M6" s="1">
        <f ca="1">L6+Depreciation!M18</f>
        <v>4346622302.6430368</v>
      </c>
      <c r="N6" s="1">
        <f ca="1">M6+Depreciation!N18</f>
        <v>4579337579.0423679</v>
      </c>
      <c r="O6" s="1">
        <f ca="1">N6+Depreciation!O18</f>
        <v>4822773361.7045946</v>
      </c>
      <c r="P6" s="1">
        <f ca="1">O6+Depreciation!P18</f>
        <v>5077372561.6066351</v>
      </c>
      <c r="Q6" s="1">
        <f ca="1">P6+Depreciation!Q18</f>
        <v>5343670798.9296103</v>
      </c>
      <c r="R6" s="1">
        <f ca="1">Q6+Depreciation!R18</f>
        <v>5622152535.0389118</v>
      </c>
      <c r="S6" s="1">
        <f ca="1">R6+Depreciation!S18</f>
        <v>5913321146.4377375</v>
      </c>
      <c r="T6" s="1">
        <f ca="1">S6+Depreciation!T18</f>
        <v>6217699635.8201218</v>
      </c>
      <c r="U6" s="1">
        <f ca="1">T6+Depreciation!U18</f>
        <v>6535831369.1560354</v>
      </c>
      <c r="V6" s="1">
        <f ca="1">U6+Depreciation!V18</f>
        <v>6868460094.2597475</v>
      </c>
      <c r="W6" s="1">
        <f ca="1">V6+Depreciation!W18</f>
        <v>7216187851.7094612</v>
      </c>
      <c r="X6" s="1">
        <f ca="1">W6+Depreciation!X18</f>
        <v>7579640367.7608137</v>
      </c>
      <c r="Y6" s="1">
        <f ca="1">X6+Depreciation!Y18</f>
        <v>7959467953.7406816</v>
      </c>
      <c r="Z6" s="1">
        <f ca="1">Y6+Depreciation!Z18</f>
        <v>8356346438.7480536</v>
      </c>
      <c r="AA6" s="1">
        <f ca="1">Z6+Depreciation!AA18</f>
        <v>8770978136.8726463</v>
      </c>
      <c r="AB6" s="1">
        <f ca="1">AA6+Depreciation!AB18</f>
        <v>9204092850.1853142</v>
      </c>
      <c r="AC6" s="1">
        <f ca="1">AB6+Depreciation!AC18</f>
        <v>9656448908.7992153</v>
      </c>
      <c r="AD6" s="1">
        <f ca="1">AC6+Depreciation!AD18</f>
        <v>10128834249.347197</v>
      </c>
      <c r="AE6" s="1">
        <f ca="1">AD6+Depreciation!AE18</f>
        <v>10622067533.269018</v>
      </c>
      <c r="AF6" s="1"/>
      <c r="AG6" s="1"/>
      <c r="AH6" s="1"/>
      <c r="AI6" s="1"/>
      <c r="AJ6" s="1"/>
      <c r="AK6" s="1"/>
      <c r="AL6" s="1"/>
      <c r="AM6" s="1"/>
      <c r="AN6" s="1"/>
      <c r="AO6" s="1"/>
      <c r="AP6" s="1"/>
    </row>
    <row r="7" spans="1:42" x14ac:dyDescent="0.35">
      <c r="A7" t="s">
        <v>12</v>
      </c>
      <c r="B7" s="1">
        <f>Depreciation!C12</f>
        <v>1269020662.2474117</v>
      </c>
      <c r="C7" s="1">
        <f>Depreciation!D12</f>
        <v>1311090668.2823415</v>
      </c>
      <c r="D7" s="1">
        <f>Depreciation!E12</f>
        <v>1357110991.9911606</v>
      </c>
      <c r="E7" s="1">
        <f>Depreciation!F12</f>
        <v>1407291374.0188186</v>
      </c>
      <c r="F7" s="1">
        <f>Depreciation!G12</f>
        <v>1461841011.4140389</v>
      </c>
      <c r="G7" s="1">
        <f>Depreciation!H12</f>
        <v>1520977949.0684464</v>
      </c>
      <c r="H7" s="1">
        <f>Depreciation!I12</f>
        <v>1584929423.809906</v>
      </c>
      <c r="I7" s="1">
        <f>Depreciation!J12</f>
        <v>1653932221.2325702</v>
      </c>
      <c r="J7" s="1">
        <f>Depreciation!K12</f>
        <v>1728233045.7200656</v>
      </c>
      <c r="K7" s="1">
        <f>Depreciation!L12</f>
        <v>1808095686.1489484</v>
      </c>
      <c r="L7" s="1">
        <f>Depreciation!M12</f>
        <v>1893795247.5980868</v>
      </c>
      <c r="M7" s="1">
        <f>Depreciation!N12</f>
        <v>1985618601.1616561</v>
      </c>
      <c r="N7" s="1">
        <f>Depreciation!O12</f>
        <v>2083864850.8310866</v>
      </c>
      <c r="O7" s="1">
        <f>Depreciation!P12</f>
        <v>2188845818.0737638</v>
      </c>
      <c r="P7" s="1">
        <f>Depreciation!Q12</f>
        <v>2300888314.0602813</v>
      </c>
      <c r="Q7" s="1">
        <f>Depreciation!R12</f>
        <v>2420333057.7367554</v>
      </c>
      <c r="R7" s="1">
        <f>Depreciation!S12</f>
        <v>2547535227.8028617</v>
      </c>
      <c r="S7" s="1">
        <f>Depreciation!T12</f>
        <v>2682865035.6675096</v>
      </c>
      <c r="T7" s="1">
        <f>Depreciation!U12</f>
        <v>2826708320.1561604</v>
      </c>
      <c r="U7" s="1">
        <f>Depreciation!V12</f>
        <v>2979471366.0494967</v>
      </c>
      <c r="V7" s="1">
        <f>Depreciation!W12</f>
        <v>3141577742.5541024</v>
      </c>
      <c r="W7" s="1">
        <f>Depreciation!X12</f>
        <v>3313468993.4701037</v>
      </c>
      <c r="X7" s="1">
        <f>Depreciation!Y12</f>
        <v>3495605353.8302898</v>
      </c>
      <c r="Y7" s="1">
        <f>Depreciation!Z12</f>
        <v>3688466493.9981503</v>
      </c>
      <c r="Z7" s="1">
        <f>Depreciation!AA12</f>
        <v>3892552292.2483673</v>
      </c>
      <c r="AA7" s="1">
        <f>Depreciation!AB12</f>
        <v>4108383636.8906794</v>
      </c>
      <c r="AB7" s="1">
        <f>Depreciation!AC12</f>
        <v>4336503259.0367727</v>
      </c>
      <c r="AC7" s="1">
        <f>Depreciation!AD12</f>
        <v>4577476597.1499767</v>
      </c>
      <c r="AD7" s="1">
        <f>Depreciation!AE12</f>
        <v>4831892694.5591068</v>
      </c>
      <c r="AE7" s="1">
        <f>Depreciation!AF12</f>
        <v>5100365131.1608763</v>
      </c>
      <c r="AF7" s="1"/>
      <c r="AG7" s="1"/>
      <c r="AH7" s="1"/>
      <c r="AI7" s="1"/>
      <c r="AJ7" s="1"/>
      <c r="AK7" s="1"/>
      <c r="AL7" s="1"/>
      <c r="AM7" s="1"/>
      <c r="AN7" s="1"/>
      <c r="AO7" s="1"/>
      <c r="AP7" s="1"/>
    </row>
    <row r="8" spans="1:42" x14ac:dyDescent="0.35">
      <c r="A8" t="s">
        <v>191</v>
      </c>
      <c r="B8" s="1">
        <f t="shared" ref="B8:AE8" si="1">B6-B7</f>
        <v>1192379818.947588</v>
      </c>
      <c r="C8" s="1">
        <f t="shared" ca="1" si="1"/>
        <v>1206486818.1108408</v>
      </c>
      <c r="D8" s="1">
        <f ca="1">D6-D7</f>
        <v>1307675287.6128142</v>
      </c>
      <c r="E8" s="1">
        <f t="shared" ca="1" si="1"/>
        <v>1412018457.659466</v>
      </c>
      <c r="F8" s="1">
        <f t="shared" ca="1" si="1"/>
        <v>1519624533.96509</v>
      </c>
      <c r="G8" s="1">
        <f t="shared" ca="1" si="1"/>
        <v>1630182364.6507919</v>
      </c>
      <c r="H8" s="1">
        <f t="shared" ca="1" si="1"/>
        <v>1743772488.5029182</v>
      </c>
      <c r="I8" s="1">
        <f t="shared" ca="1" si="1"/>
        <v>1860477627.5763307</v>
      </c>
      <c r="J8" s="1">
        <f t="shared" ca="1" si="1"/>
        <v>1980382745.9064145</v>
      </c>
      <c r="K8" s="1">
        <f t="shared" ca="1" si="1"/>
        <v>2103568327.7694461</v>
      </c>
      <c r="L8" s="1">
        <f t="shared" ca="1" si="1"/>
        <v>2230405971.6570134</v>
      </c>
      <c r="M8" s="1">
        <f t="shared" ca="1" si="1"/>
        <v>2361003701.4813805</v>
      </c>
      <c r="N8" s="1">
        <f t="shared" ca="1" si="1"/>
        <v>2495472728.2112813</v>
      </c>
      <c r="O8" s="1">
        <f t="shared" ca="1" si="1"/>
        <v>2633927543.6308308</v>
      </c>
      <c r="P8" s="1">
        <f t="shared" ca="1" si="1"/>
        <v>2776484247.5463538</v>
      </c>
      <c r="Q8" s="1">
        <f t="shared" ca="1" si="1"/>
        <v>2923337741.1928549</v>
      </c>
      <c r="R8" s="1">
        <f t="shared" ca="1" si="1"/>
        <v>3074617307.2360501</v>
      </c>
      <c r="S8" s="1">
        <f t="shared" ca="1" si="1"/>
        <v>3230456110.7702279</v>
      </c>
      <c r="T8" s="1">
        <f t="shared" ca="1" si="1"/>
        <v>3390991315.6639614</v>
      </c>
      <c r="U8" s="1">
        <f t="shared" ca="1" si="1"/>
        <v>3556360003.1065388</v>
      </c>
      <c r="V8" s="1">
        <f t="shared" ca="1" si="1"/>
        <v>3726882351.7056451</v>
      </c>
      <c r="W8" s="1">
        <f t="shared" ca="1" si="1"/>
        <v>3902718858.2393575</v>
      </c>
      <c r="X8" s="1">
        <f t="shared" ca="1" si="1"/>
        <v>4084035013.9305239</v>
      </c>
      <c r="Y8" s="1">
        <f t="shared" ca="1" si="1"/>
        <v>4271001459.7425313</v>
      </c>
      <c r="Z8" s="1">
        <f t="shared" ca="1" si="1"/>
        <v>4463794146.4996862</v>
      </c>
      <c r="AA8" s="1">
        <f t="shared" ca="1" si="1"/>
        <v>4662594499.981967</v>
      </c>
      <c r="AB8" s="1">
        <f t="shared" ca="1" si="1"/>
        <v>4867589591.1485415</v>
      </c>
      <c r="AC8" s="1">
        <f t="shared" ca="1" si="1"/>
        <v>5078972311.6492386</v>
      </c>
      <c r="AD8" s="1">
        <f t="shared" ca="1" si="1"/>
        <v>5296941554.7880898</v>
      </c>
      <c r="AE8" s="1">
        <f t="shared" ca="1" si="1"/>
        <v>5521702402.1081419</v>
      </c>
      <c r="AF8" s="1"/>
      <c r="AG8" s="1"/>
      <c r="AH8" s="1"/>
      <c r="AI8" s="1"/>
      <c r="AJ8" s="1"/>
      <c r="AK8" s="1"/>
      <c r="AL8" s="1"/>
      <c r="AM8" s="1"/>
      <c r="AN8" s="1"/>
      <c r="AO8" s="1"/>
      <c r="AP8" s="1"/>
    </row>
    <row r="10" spans="1:42" x14ac:dyDescent="0.35">
      <c r="A10" t="s">
        <v>17</v>
      </c>
      <c r="B10" s="1">
        <f>B8-B11</f>
        <v>934370818.94758797</v>
      </c>
      <c r="C10" s="1">
        <f ca="1">C8-C11</f>
        <v>864455731.9150579</v>
      </c>
      <c r="D10" s="1">
        <f ca="1">D8-D11</f>
        <v>891912766.80580437</v>
      </c>
      <c r="E10" s="1">
        <f t="shared" ref="E10:AE10" ca="1" si="2">E8-E11</f>
        <v>938259331.12311149</v>
      </c>
      <c r="F10" s="1">
        <f t="shared" ca="1" si="2"/>
        <v>1001663001.4564145</v>
      </c>
      <c r="G10" s="1">
        <f ca="1">G8-G11</f>
        <v>1070936267.0490248</v>
      </c>
      <c r="H10" s="1">
        <f t="shared" ca="1" si="2"/>
        <v>1142844824.2118285</v>
      </c>
      <c r="I10" s="1">
        <f t="shared" ca="1" si="2"/>
        <v>1217930970.5729227</v>
      </c>
      <c r="J10" s="1">
        <f t="shared" ca="1" si="2"/>
        <v>1296803995.9115911</v>
      </c>
      <c r="K10" s="1">
        <f t="shared" ca="1" si="2"/>
        <v>1380139595.7679849</v>
      </c>
      <c r="L10" s="1">
        <f t="shared" ca="1" si="2"/>
        <v>1468454810.1531892</v>
      </c>
      <c r="M10" s="1">
        <f t="shared" ca="1" si="2"/>
        <v>1559448055.8784199</v>
      </c>
      <c r="N10" s="1">
        <f t="shared" ca="1" si="2"/>
        <v>1653499128.6529288</v>
      </c>
      <c r="O10" s="1">
        <f t="shared" ca="1" si="2"/>
        <v>1751031909.9985938</v>
      </c>
      <c r="P10" s="1">
        <f t="shared" ca="1" si="2"/>
        <v>1852516452.9732032</v>
      </c>
      <c r="Q10" s="1">
        <f t="shared" ca="1" si="2"/>
        <v>1958402304.957619</v>
      </c>
      <c r="R10" s="1">
        <f t="shared" ca="1" si="2"/>
        <v>2069251936.3878567</v>
      </c>
      <c r="S10" s="1">
        <f t="shared" ca="1" si="2"/>
        <v>2185687550.0805988</v>
      </c>
      <c r="T10" s="1">
        <f t="shared" ca="1" si="2"/>
        <v>2303859339.5349998</v>
      </c>
      <c r="U10" s="1">
        <f t="shared" ca="1" si="2"/>
        <v>2423887769.1494217</v>
      </c>
      <c r="V10" s="1">
        <f t="shared" ca="1" si="2"/>
        <v>2545715102.5760899</v>
      </c>
      <c r="W10" s="1">
        <f t="shared" ca="1" si="2"/>
        <v>2669456805.247057</v>
      </c>
      <c r="X10" s="1">
        <f t="shared" ca="1" si="2"/>
        <v>2795244335.181603</v>
      </c>
      <c r="Y10" s="1">
        <f t="shared" ca="1" si="2"/>
        <v>2923226663.5120001</v>
      </c>
      <c r="Z10" s="1">
        <f t="shared" ca="1" si="2"/>
        <v>3053571908.5977921</v>
      </c>
      <c r="AA10" s="1">
        <f t="shared" ca="1" si="2"/>
        <v>3181480558.7097387</v>
      </c>
      <c r="AB10" s="1">
        <f t="shared" ca="1" si="2"/>
        <v>3306560233.9674153</v>
      </c>
      <c r="AC10" s="1">
        <f t="shared" ca="1" si="2"/>
        <v>3428394432.0451078</v>
      </c>
      <c r="AD10" s="1">
        <f t="shared" ca="1" si="2"/>
        <v>3546541382.7382717</v>
      </c>
      <c r="AE10" s="1">
        <f t="shared" ca="1" si="2"/>
        <v>3660532855.1883526</v>
      </c>
      <c r="AF10" s="1"/>
      <c r="AG10" s="1"/>
      <c r="AH10" s="1"/>
      <c r="AI10" s="1"/>
      <c r="AJ10" s="1"/>
      <c r="AK10" s="1"/>
      <c r="AL10" s="1"/>
      <c r="AM10" s="1"/>
      <c r="AN10" s="1"/>
      <c r="AO10" s="1"/>
    </row>
    <row r="11" spans="1:42" x14ac:dyDescent="0.35">
      <c r="A11" t="s">
        <v>9</v>
      </c>
      <c r="B11" s="1">
        <f>Assumptions!$C$20</f>
        <v>258009000</v>
      </c>
      <c r="C11" s="1">
        <f ca="1">'Debt worksheet'!D5</f>
        <v>342031086.19578284</v>
      </c>
      <c r="D11" s="1">
        <f ca="1">'Debt worksheet'!E5</f>
        <v>415762520.80700982</v>
      </c>
      <c r="E11" s="1">
        <f ca="1">'Debt worksheet'!F5</f>
        <v>473759126.53635454</v>
      </c>
      <c r="F11" s="1">
        <f ca="1">'Debt worksheet'!G5</f>
        <v>517961532.50867558</v>
      </c>
      <c r="G11" s="1">
        <f ca="1">'Debt worksheet'!H5</f>
        <v>559246097.60176706</v>
      </c>
      <c r="H11" s="1">
        <f ca="1">'Debt worksheet'!I5</f>
        <v>600927664.29108977</v>
      </c>
      <c r="I11" s="1">
        <f ca="1">'Debt worksheet'!J5</f>
        <v>642546657.00340796</v>
      </c>
      <c r="J11" s="1">
        <f ca="1">'Debt worksheet'!K5</f>
        <v>683578749.99482358</v>
      </c>
      <c r="K11" s="1">
        <f ca="1">'Debt worksheet'!L5</f>
        <v>723428732.00146127</v>
      </c>
      <c r="L11" s="1">
        <f ca="1">'Debt worksheet'!M5</f>
        <v>761951161.50382435</v>
      </c>
      <c r="M11" s="1">
        <f ca="1">'Debt worksheet'!N5</f>
        <v>801555645.60296059</v>
      </c>
      <c r="N11" s="1">
        <f ca="1">'Debt worksheet'!O5</f>
        <v>841973599.55835247</v>
      </c>
      <c r="O11" s="1">
        <f ca="1">'Debt worksheet'!P5</f>
        <v>882895633.63223684</v>
      </c>
      <c r="P11" s="1">
        <f ca="1">'Debt worksheet'!Q5</f>
        <v>923967794.57315063</v>
      </c>
      <c r="Q11" s="1">
        <f ca="1">'Debt worksheet'!R5</f>
        <v>964935436.23523593</v>
      </c>
      <c r="R11" s="1">
        <f ca="1">'Debt worksheet'!S5</f>
        <v>1005365370.8481934</v>
      </c>
      <c r="S11" s="1">
        <f ca="1">'Debt worksheet'!T5</f>
        <v>1044768560.6896292</v>
      </c>
      <c r="T11" s="1">
        <f ca="1">'Debt worksheet'!U5</f>
        <v>1087131976.1289616</v>
      </c>
      <c r="U11" s="1">
        <f ca="1">'Debt worksheet'!V5</f>
        <v>1132472233.9571171</v>
      </c>
      <c r="V11" s="1">
        <f ca="1">'Debt worksheet'!W5</f>
        <v>1181167249.1295552</v>
      </c>
      <c r="W11" s="1">
        <f ca="1">'Debt worksheet'!X5</f>
        <v>1233262052.9923005</v>
      </c>
      <c r="X11" s="1">
        <f ca="1">'Debt worksheet'!Y5</f>
        <v>1288790678.7489209</v>
      </c>
      <c r="Y11" s="1">
        <f ca="1">'Debt worksheet'!Z5</f>
        <v>1347774796.2305315</v>
      </c>
      <c r="Z11" s="1">
        <f ca="1">'Debt worksheet'!AA5</f>
        <v>1410222237.9018941</v>
      </c>
      <c r="AA11" s="1">
        <f ca="1">'Debt worksheet'!AB5</f>
        <v>1481113941.272228</v>
      </c>
      <c r="AB11" s="1">
        <f ca="1">'Debt worksheet'!AC5</f>
        <v>1561029357.1811261</v>
      </c>
      <c r="AC11" s="1">
        <f ca="1">'Debt worksheet'!AD5</f>
        <v>1650577879.604131</v>
      </c>
      <c r="AD11" s="1">
        <f ca="1">'Debt worksheet'!AE5</f>
        <v>1750400172.0498183</v>
      </c>
      <c r="AE11" s="1">
        <f ca="1">'Debt worksheet'!AF5</f>
        <v>1861169546.9197896</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17856583.548270494</v>
      </c>
      <c r="D5" s="4">
        <f ca="1">'Profit and Loss'!D9</f>
        <v>31407352.564636089</v>
      </c>
      <c r="E5" s="4">
        <f ca="1">'Profit and Loss'!E9</f>
        <v>50506622.636145972</v>
      </c>
      <c r="F5" s="4">
        <f ca="1">'Profit and Loss'!F9</f>
        <v>67772925.700865313</v>
      </c>
      <c r="G5" s="4">
        <f ca="1">'Profit and Loss'!G9</f>
        <v>73860565.85179773</v>
      </c>
      <c r="H5" s="4">
        <f ca="1">'Profit and Loss'!H9</f>
        <v>76723094.249855682</v>
      </c>
      <c r="I5" s="4">
        <f ca="1">'Profit and Loss'!I9</f>
        <v>80137469.042299092</v>
      </c>
      <c r="J5" s="4">
        <f ca="1">'Profit and Loss'!J9</f>
        <v>84171052.403499454</v>
      </c>
      <c r="K5" s="4">
        <f ca="1">'Profit and Loss'!K9</f>
        <v>88897415.797781438</v>
      </c>
      <c r="L5" s="4">
        <f ca="1">'Profit and Loss'!L9</f>
        <v>94152135.405459702</v>
      </c>
      <c r="M5" s="4">
        <f ca="1">'Profit and Loss'!M9</f>
        <v>97117037.83966206</v>
      </c>
      <c r="N5" s="4">
        <f ca="1">'Profit and Loss'!N9</f>
        <v>100473968.88037047</v>
      </c>
      <c r="O5" s="4">
        <f ca="1">'Profit and Loss'!O9</f>
        <v>104267498.91891143</v>
      </c>
      <c r="P5" s="4">
        <f ca="1">'Profit and Loss'!P9</f>
        <v>108546071.7184494</v>
      </c>
      <c r="Q5" s="4">
        <f ca="1">'Profit and Loss'!Q9</f>
        <v>113288099.67437258</v>
      </c>
      <c r="R5" s="4">
        <f ca="1">'Profit and Loss'!R9</f>
        <v>118607057.81987047</v>
      </c>
      <c r="S5" s="4">
        <f ca="1">'Profit and Loss'!S9</f>
        <v>124563251.49128295</v>
      </c>
      <c r="T5" s="4">
        <f ca="1">'Profit and Loss'!T9</f>
        <v>126685266.07840481</v>
      </c>
      <c r="U5" s="4">
        <f ca="1">'Profit and Loss'!U9</f>
        <v>128948191.0191074</v>
      </c>
      <c r="V5" s="4">
        <f ca="1">'Profit and Loss'!V9</f>
        <v>131170664.03793719</v>
      </c>
      <c r="W5" s="4">
        <f ca="1">'Profit and Loss'!W9</f>
        <v>133526577.08236226</v>
      </c>
      <c r="X5" s="4">
        <f ca="1">'Profit and Loss'!X9</f>
        <v>136032639.37873036</v>
      </c>
      <c r="Y5" s="4">
        <f ca="1">'Profit and Loss'!Y9</f>
        <v>138707108.13807154</v>
      </c>
      <c r="Z5" s="4">
        <f ca="1">'Profit and Loss'!Z9</f>
        <v>141569903.16814932</v>
      </c>
      <c r="AA5" s="4">
        <f ca="1">'Profit and Loss'!AA9</f>
        <v>139654196.50404251</v>
      </c>
      <c r="AB5" s="4">
        <f ca="1">'Profit and Loss'!AB9</f>
        <v>137367952.76145828</v>
      </c>
      <c r="AC5" s="4">
        <f ca="1">'Profit and Loss'!AC9</f>
        <v>134687914.04480293</v>
      </c>
      <c r="AD5" s="4">
        <f ca="1">'Profit and Loss'!AD9</f>
        <v>131589709.98909032</v>
      </c>
      <c r="AE5" s="4">
        <f ca="1">'Profit and Loss'!AE9</f>
        <v>128047811.64271924</v>
      </c>
      <c r="AF5" s="4">
        <f ca="1">'Profit and Loss'!AF9</f>
        <v>124035483.62828326</v>
      </c>
      <c r="AG5" s="4"/>
      <c r="AH5" s="4"/>
      <c r="AI5" s="4"/>
      <c r="AJ5" s="4"/>
      <c r="AK5" s="4"/>
      <c r="AL5" s="4"/>
      <c r="AM5" s="4"/>
      <c r="AN5" s="4"/>
      <c r="AO5" s="4"/>
      <c r="AP5" s="4"/>
    </row>
    <row r="6" spans="1:42" x14ac:dyDescent="0.35">
      <c r="A6" t="s">
        <v>21</v>
      </c>
      <c r="C6" s="4">
        <f>Depreciation!C8+Depreciation!C9</f>
        <v>38320421.649911784</v>
      </c>
      <c r="D6" s="4">
        <f>Depreciation!D8+Depreciation!D9</f>
        <v>42070006.03492967</v>
      </c>
      <c r="E6" s="4">
        <f>Depreciation!E8+Depreciation!E9</f>
        <v>46020323.708819196</v>
      </c>
      <c r="F6" s="4">
        <f>Depreciation!F8+Depreciation!F9</f>
        <v>50180382.027657881</v>
      </c>
      <c r="G6" s="4">
        <f>Depreciation!G8+Depreciation!G9</f>
        <v>54549637.39522028</v>
      </c>
      <c r="H6" s="4">
        <f>Depreciation!H8+Depreciation!H9</f>
        <v>59136937.654407606</v>
      </c>
      <c r="I6" s="4">
        <f>Depreciation!I8+Depreciation!I9</f>
        <v>63951474.741459452</v>
      </c>
      <c r="J6" s="4">
        <f>Depreciation!J8+Depreciation!J9</f>
        <v>69002797.422664136</v>
      </c>
      <c r="K6" s="4">
        <f>Depreciation!K8+Depreciation!K9</f>
        <v>74300824.487495452</v>
      </c>
      <c r="L6" s="4">
        <f>Depreciation!L8+Depreciation!L9</f>
        <v>79862640.428883046</v>
      </c>
      <c r="M6" s="4">
        <f>Depreciation!M8+Depreciation!M9</f>
        <v>85699561.449138463</v>
      </c>
      <c r="N6" s="4">
        <f>Depreciation!N8+Depreciation!N9</f>
        <v>91823353.563569188</v>
      </c>
      <c r="O6" s="4">
        <f>Depreciation!O8+Depreciation!O9</f>
        <v>98246249.669430509</v>
      </c>
      <c r="P6" s="4">
        <f>Depreciation!P8+Depreciation!P9</f>
        <v>104980967.24267697</v>
      </c>
      <c r="Q6" s="4">
        <f>Depreciation!Q8+Depreciation!Q9</f>
        <v>112042495.98651762</v>
      </c>
      <c r="R6" s="4">
        <f>Depreciation!R8+Depreciation!R9</f>
        <v>119444743.67647406</v>
      </c>
      <c r="S6" s="4">
        <f>Depreciation!S8+Depreciation!S9</f>
        <v>127202170.0661065</v>
      </c>
      <c r="T6" s="4">
        <f>Depreciation!T8+Depreciation!T9</f>
        <v>135329807.8646476</v>
      </c>
      <c r="U6" s="4">
        <f>Depreciation!U8+Depreciation!U9</f>
        <v>143843284.48865062</v>
      </c>
      <c r="V6" s="4">
        <f>Depreciation!V8+Depreciation!V9</f>
        <v>152763045.89333647</v>
      </c>
      <c r="W6" s="4">
        <f>Depreciation!W8+Depreciation!W9</f>
        <v>162106376.50460583</v>
      </c>
      <c r="X6" s="4">
        <f>Depreciation!X8+Depreciation!X9</f>
        <v>171891250.91600162</v>
      </c>
      <c r="Y6" s="4">
        <f>Depreciation!Y8+Depreciation!Y9</f>
        <v>182136360.36018601</v>
      </c>
      <c r="Z6" s="4">
        <f>Depreciation!Z8+Depreciation!Z9</f>
        <v>192861140.16786027</v>
      </c>
      <c r="AA6" s="4">
        <f>Depreciation!AA8+Depreciation!AA9</f>
        <v>204085798.2502169</v>
      </c>
      <c r="AB6" s="4">
        <f>Depreciation!AB8+Depreciation!AB9</f>
        <v>215831344.64231232</v>
      </c>
      <c r="AC6" s="4">
        <f>Depreciation!AC8+Depreciation!AC9</f>
        <v>228119622.14609367</v>
      </c>
      <c r="AD6" s="4">
        <f>Depreciation!AD8+Depreciation!AD9</f>
        <v>240973338.11320335</v>
      </c>
      <c r="AE6" s="4">
        <f>Depreciation!AE8+Depreciation!AE9</f>
        <v>254416097.40913045</v>
      </c>
      <c r="AF6" s="4">
        <f>Depreciation!AF8+Depreciation!AF9</f>
        <v>268472436.60176891</v>
      </c>
      <c r="AG6" s="4"/>
      <c r="AH6" s="4"/>
      <c r="AI6" s="4"/>
      <c r="AJ6" s="4"/>
      <c r="AK6" s="4"/>
      <c r="AL6" s="4"/>
      <c r="AM6" s="4"/>
      <c r="AN6" s="4"/>
      <c r="AO6" s="4"/>
      <c r="AP6" s="4"/>
    </row>
    <row r="7" spans="1:42" x14ac:dyDescent="0.35">
      <c r="A7" t="s">
        <v>23</v>
      </c>
      <c r="C7" s="4">
        <f ca="1">C6+C5</f>
        <v>56177005.198182277</v>
      </c>
      <c r="D7" s="4">
        <f ca="1">D6+D5</f>
        <v>73477358.599565759</v>
      </c>
      <c r="E7" s="4">
        <f t="shared" ref="E7:AF7" ca="1" si="1">E6+E5</f>
        <v>96526946.34496516</v>
      </c>
      <c r="F7" s="4">
        <f t="shared" ca="1" si="1"/>
        <v>117953307.72852319</v>
      </c>
      <c r="G7" s="4">
        <f ca="1">G6+G5</f>
        <v>128410203.24701801</v>
      </c>
      <c r="H7" s="4">
        <f t="shared" ca="1" si="1"/>
        <v>135860031.90426329</v>
      </c>
      <c r="I7" s="4">
        <f t="shared" ca="1" si="1"/>
        <v>144088943.78375855</v>
      </c>
      <c r="J7" s="4">
        <f t="shared" ca="1" si="1"/>
        <v>153173849.82616359</v>
      </c>
      <c r="K7" s="4">
        <f t="shared" ca="1" si="1"/>
        <v>163198240.28527689</v>
      </c>
      <c r="L7" s="4">
        <f t="shared" ca="1" si="1"/>
        <v>174014775.83434275</v>
      </c>
      <c r="M7" s="4">
        <f t="shared" ca="1" si="1"/>
        <v>182816599.28880054</v>
      </c>
      <c r="N7" s="4">
        <f t="shared" ca="1" si="1"/>
        <v>192297322.44393966</v>
      </c>
      <c r="O7" s="4">
        <f t="shared" ca="1" si="1"/>
        <v>202513748.58834195</v>
      </c>
      <c r="P7" s="4">
        <f t="shared" ca="1" si="1"/>
        <v>213527038.96112639</v>
      </c>
      <c r="Q7" s="4">
        <f t="shared" ca="1" si="1"/>
        <v>225330595.66089022</v>
      </c>
      <c r="R7" s="4">
        <f t="shared" ca="1" si="1"/>
        <v>238051801.49634454</v>
      </c>
      <c r="S7" s="4">
        <f t="shared" ca="1" si="1"/>
        <v>251765421.55738944</v>
      </c>
      <c r="T7" s="4">
        <f t="shared" ca="1" si="1"/>
        <v>262015073.94305241</v>
      </c>
      <c r="U7" s="4">
        <f t="shared" ca="1" si="1"/>
        <v>272791475.50775802</v>
      </c>
      <c r="V7" s="4">
        <f t="shared" ca="1" si="1"/>
        <v>283933709.9312737</v>
      </c>
      <c r="W7" s="4">
        <f t="shared" ca="1" si="1"/>
        <v>295632953.58696806</v>
      </c>
      <c r="X7" s="4">
        <f t="shared" ca="1" si="1"/>
        <v>307923890.29473197</v>
      </c>
      <c r="Y7" s="4">
        <f t="shared" ca="1" si="1"/>
        <v>320843468.49825752</v>
      </c>
      <c r="Z7" s="4">
        <f t="shared" ca="1" si="1"/>
        <v>334431043.33600962</v>
      </c>
      <c r="AA7" s="4">
        <f t="shared" ca="1" si="1"/>
        <v>343739994.75425941</v>
      </c>
      <c r="AB7" s="4">
        <f t="shared" ca="1" si="1"/>
        <v>353199297.40377057</v>
      </c>
      <c r="AC7" s="4">
        <f t="shared" ca="1" si="1"/>
        <v>362807536.19089663</v>
      </c>
      <c r="AD7" s="4">
        <f t="shared" ca="1" si="1"/>
        <v>372563048.10229367</v>
      </c>
      <c r="AE7" s="4">
        <f t="shared" ca="1" si="1"/>
        <v>382463909.05184972</v>
      </c>
      <c r="AF7" s="4">
        <f t="shared" ca="1" si="1"/>
        <v>392507920.23005217</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140199091.39396513</v>
      </c>
      <c r="D10" s="9">
        <f>Investment!D25</f>
        <v>147208793.21079275</v>
      </c>
      <c r="E10" s="9">
        <f>Investment!E25</f>
        <v>154523552.07430989</v>
      </c>
      <c r="F10" s="9">
        <f>Investment!F25</f>
        <v>162155713.70084423</v>
      </c>
      <c r="G10" s="9">
        <f>Investment!G25</f>
        <v>169694768.34010947</v>
      </c>
      <c r="H10" s="9">
        <f>Investment!H25</f>
        <v>177541598.59358603</v>
      </c>
      <c r="I10" s="9">
        <f>Investment!I25</f>
        <v>185707936.4960767</v>
      </c>
      <c r="J10" s="9">
        <f>Investment!J25</f>
        <v>194205942.81757924</v>
      </c>
      <c r="K10" s="9">
        <f>Investment!K25</f>
        <v>203048222.29191458</v>
      </c>
      <c r="L10" s="9">
        <f>Investment!L25</f>
        <v>212537205.33670586</v>
      </c>
      <c r="M10" s="9">
        <f>Investment!M25</f>
        <v>222421083.3879368</v>
      </c>
      <c r="N10" s="9">
        <f>Investment!N25</f>
        <v>232715276.39933154</v>
      </c>
      <c r="O10" s="9">
        <f>Investment!O25</f>
        <v>243435782.66222629</v>
      </c>
      <c r="P10" s="9">
        <f>Investment!P25</f>
        <v>254599199.90204012</v>
      </c>
      <c r="Q10" s="9">
        <f>Investment!Q25</f>
        <v>266298237.32297552</v>
      </c>
      <c r="R10" s="9">
        <f>Investment!R25</f>
        <v>278481736.10930204</v>
      </c>
      <c r="S10" s="9">
        <f>Investment!S25</f>
        <v>291168611.39882523</v>
      </c>
      <c r="T10" s="9">
        <f>Investment!T25</f>
        <v>304378489.38238466</v>
      </c>
      <c r="U10" s="9">
        <f>Investment!U25</f>
        <v>318131733.3359136</v>
      </c>
      <c r="V10" s="9">
        <f>Investment!V25</f>
        <v>332628725.10371184</v>
      </c>
      <c r="W10" s="9">
        <f>Investment!W25</f>
        <v>347727757.44971329</v>
      </c>
      <c r="X10" s="9">
        <f>Investment!X25</f>
        <v>363452516.0513525</v>
      </c>
      <c r="Y10" s="9">
        <f>Investment!Y25</f>
        <v>379827585.97986805</v>
      </c>
      <c r="Z10" s="9">
        <f>Investment!Z25</f>
        <v>396878485.00737214</v>
      </c>
      <c r="AA10" s="9">
        <f>Investment!AA25</f>
        <v>414631698.12459326</v>
      </c>
      <c r="AB10" s="9">
        <f>Investment!AB25</f>
        <v>433114713.31266868</v>
      </c>
      <c r="AC10" s="9">
        <f>Investment!AC25</f>
        <v>452356058.61390144</v>
      </c>
      <c r="AD10" s="9">
        <f>Investment!AD25</f>
        <v>472385340.5479809</v>
      </c>
      <c r="AE10" s="9">
        <f>Investment!AE25</f>
        <v>493233283.92182094</v>
      </c>
      <c r="AF10" s="9">
        <f>Investment!AF25</f>
        <v>514931773.08286542</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-84022086.19578284</v>
      </c>
      <c r="D12" s="1">
        <f t="shared" ref="D12:AF12" ca="1" si="2">D7-D9-D10</f>
        <v>-73731434.611226991</v>
      </c>
      <c r="E12" s="1">
        <f ca="1">E7-E9-E10</f>
        <v>-57996605.729344726</v>
      </c>
      <c r="F12" s="1">
        <f t="shared" ca="1" si="2"/>
        <v>-44202405.972321033</v>
      </c>
      <c r="G12" s="1">
        <f ca="1">G7-G9-G10</f>
        <v>-41284565.093091458</v>
      </c>
      <c r="H12" s="1">
        <f t="shared" ca="1" si="2"/>
        <v>-41681566.68932274</v>
      </c>
      <c r="I12" s="1">
        <f t="shared" ca="1" si="2"/>
        <v>-41618992.712318152</v>
      </c>
      <c r="J12" s="1">
        <f t="shared" ca="1" si="2"/>
        <v>-41032092.99141565</v>
      </c>
      <c r="K12" s="1">
        <f t="shared" ca="1" si="2"/>
        <v>-39849982.006637692</v>
      </c>
      <c r="L12" s="1">
        <f t="shared" ca="1" si="2"/>
        <v>-38522429.502363116</v>
      </c>
      <c r="M12" s="1">
        <f t="shared" ca="1" si="2"/>
        <v>-39604484.099136263</v>
      </c>
      <c r="N12" s="1">
        <f t="shared" ca="1" si="2"/>
        <v>-40417953.955391884</v>
      </c>
      <c r="O12" s="1">
        <f t="shared" ca="1" si="2"/>
        <v>-40922034.073884338</v>
      </c>
      <c r="P12" s="1">
        <f t="shared" ca="1" si="2"/>
        <v>-41072160.940913737</v>
      </c>
      <c r="Q12" s="1">
        <f t="shared" ca="1" si="2"/>
        <v>-40967641.662085295</v>
      </c>
      <c r="R12" s="1">
        <f t="shared" ca="1" si="2"/>
        <v>-40429934.612957507</v>
      </c>
      <c r="S12" s="1">
        <f t="shared" ca="1" si="2"/>
        <v>-39403189.84143579</v>
      </c>
      <c r="T12" s="1">
        <f t="shared" ca="1" si="2"/>
        <v>-42363415.439332247</v>
      </c>
      <c r="U12" s="1">
        <f t="shared" ca="1" si="2"/>
        <v>-45340257.828155577</v>
      </c>
      <c r="V12" s="1">
        <f t="shared" ca="1" si="2"/>
        <v>-48695015.172438145</v>
      </c>
      <c r="W12" s="1">
        <f t="shared" ca="1" si="2"/>
        <v>-52094803.862745225</v>
      </c>
      <c r="X12" s="1">
        <f t="shared" ca="1" si="2"/>
        <v>-55528625.756620526</v>
      </c>
      <c r="Y12" s="1">
        <f t="shared" ca="1" si="2"/>
        <v>-58984117.481610537</v>
      </c>
      <c r="Z12" s="1">
        <f t="shared" ca="1" si="2"/>
        <v>-62447441.671362519</v>
      </c>
      <c r="AA12" s="1">
        <f t="shared" ca="1" si="2"/>
        <v>-70891703.37033385</v>
      </c>
      <c r="AB12" s="1">
        <f t="shared" ca="1" si="2"/>
        <v>-79915415.908898115</v>
      </c>
      <c r="AC12" s="1">
        <f t="shared" ca="1" si="2"/>
        <v>-89548522.423004806</v>
      </c>
      <c r="AD12" s="1">
        <f t="shared" ca="1" si="2"/>
        <v>-99822292.445687234</v>
      </c>
      <c r="AE12" s="1">
        <f t="shared" ca="1" si="2"/>
        <v>-110769374.86997122</v>
      </c>
      <c r="AF12" s="1">
        <f t="shared" ca="1" si="2"/>
        <v>-122423852.85281324</v>
      </c>
      <c r="AG12" s="1"/>
      <c r="AH12" s="1"/>
      <c r="AI12" s="1"/>
      <c r="AJ12" s="1"/>
      <c r="AK12" s="1"/>
      <c r="AL12" s="1"/>
      <c r="AM12" s="1"/>
      <c r="AN12" s="1"/>
      <c r="AO12" s="1"/>
      <c r="AP12" s="1"/>
    </row>
    <row r="13" spans="1:42" x14ac:dyDescent="0.35">
      <c r="A13" t="s">
        <v>19</v>
      </c>
      <c r="C13" s="1">
        <f ca="1">C12</f>
        <v>-84022086.19578284</v>
      </c>
      <c r="D13" s="1">
        <f ca="1">D12</f>
        <v>-73731434.611226991</v>
      </c>
      <c r="E13" s="1">
        <f ca="1">E12</f>
        <v>-57996605.729344726</v>
      </c>
      <c r="F13" s="1">
        <f t="shared" ref="F13:AF13" ca="1" si="3">F12</f>
        <v>-44202405.972321033</v>
      </c>
      <c r="G13" s="1">
        <f ca="1">G12</f>
        <v>-41284565.093091458</v>
      </c>
      <c r="H13" s="1">
        <f t="shared" ca="1" si="3"/>
        <v>-41681566.68932274</v>
      </c>
      <c r="I13" s="1">
        <f t="shared" ca="1" si="3"/>
        <v>-41618992.712318152</v>
      </c>
      <c r="J13" s="1">
        <f t="shared" ca="1" si="3"/>
        <v>-41032092.99141565</v>
      </c>
      <c r="K13" s="1">
        <f t="shared" ca="1" si="3"/>
        <v>-39849982.006637692</v>
      </c>
      <c r="L13" s="1">
        <f t="shared" ca="1" si="3"/>
        <v>-38522429.502363116</v>
      </c>
      <c r="M13" s="1">
        <f t="shared" ca="1" si="3"/>
        <v>-39604484.099136263</v>
      </c>
      <c r="N13" s="1">
        <f t="shared" ca="1" si="3"/>
        <v>-40417953.955391884</v>
      </c>
      <c r="O13" s="1">
        <f t="shared" ca="1" si="3"/>
        <v>-40922034.073884338</v>
      </c>
      <c r="P13" s="1">
        <f t="shared" ca="1" si="3"/>
        <v>-41072160.940913737</v>
      </c>
      <c r="Q13" s="1">
        <f t="shared" ca="1" si="3"/>
        <v>-40967641.662085295</v>
      </c>
      <c r="R13" s="1">
        <f t="shared" ca="1" si="3"/>
        <v>-40429934.612957507</v>
      </c>
      <c r="S13" s="1">
        <f t="shared" ca="1" si="3"/>
        <v>-39403189.84143579</v>
      </c>
      <c r="T13" s="1">
        <f t="shared" ca="1" si="3"/>
        <v>-42363415.439332247</v>
      </c>
      <c r="U13" s="1">
        <f t="shared" ca="1" si="3"/>
        <v>-45340257.828155577</v>
      </c>
      <c r="V13" s="1">
        <f t="shared" ca="1" si="3"/>
        <v>-48695015.172438145</v>
      </c>
      <c r="W13" s="1">
        <f t="shared" ca="1" si="3"/>
        <v>-52094803.862745225</v>
      </c>
      <c r="X13" s="1">
        <f t="shared" ca="1" si="3"/>
        <v>-55528625.756620526</v>
      </c>
      <c r="Y13" s="1">
        <f t="shared" ca="1" si="3"/>
        <v>-58984117.481610537</v>
      </c>
      <c r="Z13" s="1">
        <f t="shared" ca="1" si="3"/>
        <v>-62447441.671362519</v>
      </c>
      <c r="AA13" s="1">
        <f t="shared" ca="1" si="3"/>
        <v>-70891703.37033385</v>
      </c>
      <c r="AB13" s="1">
        <f t="shared" ca="1" si="3"/>
        <v>-79915415.908898115</v>
      </c>
      <c r="AC13" s="1">
        <f t="shared" ca="1" si="3"/>
        <v>-89548522.423004806</v>
      </c>
      <c r="AD13" s="1">
        <f t="shared" ca="1" si="3"/>
        <v>-99822292.445687234</v>
      </c>
      <c r="AE13" s="1">
        <f t="shared" ca="1" si="3"/>
        <v>-110769374.86997122</v>
      </c>
      <c r="AF13" s="1">
        <f t="shared" ca="1" si="3"/>
        <v>-122423852.85281324</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2461400481.1949997</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1230700240.5974998</v>
      </c>
      <c r="D7" s="9">
        <f>C12</f>
        <v>1269020662.2474117</v>
      </c>
      <c r="E7" s="9">
        <f>D12</f>
        <v>1311090668.2823415</v>
      </c>
      <c r="F7" s="9">
        <f t="shared" ref="F7:H7" si="1">E12</f>
        <v>1357110991.9911606</v>
      </c>
      <c r="G7" s="9">
        <f t="shared" si="1"/>
        <v>1407291374.0188186</v>
      </c>
      <c r="H7" s="9">
        <f t="shared" si="1"/>
        <v>1461841011.4140389</v>
      </c>
      <c r="I7" s="9">
        <f t="shared" ref="I7" si="2">H12</f>
        <v>1520977949.0684464</v>
      </c>
      <c r="J7" s="9">
        <f t="shared" ref="J7" si="3">I12</f>
        <v>1584929423.809906</v>
      </c>
      <c r="K7" s="9">
        <f t="shared" ref="K7" si="4">J12</f>
        <v>1653932221.2325702</v>
      </c>
      <c r="L7" s="9">
        <f t="shared" ref="L7" si="5">K12</f>
        <v>1728233045.7200656</v>
      </c>
      <c r="M7" s="9">
        <f t="shared" ref="M7" si="6">L12</f>
        <v>1808095686.1489484</v>
      </c>
      <c r="N7" s="9">
        <f t="shared" ref="N7" si="7">M12</f>
        <v>1893795247.5980868</v>
      </c>
      <c r="O7" s="9">
        <f t="shared" ref="O7" si="8">N12</f>
        <v>1985618601.1616561</v>
      </c>
      <c r="P7" s="9">
        <f t="shared" ref="P7" si="9">O12</f>
        <v>2083864850.8310866</v>
      </c>
      <c r="Q7" s="9">
        <f t="shared" ref="Q7" si="10">P12</f>
        <v>2188845818.0737638</v>
      </c>
      <c r="R7" s="9">
        <f t="shared" ref="R7" si="11">Q12</f>
        <v>2300888314.0602813</v>
      </c>
      <c r="S7" s="9">
        <f t="shared" ref="S7" si="12">R12</f>
        <v>2420333057.7367554</v>
      </c>
      <c r="T7" s="9">
        <f t="shared" ref="T7" si="13">S12</f>
        <v>2547535227.8028617</v>
      </c>
      <c r="U7" s="9">
        <f t="shared" ref="U7" si="14">T12</f>
        <v>2682865035.6675096</v>
      </c>
      <c r="V7" s="9">
        <f t="shared" ref="V7" si="15">U12</f>
        <v>2826708320.1561604</v>
      </c>
      <c r="W7" s="9">
        <f t="shared" ref="W7" si="16">V12</f>
        <v>2979471366.0494967</v>
      </c>
      <c r="X7" s="9">
        <f t="shared" ref="X7" si="17">W12</f>
        <v>3141577742.5541024</v>
      </c>
      <c r="Y7" s="9">
        <f t="shared" ref="Y7" si="18">X12</f>
        <v>3313468993.4701037</v>
      </c>
      <c r="Z7" s="9">
        <f t="shared" ref="Z7" si="19">Y12</f>
        <v>3495605353.8302898</v>
      </c>
      <c r="AA7" s="9">
        <f t="shared" ref="AA7" si="20">Z12</f>
        <v>3688466493.9981503</v>
      </c>
      <c r="AB7" s="9">
        <f t="shared" ref="AB7" si="21">AA12</f>
        <v>3892552292.2483673</v>
      </c>
      <c r="AC7" s="9">
        <f t="shared" ref="AC7" si="22">AB12</f>
        <v>4108383636.8906794</v>
      </c>
      <c r="AD7" s="9">
        <f t="shared" ref="AD7" si="23">AC12</f>
        <v>4336503259.0367727</v>
      </c>
      <c r="AE7" s="9">
        <f t="shared" ref="AE7" si="24">AD12</f>
        <v>4577476597.1499767</v>
      </c>
      <c r="AF7" s="9">
        <f t="shared" ref="AF7" si="25">AE12</f>
        <v>4831892694.5591068</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35875333.576054506</v>
      </c>
      <c r="D8" s="9">
        <f>Assumptions!E111*Assumptions!E11</f>
        <v>37023344.250488244</v>
      </c>
      <c r="E8" s="9">
        <f>Assumptions!F111*Assumptions!F11</f>
        <v>38208091.26650387</v>
      </c>
      <c r="F8" s="9">
        <f>Assumptions!G111*Assumptions!G11</f>
        <v>39430750.187031992</v>
      </c>
      <c r="G8" s="9">
        <f>Assumptions!H111*Assumptions!H11</f>
        <v>40692534.193017021</v>
      </c>
      <c r="H8" s="9">
        <f>Assumptions!I111*Assumptions!I11</f>
        <v>41994695.287193559</v>
      </c>
      <c r="I8" s="9">
        <f>Assumptions!J111*Assumptions!J11</f>
        <v>43338525.536383748</v>
      </c>
      <c r="J8" s="9">
        <f>Assumptions!K111*Assumptions!K11</f>
        <v>44725358.353548035</v>
      </c>
      <c r="K8" s="9">
        <f>Assumptions!L111*Assumptions!L11</f>
        <v>46156569.820861578</v>
      </c>
      <c r="L8" s="9">
        <f>Assumptions!M111*Assumptions!M11</f>
        <v>47633580.055129141</v>
      </c>
      <c r="M8" s="9">
        <f>Assumptions!N111*Assumptions!N11</f>
        <v>49157854.616893269</v>
      </c>
      <c r="N8" s="9">
        <f>Assumptions!O111*Assumptions!O11</f>
        <v>50730905.96463386</v>
      </c>
      <c r="O8" s="9">
        <f>Assumptions!P111*Assumptions!P11</f>
        <v>52354294.955502145</v>
      </c>
      <c r="P8" s="9">
        <f>Assumptions!Q111*Assumptions!Q11</f>
        <v>54029632.394078203</v>
      </c>
      <c r="Q8" s="9">
        <f>Assumptions!R111*Assumptions!R11</f>
        <v>55758580.630688697</v>
      </c>
      <c r="R8" s="9">
        <f>Assumptions!S111*Assumptions!S11</f>
        <v>57542855.21087075</v>
      </c>
      <c r="S8" s="9">
        <f>Assumptions!T111*Assumptions!T11</f>
        <v>59384226.577618621</v>
      </c>
      <c r="T8" s="9">
        <f>Assumptions!U111*Assumptions!U11</f>
        <v>61284521.828102402</v>
      </c>
      <c r="U8" s="9">
        <f>Assumptions!V111*Assumptions!V11</f>
        <v>63245626.52660168</v>
      </c>
      <c r="V8" s="9">
        <f>Assumptions!W111*Assumptions!W11</f>
        <v>65269486.575452939</v>
      </c>
      <c r="W8" s="9">
        <f>Assumptions!X111*Assumptions!X11</f>
        <v>67358110.145867437</v>
      </c>
      <c r="X8" s="9">
        <f>Assumptions!Y111*Assumptions!Y11</f>
        <v>69513569.670535192</v>
      </c>
      <c r="Y8" s="9">
        <f>Assumptions!Z111*Assumptions!Z11</f>
        <v>71738003.899992302</v>
      </c>
      <c r="Z8" s="9">
        <f>Assumptions!AA111*Assumptions!AA11</f>
        <v>74033620.02479206</v>
      </c>
      <c r="AA8" s="9">
        <f>Assumptions!AB111*Assumptions!AB11</f>
        <v>76402695.865585431</v>
      </c>
      <c r="AB8" s="9">
        <f>Assumptions!AC111*Assumptions!AC11</f>
        <v>78847582.133284152</v>
      </c>
      <c r="AC8" s="9">
        <f>Assumptions!AD111*Assumptions!AD11</f>
        <v>81370704.761549234</v>
      </c>
      <c r="AD8" s="9">
        <f>Assumptions!AE111*Assumptions!AE11</f>
        <v>83974567.313918814</v>
      </c>
      <c r="AE8" s="9">
        <f>Assumptions!AF111*Assumptions!AF11</f>
        <v>86661753.467964217</v>
      </c>
      <c r="AF8" s="9">
        <f>Assumptions!AG111*Assumptions!AG11</f>
        <v>89434929.578939065</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2445088.0738572804</v>
      </c>
      <c r="D9" s="9">
        <f>Assumptions!E120*Assumptions!E11</f>
        <v>5046661.7844414273</v>
      </c>
      <c r="E9" s="9">
        <f>Assumptions!F120*Assumptions!F11</f>
        <v>7812232.442315327</v>
      </c>
      <c r="F9" s="9">
        <f>Assumptions!G120*Assumptions!G11</f>
        <v>10749631.840625891</v>
      </c>
      <c r="G9" s="9">
        <f>Assumptions!H120*Assumptions!H11</f>
        <v>13857103.202203261</v>
      </c>
      <c r="H9" s="9">
        <f>Assumptions!I120*Assumptions!I11</f>
        <v>17142242.367214046</v>
      </c>
      <c r="I9" s="9">
        <f>Assumptions!J120*Assumptions!J11</f>
        <v>20612949.205075704</v>
      </c>
      <c r="J9" s="9">
        <f>Assumptions!K120*Assumptions!K11</f>
        <v>24277439.069116097</v>
      </c>
      <c r="K9" s="9">
        <f>Assumptions!L120*Assumptions!L11</f>
        <v>28144254.66663387</v>
      </c>
      <c r="L9" s="9">
        <f>Assumptions!M120*Assumptions!M11</f>
        <v>32229060.373753902</v>
      </c>
      <c r="M9" s="9">
        <f>Assumptions!N120*Assumptions!N11</f>
        <v>36541706.832245186</v>
      </c>
      <c r="N9" s="9">
        <f>Assumptions!O120*Assumptions!O11</f>
        <v>41092447.598935328</v>
      </c>
      <c r="O9" s="9">
        <f>Assumptions!P120*Assumptions!P11</f>
        <v>45891954.713928364</v>
      </c>
      <c r="P9" s="9">
        <f>Assumptions!Q120*Assumptions!Q11</f>
        <v>50951334.848598778</v>
      </c>
      <c r="Q9" s="9">
        <f>Assumptions!R120*Assumptions!R11</f>
        <v>56283915.355828926</v>
      </c>
      <c r="R9" s="9">
        <f>Assumptions!S120*Assumptions!S11</f>
        <v>61901888.465603322</v>
      </c>
      <c r="S9" s="9">
        <f>Assumptions!T120*Assumptions!T11</f>
        <v>67817943.488487884</v>
      </c>
      <c r="T9" s="9">
        <f>Assumptions!U120*Assumptions!U11</f>
        <v>74045286.036545187</v>
      </c>
      <c r="U9" s="9">
        <f>Assumptions!V120*Assumptions!V11</f>
        <v>80597657.962048933</v>
      </c>
      <c r="V9" s="9">
        <f>Assumptions!W120*Assumptions!W11</f>
        <v>87493559.317883536</v>
      </c>
      <c r="W9" s="9">
        <f>Assumptions!X120*Assumptions!X11</f>
        <v>94748266.358738378</v>
      </c>
      <c r="X9" s="9">
        <f>Assumptions!Y120*Assumptions!Y11</f>
        <v>102377681.24546641</v>
      </c>
      <c r="Y9" s="9">
        <f>Assumptions!Z120*Assumptions!Z11</f>
        <v>110398356.46019371</v>
      </c>
      <c r="Z9" s="9">
        <f>Assumptions!AA120*Assumptions!AA11</f>
        <v>118827520.14306819</v>
      </c>
      <c r="AA9" s="9">
        <f>Assumptions!AB120*Assumptions!AB11</f>
        <v>127683102.38463145</v>
      </c>
      <c r="AB9" s="9">
        <f>Assumptions!AC120*Assumptions!AC11</f>
        <v>136983762.50902817</v>
      </c>
      <c r="AC9" s="9">
        <f>Assumptions!AD120*Assumptions!AD11</f>
        <v>146748917.38454443</v>
      </c>
      <c r="AD9" s="9">
        <f>Assumptions!AE120*Assumptions!AE11</f>
        <v>156998770.79928455</v>
      </c>
      <c r="AE9" s="9">
        <f>Assumptions!AF120*Assumptions!AF11</f>
        <v>167754343.94116625</v>
      </c>
      <c r="AF9" s="9">
        <f>Assumptions!AG120*Assumptions!AG11</f>
        <v>179037507.02282986</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38320421.649911784</v>
      </c>
      <c r="D10" s="9">
        <f>SUM($C$8:D9)</f>
        <v>80390427.684841454</v>
      </c>
      <c r="E10" s="9">
        <f>SUM($C$8:E9)</f>
        <v>126410751.39366065</v>
      </c>
      <c r="F10" s="9">
        <f>SUM($C$8:F9)</f>
        <v>176591133.42131856</v>
      </c>
      <c r="G10" s="9">
        <f>SUM($C$8:G9)</f>
        <v>231140770.81653887</v>
      </c>
      <c r="H10" s="9">
        <f>SUM($C$8:H9)</f>
        <v>290277708.47094643</v>
      </c>
      <c r="I10" s="9">
        <f>SUM($C$8:I9)</f>
        <v>354229183.21240586</v>
      </c>
      <c r="J10" s="9">
        <f>SUM($C$8:J9)</f>
        <v>423231980.63507003</v>
      </c>
      <c r="K10" s="9">
        <f>SUM($C$8:K9)</f>
        <v>497532805.12256545</v>
      </c>
      <c r="L10" s="9">
        <f>SUM($C$8:L9)</f>
        <v>577395445.55144858</v>
      </c>
      <c r="M10" s="9">
        <f>SUM($C$8:M9)</f>
        <v>663095007.00058711</v>
      </c>
      <c r="N10" s="9">
        <f>SUM($C$8:N9)</f>
        <v>754918360.56415641</v>
      </c>
      <c r="O10" s="9">
        <f>SUM($C$8:O9)</f>
        <v>853164610.23358691</v>
      </c>
      <c r="P10" s="9">
        <f>SUM($C$8:P9)</f>
        <v>958145577.476264</v>
      </c>
      <c r="Q10" s="9">
        <f>SUM($C$8:Q9)</f>
        <v>1070188073.4627815</v>
      </c>
      <c r="R10" s="9">
        <f>SUM($C$8:R9)</f>
        <v>1189632817.1392558</v>
      </c>
      <c r="S10" s="9">
        <f>SUM($C$8:S9)</f>
        <v>1316834987.2053623</v>
      </c>
      <c r="T10" s="9">
        <f>SUM($C$8:T9)</f>
        <v>1452164795.0700099</v>
      </c>
      <c r="U10" s="9">
        <f>SUM($C$8:U9)</f>
        <v>1596008079.5586605</v>
      </c>
      <c r="V10" s="9">
        <f>SUM($C$8:V9)</f>
        <v>1748771125.4519968</v>
      </c>
      <c r="W10" s="9">
        <f>SUM($C$8:W9)</f>
        <v>1910877501.9566026</v>
      </c>
      <c r="X10" s="9">
        <f>SUM($C$8:X9)</f>
        <v>2082768752.8726044</v>
      </c>
      <c r="Y10" s="9">
        <f>SUM($C$8:Y9)</f>
        <v>2264905113.23279</v>
      </c>
      <c r="Z10" s="9">
        <f>SUM($C$8:Z9)</f>
        <v>2457766253.4006505</v>
      </c>
      <c r="AA10" s="9">
        <f>SUM($C$8:AA9)</f>
        <v>2661852051.650867</v>
      </c>
      <c r="AB10" s="9">
        <f>SUM($C$8:AB9)</f>
        <v>2877683396.2931795</v>
      </c>
      <c r="AC10" s="9">
        <f>SUM($C$8:AC9)</f>
        <v>3105803018.4392729</v>
      </c>
      <c r="AD10" s="9">
        <f>SUM($C$8:AD9)</f>
        <v>3346776356.5524759</v>
      </c>
      <c r="AE10" s="9">
        <f>SUM($C$8:AE9)</f>
        <v>3601192453.9616065</v>
      </c>
      <c r="AF10" s="9">
        <f>SUM($C$8:AF9)</f>
        <v>3869664890.5633755</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1269020662.2474117</v>
      </c>
      <c r="D12" s="9">
        <f>D7+D8+D9</f>
        <v>1311090668.2823415</v>
      </c>
      <c r="E12" s="9">
        <f>E7+E8+E9</f>
        <v>1357110991.9911606</v>
      </c>
      <c r="F12" s="9">
        <f t="shared" ref="F12:H12" si="26">F7+F8+F9</f>
        <v>1407291374.0188186</v>
      </c>
      <c r="G12" s="9">
        <f t="shared" si="26"/>
        <v>1461841011.4140389</v>
      </c>
      <c r="H12" s="9">
        <f t="shared" si="26"/>
        <v>1520977949.0684464</v>
      </c>
      <c r="I12" s="9">
        <f t="shared" ref="I12:AF12" si="27">I7+I8+I9</f>
        <v>1584929423.809906</v>
      </c>
      <c r="J12" s="9">
        <f t="shared" si="27"/>
        <v>1653932221.2325702</v>
      </c>
      <c r="K12" s="9">
        <f t="shared" si="27"/>
        <v>1728233045.7200656</v>
      </c>
      <c r="L12" s="9">
        <f t="shared" si="27"/>
        <v>1808095686.1489484</v>
      </c>
      <c r="M12" s="9">
        <f t="shared" si="27"/>
        <v>1893795247.5980868</v>
      </c>
      <c r="N12" s="9">
        <f t="shared" si="27"/>
        <v>1985618601.1616561</v>
      </c>
      <c r="O12" s="9">
        <f t="shared" si="27"/>
        <v>2083864850.8310866</v>
      </c>
      <c r="P12" s="9">
        <f t="shared" si="27"/>
        <v>2188845818.0737638</v>
      </c>
      <c r="Q12" s="9">
        <f t="shared" si="27"/>
        <v>2300888314.0602813</v>
      </c>
      <c r="R12" s="9">
        <f t="shared" si="27"/>
        <v>2420333057.7367554</v>
      </c>
      <c r="S12" s="9">
        <f t="shared" si="27"/>
        <v>2547535227.8028617</v>
      </c>
      <c r="T12" s="9">
        <f t="shared" si="27"/>
        <v>2682865035.6675096</v>
      </c>
      <c r="U12" s="9">
        <f t="shared" si="27"/>
        <v>2826708320.1561604</v>
      </c>
      <c r="V12" s="9">
        <f t="shared" si="27"/>
        <v>2979471366.0494967</v>
      </c>
      <c r="W12" s="9">
        <f t="shared" si="27"/>
        <v>3141577742.5541024</v>
      </c>
      <c r="X12" s="9">
        <f t="shared" si="27"/>
        <v>3313468993.4701037</v>
      </c>
      <c r="Y12" s="9">
        <f t="shared" si="27"/>
        <v>3495605353.8302898</v>
      </c>
      <c r="Z12" s="9">
        <f t="shared" si="27"/>
        <v>3688466493.9981503</v>
      </c>
      <c r="AA12" s="9">
        <f t="shared" si="27"/>
        <v>3892552292.2483673</v>
      </c>
      <c r="AB12" s="9">
        <f t="shared" si="27"/>
        <v>4108383636.8906794</v>
      </c>
      <c r="AC12" s="9">
        <f t="shared" si="27"/>
        <v>4336503259.0367727</v>
      </c>
      <c r="AD12" s="9">
        <f t="shared" si="27"/>
        <v>4577476597.1499767</v>
      </c>
      <c r="AE12" s="9">
        <f t="shared" si="27"/>
        <v>4831892694.5591068</v>
      </c>
      <c r="AF12" s="9">
        <f t="shared" si="27"/>
        <v>5100365131.1608763</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140199091.39396513</v>
      </c>
      <c r="D18" s="9">
        <f>Investment!D25</f>
        <v>147208793.21079275</v>
      </c>
      <c r="E18" s="9">
        <f>Investment!E25</f>
        <v>154523552.07430989</v>
      </c>
      <c r="F18" s="9">
        <f>Investment!F25</f>
        <v>162155713.70084423</v>
      </c>
      <c r="G18" s="9">
        <f>Investment!G25</f>
        <v>169694768.34010947</v>
      </c>
      <c r="H18" s="9">
        <f>Investment!H25</f>
        <v>177541598.59358603</v>
      </c>
      <c r="I18" s="9">
        <f>Investment!I25</f>
        <v>185707936.4960767</v>
      </c>
      <c r="J18" s="9">
        <f>Investment!J25</f>
        <v>194205942.81757924</v>
      </c>
      <c r="K18" s="9">
        <f>Investment!K25</f>
        <v>203048222.29191458</v>
      </c>
      <c r="L18" s="9">
        <f>Investment!L25</f>
        <v>212537205.33670586</v>
      </c>
      <c r="M18" s="9">
        <f>Investment!M25</f>
        <v>222421083.3879368</v>
      </c>
      <c r="N18" s="9">
        <f>Investment!N25</f>
        <v>232715276.39933154</v>
      </c>
      <c r="O18" s="9">
        <f>Investment!O25</f>
        <v>243435782.66222629</v>
      </c>
      <c r="P18" s="9">
        <f>Investment!P25</f>
        <v>254599199.90204012</v>
      </c>
      <c r="Q18" s="9">
        <f>Investment!Q25</f>
        <v>266298237.32297552</v>
      </c>
      <c r="R18" s="9">
        <f>Investment!R25</f>
        <v>278481736.10930204</v>
      </c>
      <c r="S18" s="9">
        <f>Investment!S25</f>
        <v>291168611.39882523</v>
      </c>
      <c r="T18" s="9">
        <f>Investment!T25</f>
        <v>304378489.38238466</v>
      </c>
      <c r="U18" s="9">
        <f>Investment!U25</f>
        <v>318131733.3359136</v>
      </c>
      <c r="V18" s="9">
        <f>Investment!V25</f>
        <v>332628725.10371184</v>
      </c>
      <c r="W18" s="9">
        <f>Investment!W25</f>
        <v>347727757.44971329</v>
      </c>
      <c r="X18" s="9">
        <f>Investment!X25</f>
        <v>363452516.0513525</v>
      </c>
      <c r="Y18" s="9">
        <f>Investment!Y25</f>
        <v>379827585.97986805</v>
      </c>
      <c r="Z18" s="9">
        <f>Investment!Z25</f>
        <v>396878485.00737214</v>
      </c>
      <c r="AA18" s="9">
        <f>Investment!AA25</f>
        <v>414631698.12459326</v>
      </c>
      <c r="AB18" s="9">
        <f>Investment!AB25</f>
        <v>433114713.31266868</v>
      </c>
      <c r="AC18" s="9">
        <f>Investment!AC25</f>
        <v>452356058.61390144</v>
      </c>
      <c r="AD18" s="9">
        <f>Investment!AD25</f>
        <v>472385340.5479809</v>
      </c>
      <c r="AE18" s="9">
        <f>Investment!AE25</f>
        <v>493233283.92182094</v>
      </c>
      <c r="AF18" s="9">
        <f>Investment!AF25</f>
        <v>514931773.08286542</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1370899331.9914651</v>
      </c>
      <c r="D19" s="9">
        <f>D18+C20</f>
        <v>1479787703.552346</v>
      </c>
      <c r="E19" s="9">
        <f>E18+D20</f>
        <v>1592241249.5917261</v>
      </c>
      <c r="F19" s="9">
        <f t="shared" ref="F19:AF19" si="28">F18+E20</f>
        <v>1708376639.5837512</v>
      </c>
      <c r="G19" s="9">
        <f t="shared" si="28"/>
        <v>1827891025.8962026</v>
      </c>
      <c r="H19" s="9">
        <f t="shared" si="28"/>
        <v>1950882987.0945683</v>
      </c>
      <c r="I19" s="9">
        <f t="shared" si="28"/>
        <v>2077453985.9362373</v>
      </c>
      <c r="J19" s="9">
        <f t="shared" si="28"/>
        <v>2207708454.0123572</v>
      </c>
      <c r="K19" s="9">
        <f t="shared" si="28"/>
        <v>2341753878.8816075</v>
      </c>
      <c r="L19" s="9">
        <f t="shared" si="28"/>
        <v>2479990259.7308178</v>
      </c>
      <c r="M19" s="9">
        <f t="shared" si="28"/>
        <v>2622548702.6898713</v>
      </c>
      <c r="N19" s="9">
        <f t="shared" si="28"/>
        <v>2769564417.6400642</v>
      </c>
      <c r="O19" s="9">
        <f t="shared" si="28"/>
        <v>2921176846.7387214</v>
      </c>
      <c r="P19" s="9">
        <f t="shared" si="28"/>
        <v>3077529796.9713311</v>
      </c>
      <c r="Q19" s="9">
        <f t="shared" si="28"/>
        <v>3238847067.0516295</v>
      </c>
      <c r="R19" s="9">
        <f t="shared" si="28"/>
        <v>3405286307.1744142</v>
      </c>
      <c r="S19" s="9">
        <f t="shared" si="28"/>
        <v>3577010174.8967652</v>
      </c>
      <c r="T19" s="9">
        <f t="shared" si="28"/>
        <v>3754186494.2130437</v>
      </c>
      <c r="U19" s="9">
        <f t="shared" si="28"/>
        <v>3936988419.6843095</v>
      </c>
      <c r="V19" s="9">
        <f t="shared" si="28"/>
        <v>4125773860.2993708</v>
      </c>
      <c r="W19" s="9">
        <f t="shared" si="28"/>
        <v>4320738571.8557482</v>
      </c>
      <c r="X19" s="9">
        <f t="shared" si="28"/>
        <v>4522084711.4024944</v>
      </c>
      <c r="Y19" s="9">
        <f t="shared" si="28"/>
        <v>4730021046.466361</v>
      </c>
      <c r="Z19" s="9">
        <f t="shared" si="28"/>
        <v>4944763171.1135473</v>
      </c>
      <c r="AA19" s="9">
        <f t="shared" si="28"/>
        <v>5166533729.0702801</v>
      </c>
      <c r="AB19" s="9">
        <f t="shared" si="28"/>
        <v>5395562644.1327324</v>
      </c>
      <c r="AC19" s="9">
        <f t="shared" si="28"/>
        <v>5632087358.1043205</v>
      </c>
      <c r="AD19" s="9">
        <f t="shared" si="28"/>
        <v>5876353076.5062084</v>
      </c>
      <c r="AE19" s="9">
        <f t="shared" si="28"/>
        <v>6128613022.3148251</v>
      </c>
      <c r="AF19" s="9">
        <f t="shared" si="28"/>
        <v>6389128697.9885607</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1332578910.3415532</v>
      </c>
      <c r="D20" s="9">
        <f>D19-D8-D9</f>
        <v>1437717697.5174162</v>
      </c>
      <c r="E20" s="9">
        <f t="shared" ref="E20:AF20" si="29">E19-E8-E9</f>
        <v>1546220925.8829069</v>
      </c>
      <c r="F20" s="9">
        <f t="shared" si="29"/>
        <v>1658196257.5560932</v>
      </c>
      <c r="G20" s="9">
        <f t="shared" si="29"/>
        <v>1773341388.5009823</v>
      </c>
      <c r="H20" s="9">
        <f t="shared" si="29"/>
        <v>1891746049.4401608</v>
      </c>
      <c r="I20" s="9">
        <f t="shared" si="29"/>
        <v>2013502511.194778</v>
      </c>
      <c r="J20" s="9">
        <f t="shared" si="29"/>
        <v>2138705656.5896931</v>
      </c>
      <c r="K20" s="9">
        <f t="shared" si="29"/>
        <v>2267453054.3941121</v>
      </c>
      <c r="L20" s="9">
        <f t="shared" si="29"/>
        <v>2400127619.3019347</v>
      </c>
      <c r="M20" s="9">
        <f t="shared" si="29"/>
        <v>2536849141.2407327</v>
      </c>
      <c r="N20" s="9">
        <f t="shared" si="29"/>
        <v>2677741064.0764952</v>
      </c>
      <c r="O20" s="9">
        <f t="shared" si="29"/>
        <v>2822930597.0692911</v>
      </c>
      <c r="P20" s="9">
        <f t="shared" si="29"/>
        <v>2972548829.7286539</v>
      </c>
      <c r="Q20" s="9">
        <f t="shared" si="29"/>
        <v>3126804571.0651121</v>
      </c>
      <c r="R20" s="9">
        <f t="shared" si="29"/>
        <v>3285841563.4979401</v>
      </c>
      <c r="S20" s="9">
        <f t="shared" si="29"/>
        <v>3449808004.8306589</v>
      </c>
      <c r="T20" s="9">
        <f t="shared" si="29"/>
        <v>3618856686.3483958</v>
      </c>
      <c r="U20" s="9">
        <f t="shared" si="29"/>
        <v>3793145135.1956587</v>
      </c>
      <c r="V20" s="9">
        <f t="shared" si="29"/>
        <v>3973010814.4060345</v>
      </c>
      <c r="W20" s="9">
        <f t="shared" si="29"/>
        <v>4158632195.3511424</v>
      </c>
      <c r="X20" s="9">
        <f t="shared" si="29"/>
        <v>4350193460.4864931</v>
      </c>
      <c r="Y20" s="9">
        <f t="shared" si="29"/>
        <v>4547884686.1061754</v>
      </c>
      <c r="Z20" s="9">
        <f t="shared" si="29"/>
        <v>4751902030.9456873</v>
      </c>
      <c r="AA20" s="9">
        <f t="shared" si="29"/>
        <v>4962447930.8200636</v>
      </c>
      <c r="AB20" s="9">
        <f t="shared" si="29"/>
        <v>5179731299.4904194</v>
      </c>
      <c r="AC20" s="9">
        <f t="shared" si="29"/>
        <v>5403967735.9582272</v>
      </c>
      <c r="AD20" s="9">
        <f t="shared" si="29"/>
        <v>5635379738.3930044</v>
      </c>
      <c r="AE20" s="9">
        <f t="shared" si="29"/>
        <v>5874196924.905695</v>
      </c>
      <c r="AF20" s="9">
        <f t="shared" si="29"/>
        <v>6120656261.3867912</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258009000</v>
      </c>
      <c r="D22" s="9">
        <f ca="1">'Balance Sheet'!C11</f>
        <v>342031086.19578284</v>
      </c>
      <c r="E22" s="9">
        <f ca="1">'Balance Sheet'!D11</f>
        <v>415762520.80700982</v>
      </c>
      <c r="F22" s="9">
        <f ca="1">'Balance Sheet'!E11</f>
        <v>473759126.53635454</v>
      </c>
      <c r="G22" s="9">
        <f ca="1">'Balance Sheet'!F11</f>
        <v>517961532.50867558</v>
      </c>
      <c r="H22" s="9">
        <f ca="1">'Balance Sheet'!G11</f>
        <v>559246097.60176706</v>
      </c>
      <c r="I22" s="9">
        <f ca="1">'Balance Sheet'!H11</f>
        <v>600927664.29108977</v>
      </c>
      <c r="J22" s="9">
        <f ca="1">'Balance Sheet'!I11</f>
        <v>642546657.00340796</v>
      </c>
      <c r="K22" s="9">
        <f ca="1">'Balance Sheet'!J11</f>
        <v>683578749.99482358</v>
      </c>
      <c r="L22" s="9">
        <f ca="1">'Balance Sheet'!K11</f>
        <v>723428732.00146127</v>
      </c>
      <c r="M22" s="9">
        <f ca="1">'Balance Sheet'!L11</f>
        <v>761951161.50382435</v>
      </c>
      <c r="N22" s="9">
        <f ca="1">'Balance Sheet'!M11</f>
        <v>801555645.60296059</v>
      </c>
      <c r="O22" s="9">
        <f ca="1">'Balance Sheet'!N11</f>
        <v>841973599.55835247</v>
      </c>
      <c r="P22" s="9">
        <f ca="1">'Balance Sheet'!O11</f>
        <v>882895633.63223684</v>
      </c>
      <c r="Q22" s="9">
        <f ca="1">'Balance Sheet'!P11</f>
        <v>923967794.57315063</v>
      </c>
      <c r="R22" s="9">
        <f ca="1">'Balance Sheet'!Q11</f>
        <v>964935436.23523593</v>
      </c>
      <c r="S22" s="9">
        <f ca="1">'Balance Sheet'!R11</f>
        <v>1005365370.8481934</v>
      </c>
      <c r="T22" s="9">
        <f ca="1">'Balance Sheet'!S11</f>
        <v>1044768560.6896292</v>
      </c>
      <c r="U22" s="9">
        <f ca="1">'Balance Sheet'!T11</f>
        <v>1087131976.1289616</v>
      </c>
      <c r="V22" s="9">
        <f ca="1">'Balance Sheet'!U11</f>
        <v>1132472233.9571171</v>
      </c>
      <c r="W22" s="9">
        <f ca="1">'Balance Sheet'!V11</f>
        <v>1181167249.1295552</v>
      </c>
      <c r="X22" s="9">
        <f ca="1">'Balance Sheet'!W11</f>
        <v>1233262052.9923005</v>
      </c>
      <c r="Y22" s="9">
        <f ca="1">'Balance Sheet'!X11</f>
        <v>1288790678.7489209</v>
      </c>
      <c r="Z22" s="9">
        <f ca="1">'Balance Sheet'!Y11</f>
        <v>1347774796.2305315</v>
      </c>
      <c r="AA22" s="9">
        <f ca="1">'Balance Sheet'!Z11</f>
        <v>1410222237.9018941</v>
      </c>
      <c r="AB22" s="9">
        <f ca="1">'Balance Sheet'!AA11</f>
        <v>1481113941.272228</v>
      </c>
      <c r="AC22" s="9">
        <f ca="1">'Balance Sheet'!AB11</f>
        <v>1561029357.1811261</v>
      </c>
      <c r="AD22" s="9">
        <f ca="1">'Balance Sheet'!AC11</f>
        <v>1650577879.604131</v>
      </c>
      <c r="AE22" s="9">
        <f ca="1">'Balance Sheet'!AD11</f>
        <v>1750400172.0498183</v>
      </c>
      <c r="AF22" s="9">
        <f ca="1">'Balance Sheet'!AE11</f>
        <v>1861169546.9197896</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1074569910.3415532</v>
      </c>
      <c r="D23" s="9">
        <f t="shared" ref="D23:AF23" ca="1" si="30">D20-D22</f>
        <v>1095686611.3216333</v>
      </c>
      <c r="E23" s="9">
        <f t="shared" ca="1" si="30"/>
        <v>1130458405.0758972</v>
      </c>
      <c r="F23" s="9">
        <f t="shared" ca="1" si="30"/>
        <v>1184437131.0197387</v>
      </c>
      <c r="G23" s="9">
        <f t="shared" ca="1" si="30"/>
        <v>1255379855.9923067</v>
      </c>
      <c r="H23" s="9">
        <f t="shared" ca="1" si="30"/>
        <v>1332499951.8383937</v>
      </c>
      <c r="I23" s="9">
        <f t="shared" ca="1" si="30"/>
        <v>1412574846.9036882</v>
      </c>
      <c r="J23" s="9">
        <f ca="1">J20-J22</f>
        <v>1496158999.5862851</v>
      </c>
      <c r="K23" s="9">
        <f t="shared" ca="1" si="30"/>
        <v>1583874304.3992887</v>
      </c>
      <c r="L23" s="9">
        <f t="shared" ca="1" si="30"/>
        <v>1676698887.3004735</v>
      </c>
      <c r="M23" s="9">
        <f t="shared" ca="1" si="30"/>
        <v>1774897979.7369084</v>
      </c>
      <c r="N23" s="9">
        <f t="shared" ca="1" si="30"/>
        <v>1876185418.4735346</v>
      </c>
      <c r="O23" s="9">
        <f t="shared" ca="1" si="30"/>
        <v>1980956997.5109386</v>
      </c>
      <c r="P23" s="9">
        <f t="shared" ca="1" si="30"/>
        <v>2089653196.096417</v>
      </c>
      <c r="Q23" s="9">
        <f t="shared" ca="1" si="30"/>
        <v>2202836776.4919615</v>
      </c>
      <c r="R23" s="9">
        <f t="shared" ca="1" si="30"/>
        <v>2320906127.2627039</v>
      </c>
      <c r="S23" s="9">
        <f t="shared" ca="1" si="30"/>
        <v>2444442633.9824657</v>
      </c>
      <c r="T23" s="9">
        <f t="shared" ca="1" si="30"/>
        <v>2574088125.6587667</v>
      </c>
      <c r="U23" s="9">
        <f t="shared" ca="1" si="30"/>
        <v>2706013159.0666971</v>
      </c>
      <c r="V23" s="9">
        <f t="shared" ca="1" si="30"/>
        <v>2840538580.4489174</v>
      </c>
      <c r="W23" s="9">
        <f t="shared" ca="1" si="30"/>
        <v>2977464946.2215872</v>
      </c>
      <c r="X23" s="9">
        <f t="shared" ca="1" si="30"/>
        <v>3116931407.4941926</v>
      </c>
      <c r="Y23" s="9">
        <f t="shared" ca="1" si="30"/>
        <v>3259094007.3572545</v>
      </c>
      <c r="Z23" s="9">
        <f t="shared" ca="1" si="30"/>
        <v>3404127234.7151556</v>
      </c>
      <c r="AA23" s="9">
        <f t="shared" ca="1" si="30"/>
        <v>3552225692.9181695</v>
      </c>
      <c r="AB23" s="9">
        <f t="shared" ca="1" si="30"/>
        <v>3698617358.2181911</v>
      </c>
      <c r="AC23" s="9">
        <f t="shared" ca="1" si="30"/>
        <v>3842938378.777101</v>
      </c>
      <c r="AD23" s="9">
        <f t="shared" ca="1" si="30"/>
        <v>3984801858.7888737</v>
      </c>
      <c r="AE23" s="9">
        <f t="shared" ca="1" si="30"/>
        <v>4123796752.8558769</v>
      </c>
      <c r="AF23" s="9">
        <f t="shared" ca="1" si="30"/>
        <v>4259486714.4670019</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258009000</v>
      </c>
      <c r="D5" s="1">
        <f ca="1">C5+C6</f>
        <v>342031086.19578284</v>
      </c>
      <c r="E5" s="1">
        <f t="shared" ref="E5:AF5" ca="1" si="1">D5+D6</f>
        <v>415762520.80700982</v>
      </c>
      <c r="F5" s="1">
        <f t="shared" ca="1" si="1"/>
        <v>473759126.53635454</v>
      </c>
      <c r="G5" s="1">
        <f t="shared" ca="1" si="1"/>
        <v>517961532.50867558</v>
      </c>
      <c r="H5" s="1">
        <f t="shared" ca="1" si="1"/>
        <v>559246097.60176706</v>
      </c>
      <c r="I5" s="1">
        <f t="shared" ca="1" si="1"/>
        <v>600927664.29108977</v>
      </c>
      <c r="J5" s="1">
        <f t="shared" ca="1" si="1"/>
        <v>642546657.00340796</v>
      </c>
      <c r="K5" s="1">
        <f t="shared" ca="1" si="1"/>
        <v>683578749.99482358</v>
      </c>
      <c r="L5" s="1">
        <f t="shared" ca="1" si="1"/>
        <v>723428732.00146127</v>
      </c>
      <c r="M5" s="1">
        <f t="shared" ca="1" si="1"/>
        <v>761951161.50382435</v>
      </c>
      <c r="N5" s="1">
        <f t="shared" ca="1" si="1"/>
        <v>801555645.60296059</v>
      </c>
      <c r="O5" s="1">
        <f t="shared" ca="1" si="1"/>
        <v>841973599.55835247</v>
      </c>
      <c r="P5" s="1">
        <f t="shared" ca="1" si="1"/>
        <v>882895633.63223684</v>
      </c>
      <c r="Q5" s="1">
        <f t="shared" ca="1" si="1"/>
        <v>923967794.57315063</v>
      </c>
      <c r="R5" s="1">
        <f t="shared" ca="1" si="1"/>
        <v>964935436.23523593</v>
      </c>
      <c r="S5" s="1">
        <f t="shared" ca="1" si="1"/>
        <v>1005365370.8481934</v>
      </c>
      <c r="T5" s="1">
        <f t="shared" ca="1" si="1"/>
        <v>1044768560.6896292</v>
      </c>
      <c r="U5" s="1">
        <f t="shared" ca="1" si="1"/>
        <v>1087131976.1289616</v>
      </c>
      <c r="V5" s="1">
        <f t="shared" ca="1" si="1"/>
        <v>1132472233.9571171</v>
      </c>
      <c r="W5" s="1">
        <f t="shared" ca="1" si="1"/>
        <v>1181167249.1295552</v>
      </c>
      <c r="X5" s="1">
        <f t="shared" ca="1" si="1"/>
        <v>1233262052.9923005</v>
      </c>
      <c r="Y5" s="1">
        <f t="shared" ca="1" si="1"/>
        <v>1288790678.7489209</v>
      </c>
      <c r="Z5" s="1">
        <f t="shared" ca="1" si="1"/>
        <v>1347774796.2305315</v>
      </c>
      <c r="AA5" s="1">
        <f t="shared" ca="1" si="1"/>
        <v>1410222237.9018941</v>
      </c>
      <c r="AB5" s="1">
        <f t="shared" ca="1" si="1"/>
        <v>1481113941.272228</v>
      </c>
      <c r="AC5" s="1">
        <f t="shared" ca="1" si="1"/>
        <v>1561029357.1811261</v>
      </c>
      <c r="AD5" s="1">
        <f t="shared" ca="1" si="1"/>
        <v>1650577879.604131</v>
      </c>
      <c r="AE5" s="1">
        <f t="shared" ca="1" si="1"/>
        <v>1750400172.0498183</v>
      </c>
      <c r="AF5" s="1">
        <f t="shared" ca="1" si="1"/>
        <v>1861169546.9197896</v>
      </c>
      <c r="AG5" s="1"/>
      <c r="AH5" s="1"/>
      <c r="AI5" s="1"/>
      <c r="AJ5" s="1"/>
      <c r="AK5" s="1"/>
      <c r="AL5" s="1"/>
      <c r="AM5" s="1"/>
      <c r="AN5" s="1"/>
      <c r="AO5" s="1"/>
      <c r="AP5" s="1"/>
    </row>
    <row r="6" spans="1:42" x14ac:dyDescent="0.35">
      <c r="A6" s="63" t="s">
        <v>3</v>
      </c>
      <c r="C6" s="1">
        <f ca="1">-'Cash Flow'!C13</f>
        <v>84022086.19578284</v>
      </c>
      <c r="D6" s="1">
        <f ca="1">-'Cash Flow'!D13</f>
        <v>73731434.611226991</v>
      </c>
      <c r="E6" s="1">
        <f ca="1">-'Cash Flow'!E13</f>
        <v>57996605.729344726</v>
      </c>
      <c r="F6" s="1">
        <f ca="1">-'Cash Flow'!F13</f>
        <v>44202405.972321033</v>
      </c>
      <c r="G6" s="1">
        <f ca="1">-'Cash Flow'!G13</f>
        <v>41284565.093091458</v>
      </c>
      <c r="H6" s="1">
        <f ca="1">-'Cash Flow'!H13</f>
        <v>41681566.68932274</v>
      </c>
      <c r="I6" s="1">
        <f ca="1">-'Cash Flow'!I13</f>
        <v>41618992.712318152</v>
      </c>
      <c r="J6" s="1">
        <f ca="1">-'Cash Flow'!J13</f>
        <v>41032092.99141565</v>
      </c>
      <c r="K6" s="1">
        <f ca="1">-'Cash Flow'!K13</f>
        <v>39849982.006637692</v>
      </c>
      <c r="L6" s="1">
        <f ca="1">-'Cash Flow'!L13</f>
        <v>38522429.502363116</v>
      </c>
      <c r="M6" s="1">
        <f ca="1">-'Cash Flow'!M13</f>
        <v>39604484.099136263</v>
      </c>
      <c r="N6" s="1">
        <f ca="1">-'Cash Flow'!N13</f>
        <v>40417953.955391884</v>
      </c>
      <c r="O6" s="1">
        <f ca="1">-'Cash Flow'!O13</f>
        <v>40922034.073884338</v>
      </c>
      <c r="P6" s="1">
        <f ca="1">-'Cash Flow'!P13</f>
        <v>41072160.940913737</v>
      </c>
      <c r="Q6" s="1">
        <f ca="1">-'Cash Flow'!Q13</f>
        <v>40967641.662085295</v>
      </c>
      <c r="R6" s="1">
        <f ca="1">-'Cash Flow'!R13</f>
        <v>40429934.612957507</v>
      </c>
      <c r="S6" s="1">
        <f ca="1">-'Cash Flow'!S13</f>
        <v>39403189.84143579</v>
      </c>
      <c r="T6" s="1">
        <f ca="1">-'Cash Flow'!T13</f>
        <v>42363415.439332247</v>
      </c>
      <c r="U6" s="1">
        <f ca="1">-'Cash Flow'!U13</f>
        <v>45340257.828155577</v>
      </c>
      <c r="V6" s="1">
        <f ca="1">-'Cash Flow'!V13</f>
        <v>48695015.172438145</v>
      </c>
      <c r="W6" s="1">
        <f ca="1">-'Cash Flow'!W13</f>
        <v>52094803.862745225</v>
      </c>
      <c r="X6" s="1">
        <f ca="1">-'Cash Flow'!X13</f>
        <v>55528625.756620526</v>
      </c>
      <c r="Y6" s="1">
        <f ca="1">-'Cash Flow'!Y13</f>
        <v>58984117.481610537</v>
      </c>
      <c r="Z6" s="1">
        <f ca="1">-'Cash Flow'!Z13</f>
        <v>62447441.671362519</v>
      </c>
      <c r="AA6" s="1">
        <f ca="1">-'Cash Flow'!AA13</f>
        <v>70891703.37033385</v>
      </c>
      <c r="AB6" s="1">
        <f ca="1">-'Cash Flow'!AB13</f>
        <v>79915415.908898115</v>
      </c>
      <c r="AC6" s="1">
        <f ca="1">-'Cash Flow'!AC13</f>
        <v>89548522.423004806</v>
      </c>
      <c r="AD6" s="1">
        <f ca="1">-'Cash Flow'!AD13</f>
        <v>99822292.445687234</v>
      </c>
      <c r="AE6" s="1">
        <f ca="1">-'Cash Flow'!AE13</f>
        <v>110769374.86997122</v>
      </c>
      <c r="AF6" s="1">
        <f ca="1">-'Cash Flow'!AF13</f>
        <v>122423852.85281324</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11971088.016852401</v>
      </c>
      <c r="D8" s="1">
        <f ca="1">IF(SUM(D5:D6)&gt;0,Assumptions!$C$26*SUM(D5:D6),Assumptions!$C$27*(SUM(D5:D6)))</f>
        <v>14551688.228245346</v>
      </c>
      <c r="E8" s="1">
        <f ca="1">IF(SUM(E5:E6)&gt;0,Assumptions!$C$26*SUM(E5:E6),Assumptions!$C$27*(SUM(E5:E6)))</f>
        <v>16581569.42877241</v>
      </c>
      <c r="F8" s="1">
        <f ca="1">IF(SUM(F5:F6)&gt;0,Assumptions!$C$26*SUM(F5:F6),Assumptions!$C$27*(SUM(F5:F6)))</f>
        <v>18128653.637803648</v>
      </c>
      <c r="G8" s="1">
        <f ca="1">IF(SUM(G5:G6)&gt;0,Assumptions!$C$26*SUM(G5:G6),Assumptions!$C$27*(SUM(G5:G6)))</f>
        <v>19573613.416061848</v>
      </c>
      <c r="H8" s="1">
        <f ca="1">IF(SUM(H5:H6)&gt;0,Assumptions!$C$26*SUM(H5:H6),Assumptions!$C$27*(SUM(H5:H6)))</f>
        <v>21032468.250188146</v>
      </c>
      <c r="I8" s="1">
        <f ca="1">IF(SUM(I5:I6)&gt;0,Assumptions!$C$26*SUM(I5:I6),Assumptions!$C$27*(SUM(I5:I6)))</f>
        <v>22489132.995119281</v>
      </c>
      <c r="J8" s="1">
        <f ca="1">IF(SUM(J5:J6)&gt;0,Assumptions!$C$26*SUM(J5:J6),Assumptions!$C$27*(SUM(J5:J6)))</f>
        <v>23925256.249818828</v>
      </c>
      <c r="K8" s="1">
        <f ca="1">IF(SUM(K5:K6)&gt;0,Assumptions!$C$26*SUM(K5:K6),Assumptions!$C$27*(SUM(K5:K6)))</f>
        <v>25320005.620051146</v>
      </c>
      <c r="L8" s="1">
        <f ca="1">IF(SUM(L5:L6)&gt;0,Assumptions!$C$26*SUM(L5:L6),Assumptions!$C$27*(SUM(L5:L6)))</f>
        <v>26668290.652633853</v>
      </c>
      <c r="M8" s="1">
        <f ca="1">IF(SUM(M5:M6)&gt;0,Assumptions!$C$26*SUM(M5:M6),Assumptions!$C$27*(SUM(M5:M6)))</f>
        <v>28054447.596103624</v>
      </c>
      <c r="N8" s="1">
        <f ca="1">IF(SUM(N5:N6)&gt;0,Assumptions!$C$26*SUM(N5:N6),Assumptions!$C$27*(SUM(N5:N6)))</f>
        <v>29469075.98454234</v>
      </c>
      <c r="O8" s="1">
        <f ca="1">IF(SUM(O5:O6)&gt;0,Assumptions!$C$26*SUM(O5:O6),Assumptions!$C$27*(SUM(O5:O6)))</f>
        <v>30901347.177128293</v>
      </c>
      <c r="P8" s="1">
        <f ca="1">IF(SUM(P5:P6)&gt;0,Assumptions!$C$26*SUM(P5:P6),Assumptions!$C$27*(SUM(P5:P6)))</f>
        <v>32338872.810060274</v>
      </c>
      <c r="Q8" s="1">
        <f ca="1">IF(SUM(Q5:Q6)&gt;0,Assumptions!$C$26*SUM(Q5:Q6),Assumptions!$C$27*(SUM(Q5:Q6)))</f>
        <v>33772740.268233262</v>
      </c>
      <c r="R8" s="1">
        <f ca="1">IF(SUM(R5:R6)&gt;0,Assumptions!$C$26*SUM(R5:R6),Assumptions!$C$27*(SUM(R5:R6)))</f>
        <v>35187787.979686774</v>
      </c>
      <c r="S8" s="1">
        <f ca="1">IF(SUM(S5:S6)&gt;0,Assumptions!$C$26*SUM(S5:S6),Assumptions!$C$27*(SUM(S5:S6)))</f>
        <v>36566899.624137029</v>
      </c>
      <c r="T8" s="1">
        <f ca="1">IF(SUM(T5:T6)&gt;0,Assumptions!$C$26*SUM(T5:T6),Assumptions!$C$27*(SUM(T5:T6)))</f>
        <v>38049619.164513655</v>
      </c>
      <c r="U8" s="1">
        <f ca="1">IF(SUM(U5:U6)&gt;0,Assumptions!$C$26*SUM(U5:U6),Assumptions!$C$27*(SUM(U5:U6)))</f>
        <v>39636528.188499101</v>
      </c>
      <c r="V8" s="1">
        <f ca="1">IF(SUM(V5:V6)&gt;0,Assumptions!$C$26*SUM(V5:V6),Assumptions!$C$27*(SUM(V5:V6)))</f>
        <v>41340853.719534434</v>
      </c>
      <c r="W8" s="1">
        <f ca="1">IF(SUM(W5:W6)&gt;0,Assumptions!$C$26*SUM(W5:W6),Assumptions!$C$27*(SUM(W5:W6)))</f>
        <v>43164171.854730524</v>
      </c>
      <c r="X8" s="1">
        <f ca="1">IF(SUM(X5:X6)&gt;0,Assumptions!$C$26*SUM(X5:X6),Assumptions!$C$27*(SUM(X5:X6)))</f>
        <v>45107673.756212234</v>
      </c>
      <c r="Y8" s="1">
        <f ca="1">IF(SUM(Y5:Y6)&gt;0,Assumptions!$C$26*SUM(Y5:Y6),Assumptions!$C$27*(SUM(Y5:Y6)))</f>
        <v>47172117.868068606</v>
      </c>
      <c r="Z8" s="1">
        <f ca="1">IF(SUM(Z5:Z6)&gt;0,Assumptions!$C$26*SUM(Z5:Z6),Assumptions!$C$27*(SUM(Z5:Z6)))</f>
        <v>49357778.326566301</v>
      </c>
      <c r="AA8" s="1">
        <f ca="1">IF(SUM(AA5:AA6)&gt;0,Assumptions!$C$26*SUM(AA5:AA6),Assumptions!$C$27*(SUM(AA5:AA6)))</f>
        <v>51838987.944527984</v>
      </c>
      <c r="AB8" s="1">
        <f ca="1">IF(SUM(AB5:AB6)&gt;0,Assumptions!$C$26*SUM(AB5:AB6),Assumptions!$C$27*(SUM(AB5:AB6)))</f>
        <v>54636027.501339421</v>
      </c>
      <c r="AC8" s="1">
        <f ca="1">IF(SUM(AC5:AC6)&gt;0,Assumptions!$C$26*SUM(AC5:AC6),Assumptions!$C$27*(SUM(AC5:AC6)))</f>
        <v>57770225.786144592</v>
      </c>
      <c r="AD8" s="1">
        <f ca="1">IF(SUM(AD5:AD6)&gt;0,Assumptions!$C$26*SUM(AD5:AD6),Assumptions!$C$27*(SUM(AD5:AD6)))</f>
        <v>61264006.021743648</v>
      </c>
      <c r="AE8" s="1">
        <f ca="1">IF(SUM(AE5:AE6)&gt;0,Assumptions!$C$26*SUM(AE5:AE6),Assumptions!$C$27*(SUM(AE5:AE6)))</f>
        <v>65140934.142192639</v>
      </c>
      <c r="AF8" s="1">
        <f ca="1">IF(SUM(AF5:AF6)&gt;0,Assumptions!$C$26*SUM(AF5:AF6),Assumptions!$C$27*(SUM(AF5:AF6)))</f>
        <v>69425768.992041111</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Normal="100" workbookViewId="0">
      <selection sqref="A1:XFD1048576"/>
    </sheetView>
  </sheetViews>
  <sheetFormatPr defaultRowHeight="15.5" x14ac:dyDescent="0.35"/>
  <cols>
    <col min="1" max="1" width="107.9140625" style="63" customWidth="1"/>
    <col min="2" max="2" width="18.1640625" style="181" bestFit="1" customWidth="1"/>
    <col min="3" max="3" width="60.832031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182"/>
    </row>
    <row r="6" spans="1:3" ht="18.5" x14ac:dyDescent="0.45">
      <c r="A6" s="90"/>
      <c r="B6" s="182"/>
    </row>
    <row r="7" spans="1:3" ht="18.5" x14ac:dyDescent="0.45">
      <c r="A7" s="90" t="s">
        <v>96</v>
      </c>
      <c r="B7" s="183">
        <f>Assumptions!C24</f>
        <v>92115000</v>
      </c>
      <c r="C7" s="180" t="str">
        <f>[57]Assumptions!B24</f>
        <v>RFI Table F10; Lines F10.62 + F10.70</v>
      </c>
    </row>
    <row r="8" spans="1:3" ht="34" x14ac:dyDescent="0.45">
      <c r="A8" s="90" t="s">
        <v>174</v>
      </c>
      <c r="B8" s="184">
        <f>Assumptions!$C$133</f>
        <v>0.7</v>
      </c>
      <c r="C8" s="180" t="s">
        <v>199</v>
      </c>
    </row>
    <row r="9" spans="1:3" ht="18.5" x14ac:dyDescent="0.45">
      <c r="A9" s="90"/>
      <c r="B9" s="185"/>
      <c r="C9" s="180"/>
    </row>
    <row r="10" spans="1:3" ht="68" x14ac:dyDescent="0.45">
      <c r="A10" s="94" t="s">
        <v>102</v>
      </c>
      <c r="B10" s="186">
        <f>Assumptions!C135</f>
        <v>60090.740740740737</v>
      </c>
      <c r="C10" s="180" t="s">
        <v>200</v>
      </c>
    </row>
    <row r="11" spans="1:3" ht="18.5" x14ac:dyDescent="0.45">
      <c r="A11" s="94"/>
      <c r="B11" s="187"/>
      <c r="C11" s="180"/>
    </row>
    <row r="12" spans="1:3" ht="18.5" x14ac:dyDescent="0.45">
      <c r="A12" s="94" t="s">
        <v>184</v>
      </c>
      <c r="B12" s="183">
        <f>(B7*B8)/B10</f>
        <v>1073.0521741810226</v>
      </c>
      <c r="C12" s="180"/>
    </row>
    <row r="13" spans="1:3" ht="18.5" x14ac:dyDescent="0.45">
      <c r="A13" s="96"/>
      <c r="B13" s="188"/>
      <c r="C13" s="180"/>
    </row>
    <row r="14" spans="1:3" ht="18.5" x14ac:dyDescent="0.45">
      <c r="A14" s="94" t="s">
        <v>103</v>
      </c>
      <c r="B14" s="103">
        <v>1</v>
      </c>
      <c r="C14" s="180"/>
    </row>
    <row r="15" spans="1:3" ht="18.5" x14ac:dyDescent="0.45">
      <c r="A15" s="96"/>
      <c r="B15" s="99"/>
      <c r="C15" s="180"/>
    </row>
    <row r="16" spans="1:3" ht="18.5" x14ac:dyDescent="0.45">
      <c r="A16" s="96" t="s">
        <v>179</v>
      </c>
      <c r="B16" s="189">
        <f>B12/B14</f>
        <v>1073.0521741810226</v>
      </c>
      <c r="C16" s="180"/>
    </row>
    <row r="17" spans="1:3" ht="18.5" x14ac:dyDescent="0.45">
      <c r="A17" s="94"/>
      <c r="B17" s="190"/>
      <c r="C17" s="180"/>
    </row>
    <row r="18" spans="1:3" ht="18.5" x14ac:dyDescent="0.45">
      <c r="A18" s="102" t="s">
        <v>178</v>
      </c>
      <c r="B18" s="190"/>
      <c r="C18" s="180"/>
    </row>
    <row r="19" spans="1:3" ht="18.5" x14ac:dyDescent="0.45">
      <c r="A19" s="94"/>
      <c r="B19" s="190"/>
      <c r="C19" s="180"/>
    </row>
    <row r="20" spans="1:3" ht="34" x14ac:dyDescent="0.45">
      <c r="A20" s="94" t="s">
        <v>65</v>
      </c>
      <c r="B20" s="183">
        <f>'Profit and Loss'!L5</f>
        <v>293000117.55111307</v>
      </c>
      <c r="C20" s="180" t="s">
        <v>201</v>
      </c>
    </row>
    <row r="21" spans="1:3" ht="34" x14ac:dyDescent="0.45">
      <c r="A21" s="94" t="str">
        <f>A8</f>
        <v>Assumed revenue from households</v>
      </c>
      <c r="B21" s="184">
        <f>B8</f>
        <v>0.7</v>
      </c>
      <c r="C21" s="180" t="s">
        <v>199</v>
      </c>
    </row>
    <row r="22" spans="1:3" ht="18.5" x14ac:dyDescent="0.45">
      <c r="A22" s="94"/>
      <c r="B22" s="187"/>
      <c r="C22" s="180"/>
    </row>
    <row r="23" spans="1:3" ht="34" x14ac:dyDescent="0.45">
      <c r="A23" s="94" t="s">
        <v>101</v>
      </c>
      <c r="B23" s="186">
        <f>Assumptions!M135</f>
        <v>70432.50653481223</v>
      </c>
      <c r="C23" s="180" t="s">
        <v>202</v>
      </c>
    </row>
    <row r="24" spans="1:3" ht="18.5" x14ac:dyDescent="0.45">
      <c r="A24" s="94"/>
      <c r="B24" s="187"/>
      <c r="C24" s="180"/>
    </row>
    <row r="25" spans="1:3" ht="18.5" x14ac:dyDescent="0.45">
      <c r="A25" s="94" t="s">
        <v>183</v>
      </c>
      <c r="B25" s="183">
        <f>(B20*B21)/B23</f>
        <v>2912.0088489880113</v>
      </c>
      <c r="C25" s="180"/>
    </row>
    <row r="26" spans="1:3" ht="18.5" x14ac:dyDescent="0.45">
      <c r="A26" s="94"/>
      <c r="B26" s="183"/>
      <c r="C26" s="180"/>
    </row>
    <row r="27" spans="1:3" ht="34" x14ac:dyDescent="0.45">
      <c r="A27" s="94" t="s">
        <v>103</v>
      </c>
      <c r="B27" s="103">
        <f>1.022^11</f>
        <v>1.2704566586717592</v>
      </c>
      <c r="C27" s="180" t="s">
        <v>203</v>
      </c>
    </row>
    <row r="28" spans="1:3" ht="18.5" x14ac:dyDescent="0.45">
      <c r="A28" s="96"/>
      <c r="B28" s="188"/>
      <c r="C28" s="180"/>
    </row>
    <row r="29" spans="1:3" ht="18.5" x14ac:dyDescent="0.45">
      <c r="A29" s="96" t="s">
        <v>180</v>
      </c>
      <c r="B29" s="183">
        <f>B25/B27</f>
        <v>2292.0961758998274</v>
      </c>
      <c r="C29" s="180"/>
    </row>
    <row r="30" spans="1:3" ht="18.5" x14ac:dyDescent="0.45">
      <c r="A30" s="96"/>
      <c r="B30" s="188"/>
      <c r="C30" s="180"/>
    </row>
    <row r="31" spans="1:3" ht="18.5" x14ac:dyDescent="0.45">
      <c r="A31" s="102" t="s">
        <v>186</v>
      </c>
      <c r="B31" s="191"/>
      <c r="C31" s="180"/>
    </row>
    <row r="32" spans="1:3" ht="18.5" x14ac:dyDescent="0.45">
      <c r="A32" s="94"/>
      <c r="B32" s="183"/>
      <c r="C32" s="180"/>
    </row>
    <row r="33" spans="1:3" ht="34" x14ac:dyDescent="0.45">
      <c r="A33" s="94" t="s">
        <v>66</v>
      </c>
      <c r="B33" s="183">
        <f>'Profit and Loss'!AF5</f>
        <v>742332185.28204441</v>
      </c>
      <c r="C33" s="180" t="s">
        <v>201</v>
      </c>
    </row>
    <row r="34" spans="1:3" ht="34" x14ac:dyDescent="0.45">
      <c r="A34" s="94" t="str">
        <f>A21</f>
        <v>Assumed revenue from households</v>
      </c>
      <c r="B34" s="184">
        <f>B21</f>
        <v>0.7</v>
      </c>
      <c r="C34" s="180" t="s">
        <v>199</v>
      </c>
    </row>
    <row r="35" spans="1:3" ht="18.5" x14ac:dyDescent="0.45">
      <c r="A35" s="94"/>
      <c r="B35" s="187"/>
      <c r="C35" s="180"/>
    </row>
    <row r="36" spans="1:3" ht="34" x14ac:dyDescent="0.45">
      <c r="A36" s="94" t="s">
        <v>100</v>
      </c>
      <c r="B36" s="186">
        <f>Assumptions!AG135</f>
        <v>96761.884398044975</v>
      </c>
      <c r="C36" s="180" t="s">
        <v>202</v>
      </c>
    </row>
    <row r="37" spans="1:3" ht="18.5" x14ac:dyDescent="0.45">
      <c r="A37" s="94"/>
      <c r="B37" s="187"/>
      <c r="C37" s="180"/>
    </row>
    <row r="38" spans="1:3" ht="18.5" x14ac:dyDescent="0.45">
      <c r="A38" s="94" t="s">
        <v>182</v>
      </c>
      <c r="B38" s="183">
        <f>(B33*B34)/B36</f>
        <v>5370.2192028406789</v>
      </c>
      <c r="C38" s="180"/>
    </row>
    <row r="39" spans="1:3" ht="18.5" x14ac:dyDescent="0.45">
      <c r="A39" s="94"/>
      <c r="B39" s="187"/>
      <c r="C39" s="180"/>
    </row>
    <row r="40" spans="1:3" ht="34" x14ac:dyDescent="0.45">
      <c r="A40" s="94" t="s">
        <v>103</v>
      </c>
      <c r="B40" s="103">
        <f>1.022^31</f>
        <v>1.9632597808456462</v>
      </c>
      <c r="C40" s="180" t="s">
        <v>203</v>
      </c>
    </row>
    <row r="41" spans="1:3" ht="18.5" x14ac:dyDescent="0.45">
      <c r="A41" s="96"/>
      <c r="B41" s="188"/>
    </row>
    <row r="42" spans="1:3" ht="18.5" x14ac:dyDescent="0.45">
      <c r="A42" s="96" t="s">
        <v>181</v>
      </c>
      <c r="B42" s="183">
        <f>B38/B40</f>
        <v>2735.3584356154506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2" t="s">
        <v>27</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1.6006669058583167E-2</v>
      </c>
      <c r="D13" s="128">
        <f t="shared" ref="D13:AG13" si="3">(1+$C$13)^D8</f>
        <v>1.0160066690585832</v>
      </c>
      <c r="E13" s="128">
        <f t="shared" si="3"/>
        <v>1.0322695515715172</v>
      </c>
      <c r="F13" s="128">
        <f t="shared" si="3"/>
        <v>1.0487927486627746</v>
      </c>
      <c r="G13" s="128">
        <f t="shared" si="3"/>
        <v>1.0655804271016613</v>
      </c>
      <c r="H13" s="128">
        <f t="shared" si="3"/>
        <v>1.0826368203535814</v>
      </c>
      <c r="I13" s="128">
        <f t="shared" si="3"/>
        <v>1.0999662296476178</v>
      </c>
      <c r="J13" s="128">
        <f t="shared" si="3"/>
        <v>1.1175730250612048</v>
      </c>
      <c r="K13" s="128">
        <f t="shared" si="3"/>
        <v>1.135461646622159</v>
      </c>
      <c r="L13" s="128">
        <f t="shared" si="3"/>
        <v>1.1536366054283538</v>
      </c>
      <c r="M13" s="128">
        <f t="shared" si="3"/>
        <v>1.1721024847853125</v>
      </c>
      <c r="N13" s="128">
        <f t="shared" si="3"/>
        <v>1.1908639413620141</v>
      </c>
      <c r="O13" s="128">
        <f t="shared" si="3"/>
        <v>1.2099257063651958</v>
      </c>
      <c r="P13" s="128">
        <f t="shared" si="3"/>
        <v>1.229292586732456</v>
      </c>
      <c r="Q13" s="128">
        <f t="shared" si="3"/>
        <v>1.2489694663444519</v>
      </c>
      <c r="R13" s="128">
        <f t="shared" si="3"/>
        <v>1.2689613072565029</v>
      </c>
      <c r="S13" s="128">
        <f t="shared" si="3"/>
        <v>1.2892731509499047</v>
      </c>
      <c r="T13" s="128">
        <f t="shared" si="3"/>
        <v>1.3099101196032765</v>
      </c>
      <c r="U13" s="128">
        <f t="shared" si="3"/>
        <v>1.3308774173842552</v>
      </c>
      <c r="V13" s="128">
        <f t="shared" si="3"/>
        <v>1.3521803317618668</v>
      </c>
      <c r="W13" s="128">
        <f t="shared" si="3"/>
        <v>1.3738242348399041</v>
      </c>
      <c r="X13" s="128">
        <f t="shared" si="3"/>
        <v>1.3958145847116479</v>
      </c>
      <c r="Y13" s="128">
        <f t="shared" si="3"/>
        <v>1.4181569268362706</v>
      </c>
      <c r="Z13" s="128">
        <f t="shared" si="3"/>
        <v>1.4408568954372762</v>
      </c>
      <c r="AA13" s="128">
        <f t="shared" si="3"/>
        <v>1.4639202149233181</v>
      </c>
      <c r="AB13" s="128">
        <f t="shared" si="3"/>
        <v>1.4873527013317656</v>
      </c>
      <c r="AC13" s="128">
        <f t="shared" si="3"/>
        <v>1.5111602637953727</v>
      </c>
      <c r="AD13" s="128">
        <f t="shared" si="3"/>
        <v>1.5353489060324266</v>
      </c>
      <c r="AE13" s="128">
        <f t="shared" si="3"/>
        <v>1.5599247278607451</v>
      </c>
      <c r="AF13" s="128">
        <f t="shared" si="3"/>
        <v>1.5848939267359126</v>
      </c>
      <c r="AG13" s="128">
        <f t="shared" si="3"/>
        <v>1.6102627993141325</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2461400481.1949997</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1230700240.5974998</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258009000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92115000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39613000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-3.1908708577180464E-2</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-2.9600000000000001E-2</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v>-3.858709621077705E-3</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v>-1.5664131595282127E-3</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v>-1.051409332218034E-3</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v>-3.5775056837717978E-3</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v>-1.4506925726129882E-3</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v>-9.7324425431155603E-4</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0.9961412903789223</v>
      </c>
      <c r="I43" s="142">
        <f>H43*(1+$C$35)</f>
        <v>0.99229747039778438</v>
      </c>
      <c r="J43" s="142">
        <f>I43*(1+$C$35)</f>
        <v>0.98846848260178932</v>
      </c>
      <c r="K43" s="142">
        <f>J43*(1+$C$35)</f>
        <v>0.98465426975784176</v>
      </c>
      <c r="L43" s="142">
        <f>K43*(1+$C$35)</f>
        <v>0.98085477485369188</v>
      </c>
      <c r="M43" s="142">
        <f>L43*(1+$C$36)</f>
        <v>0.979318351026775</v>
      </c>
      <c r="N43" s="142">
        <f>M43*(1+$C$36)</f>
        <v>0.97778433387435915</v>
      </c>
      <c r="O43" s="142">
        <f>N43*(1+$C$36)</f>
        <v>0.97625271962659788</v>
      </c>
      <c r="P43" s="142">
        <f>O43*(1+$C$36)</f>
        <v>0.97472350451954959</v>
      </c>
      <c r="Q43" s="142">
        <f>P43*(1+$C$36)</f>
        <v>0.97319668479516874</v>
      </c>
      <c r="R43" s="142">
        <f>Q43*(1+$C$37)</f>
        <v>0.97217345671869149</v>
      </c>
      <c r="S43" s="142">
        <f>R43*(1+$C$37)</f>
        <v>0.97115130447376274</v>
      </c>
      <c r="T43" s="142">
        <f>S43*(1+$C$37)</f>
        <v>0.97013022692924333</v>
      </c>
      <c r="U43" s="142">
        <f>T43*(1+$C$37)</f>
        <v>0.96911022295518312</v>
      </c>
      <c r="V43" s="142">
        <f>U43*(1+$C$37)</f>
        <v>0.96809129142282013</v>
      </c>
      <c r="W43" s="142">
        <f t="shared" ref="W43:AG43" si="4">V43</f>
        <v>0.96809129142282013</v>
      </c>
      <c r="X43" s="142">
        <f t="shared" si="4"/>
        <v>0.96809129142282013</v>
      </c>
      <c r="Y43" s="142">
        <f t="shared" si="4"/>
        <v>0.96809129142282013</v>
      </c>
      <c r="Z43" s="142">
        <f t="shared" si="4"/>
        <v>0.96809129142282013</v>
      </c>
      <c r="AA43" s="142">
        <f t="shared" si="4"/>
        <v>0.96809129142282013</v>
      </c>
      <c r="AB43" s="142">
        <f t="shared" si="4"/>
        <v>0.96809129142282013</v>
      </c>
      <c r="AC43" s="142">
        <f t="shared" si="4"/>
        <v>0.96809129142282013</v>
      </c>
      <c r="AD43" s="142">
        <f t="shared" si="4"/>
        <v>0.96809129142282013</v>
      </c>
      <c r="AE43" s="142">
        <f t="shared" si="4"/>
        <v>0.96809129142282013</v>
      </c>
      <c r="AF43" s="142">
        <f t="shared" si="4"/>
        <v>0.96809129142282013</v>
      </c>
      <c r="AG43" s="142">
        <f t="shared" si="4"/>
        <v>0.96809129142282013</v>
      </c>
    </row>
    <row r="44" spans="1:33" x14ac:dyDescent="0.35">
      <c r="A44" s="69" t="s">
        <v>60</v>
      </c>
      <c r="B44" s="69" t="s">
        <v>86</v>
      </c>
      <c r="C44" s="141">
        <v>1</v>
      </c>
      <c r="D44" s="142">
        <v>1</v>
      </c>
      <c r="E44" s="142">
        <v>1</v>
      </c>
      <c r="F44" s="142">
        <v>1</v>
      </c>
      <c r="G44" s="142">
        <v>1</v>
      </c>
      <c r="H44" s="142">
        <f>G44*(1+$C$39)</f>
        <v>0.9964224943162282</v>
      </c>
      <c r="I44" s="142">
        <f>H44*(1+$C$39)</f>
        <v>0.99285778717937379</v>
      </c>
      <c r="J44" s="142">
        <f>I44*(1+$C$39)</f>
        <v>0.98930583280256246</v>
      </c>
      <c r="K44" s="142">
        <f>J44*(1+$C$39)</f>
        <v>0.98576658556272267</v>
      </c>
      <c r="L44" s="142">
        <f>K44*(1+$C$39)</f>
        <v>0.98223999999999967</v>
      </c>
      <c r="M44" s="142">
        <f>L44*(1+$C$40)</f>
        <v>0.98081507172747628</v>
      </c>
      <c r="N44" s="142">
        <f>M44*(1+$C$40)</f>
        <v>0.97939221058781434</v>
      </c>
      <c r="O44" s="142">
        <f>N44*(1+$C$40)</f>
        <v>0.9779714135822396</v>
      </c>
      <c r="P44" s="142">
        <f>O44*(1+$C$40)</f>
        <v>0.97655267771632803</v>
      </c>
      <c r="Q44" s="142">
        <f>P44*(1+$C$40)</f>
        <v>0.97513599999999967</v>
      </c>
      <c r="R44" s="142">
        <f>Q44*(1+$C$41)</f>
        <v>0.97418695449082726</v>
      </c>
      <c r="S44" s="142">
        <f>R44*(1+$C$41)</f>
        <v>0.97323883263474376</v>
      </c>
      <c r="T44" s="142">
        <f>S44*(1+$C$41)</f>
        <v>0.97229163353280912</v>
      </c>
      <c r="U44" s="142">
        <f>T44*(1+$C$41)</f>
        <v>0.97134535628695806</v>
      </c>
      <c r="V44" s="142">
        <f>U44*(1+$C$41)</f>
        <v>0.9703999999999996</v>
      </c>
      <c r="W44" s="142">
        <f t="shared" ref="W44:AG44" si="5">V44</f>
        <v>0.9703999999999996</v>
      </c>
      <c r="X44" s="142">
        <f t="shared" si="5"/>
        <v>0.9703999999999996</v>
      </c>
      <c r="Y44" s="142">
        <f t="shared" si="5"/>
        <v>0.9703999999999996</v>
      </c>
      <c r="Z44" s="142">
        <f t="shared" si="5"/>
        <v>0.9703999999999996</v>
      </c>
      <c r="AA44" s="142">
        <f t="shared" si="5"/>
        <v>0.9703999999999996</v>
      </c>
      <c r="AB44" s="142">
        <f t="shared" si="5"/>
        <v>0.9703999999999996</v>
      </c>
      <c r="AC44" s="142">
        <f t="shared" si="5"/>
        <v>0.9703999999999996</v>
      </c>
      <c r="AD44" s="142">
        <f t="shared" si="5"/>
        <v>0.9703999999999996</v>
      </c>
      <c r="AE44" s="142">
        <f t="shared" si="5"/>
        <v>0.9703999999999996</v>
      </c>
      <c r="AF44" s="142">
        <f t="shared" si="5"/>
        <v>0.9703999999999996</v>
      </c>
      <c r="AG44" s="142">
        <f t="shared" si="5"/>
        <v>0.9703999999999996</v>
      </c>
    </row>
    <row r="45" spans="1:33" x14ac:dyDescent="0.35">
      <c r="A45" s="69" t="s">
        <v>87</v>
      </c>
      <c r="B45" s="69" t="s">
        <v>86</v>
      </c>
      <c r="C45" s="141">
        <v>1</v>
      </c>
      <c r="D45" s="142">
        <f t="shared" ref="D45:AG45" si="6">C45*(1+$C$33)</f>
        <v>1</v>
      </c>
      <c r="E45" s="142">
        <f t="shared" si="6"/>
        <v>1</v>
      </c>
      <c r="F45" s="142">
        <f t="shared" si="6"/>
        <v>1</v>
      </c>
      <c r="G45" s="142">
        <f t="shared" si="6"/>
        <v>1</v>
      </c>
      <c r="H45" s="142">
        <f t="shared" si="6"/>
        <v>1</v>
      </c>
      <c r="I45" s="142">
        <f t="shared" si="6"/>
        <v>1</v>
      </c>
      <c r="J45" s="142">
        <f t="shared" si="6"/>
        <v>1</v>
      </c>
      <c r="K45" s="142">
        <f t="shared" si="6"/>
        <v>1</v>
      </c>
      <c r="L45" s="142">
        <f t="shared" si="6"/>
        <v>1</v>
      </c>
      <c r="M45" s="142">
        <f t="shared" si="6"/>
        <v>1</v>
      </c>
      <c r="N45" s="142">
        <f t="shared" si="6"/>
        <v>1</v>
      </c>
      <c r="O45" s="142">
        <f t="shared" si="6"/>
        <v>1</v>
      </c>
      <c r="P45" s="142">
        <f t="shared" si="6"/>
        <v>1</v>
      </c>
      <c r="Q45" s="142">
        <f t="shared" si="6"/>
        <v>1</v>
      </c>
      <c r="R45" s="142">
        <f t="shared" si="6"/>
        <v>1</v>
      </c>
      <c r="S45" s="142">
        <f t="shared" si="6"/>
        <v>1</v>
      </c>
      <c r="T45" s="142">
        <f t="shared" si="6"/>
        <v>1</v>
      </c>
      <c r="U45" s="142">
        <f t="shared" si="6"/>
        <v>1</v>
      </c>
      <c r="V45" s="142">
        <f t="shared" si="6"/>
        <v>1</v>
      </c>
      <c r="W45" s="142">
        <f t="shared" si="6"/>
        <v>1</v>
      </c>
      <c r="X45" s="142">
        <f t="shared" si="6"/>
        <v>1</v>
      </c>
      <c r="Y45" s="142">
        <f t="shared" si="6"/>
        <v>1</v>
      </c>
      <c r="Z45" s="142">
        <f t="shared" si="6"/>
        <v>1</v>
      </c>
      <c r="AA45" s="142">
        <f t="shared" si="6"/>
        <v>1</v>
      </c>
      <c r="AB45" s="142">
        <f t="shared" si="6"/>
        <v>1</v>
      </c>
      <c r="AC45" s="142">
        <f t="shared" si="6"/>
        <v>1</v>
      </c>
      <c r="AD45" s="142">
        <f t="shared" si="6"/>
        <v>1</v>
      </c>
      <c r="AE45" s="142">
        <f t="shared" si="6"/>
        <v>1</v>
      </c>
      <c r="AF45" s="142">
        <f t="shared" si="6"/>
        <v>1</v>
      </c>
      <c r="AG45" s="142">
        <f t="shared" si="6"/>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2209000649.9399996</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2713800312.4499998</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6524380.4168470297</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11335988.529471641</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8930184.4731593356</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17783639.877358545</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29070223.327369686</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23426931.602364115</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34762920.131835759</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141</v>
      </c>
      <c r="B77" s="179" t="s">
        <v>176</v>
      </c>
      <c r="C77" s="87">
        <v>2083929072.0100002</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943708375.53354454</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811611953.93793011</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3027637447.5435448</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2895541025.9479303</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50">
        <v>147490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177000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162245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18660.898317627936</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17846.719627402574</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3027637447.5435443</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2895541025.9479303</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2961589236.7457371</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2961589236.7457371</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98719641.224857897</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7">$C$75</f>
        <v>34762920.131835759</v>
      </c>
      <c r="E111" s="149">
        <f t="shared" si="7"/>
        <v>34762920.131835759</v>
      </c>
      <c r="F111" s="149">
        <f t="shared" si="7"/>
        <v>34762920.131835759</v>
      </c>
      <c r="G111" s="149">
        <f t="shared" si="7"/>
        <v>34762920.131835759</v>
      </c>
      <c r="H111" s="149">
        <f t="shared" si="7"/>
        <v>34762920.131835759</v>
      </c>
      <c r="I111" s="149">
        <f t="shared" si="7"/>
        <v>34762920.131835759</v>
      </c>
      <c r="J111" s="149">
        <f t="shared" si="7"/>
        <v>34762920.131835759</v>
      </c>
      <c r="K111" s="149">
        <f t="shared" si="7"/>
        <v>34762920.131835759</v>
      </c>
      <c r="L111" s="149">
        <f t="shared" si="7"/>
        <v>34762920.131835759</v>
      </c>
      <c r="M111" s="149">
        <f t="shared" si="7"/>
        <v>34762920.131835759</v>
      </c>
      <c r="N111" s="149">
        <f t="shared" si="7"/>
        <v>34762920.131835759</v>
      </c>
      <c r="O111" s="149">
        <f t="shared" si="7"/>
        <v>34762920.131835759</v>
      </c>
      <c r="P111" s="149">
        <f t="shared" si="7"/>
        <v>34762920.131835759</v>
      </c>
      <c r="Q111" s="149">
        <f t="shared" si="7"/>
        <v>34762920.131835759</v>
      </c>
      <c r="R111" s="149">
        <f t="shared" si="7"/>
        <v>34762920.131835759</v>
      </c>
      <c r="S111" s="149">
        <f t="shared" si="7"/>
        <v>34762920.131835759</v>
      </c>
      <c r="T111" s="149">
        <f t="shared" si="7"/>
        <v>34762920.131835759</v>
      </c>
      <c r="U111" s="149">
        <f t="shared" si="7"/>
        <v>34762920.131835759</v>
      </c>
      <c r="V111" s="149">
        <f t="shared" si="7"/>
        <v>34762920.131835759</v>
      </c>
      <c r="W111" s="149">
        <f t="shared" si="7"/>
        <v>34762920.131835759</v>
      </c>
      <c r="X111" s="149">
        <f t="shared" si="7"/>
        <v>34762920.131835759</v>
      </c>
      <c r="Y111" s="149">
        <f t="shared" si="7"/>
        <v>34762920.131835759</v>
      </c>
      <c r="Z111" s="149">
        <f t="shared" si="7"/>
        <v>34762920.131835759</v>
      </c>
      <c r="AA111" s="149">
        <f t="shared" si="7"/>
        <v>34762920.131835759</v>
      </c>
      <c r="AB111" s="149">
        <f t="shared" si="7"/>
        <v>34762920.131835759</v>
      </c>
      <c r="AC111" s="149">
        <f t="shared" si="7"/>
        <v>34762920.131835759</v>
      </c>
      <c r="AD111" s="149">
        <f t="shared" si="7"/>
        <v>34762920.131835759</v>
      </c>
      <c r="AE111" s="149">
        <f t="shared" si="7"/>
        <v>34762920.131835759</v>
      </c>
      <c r="AF111" s="149">
        <f t="shared" si="7"/>
        <v>34762920.131835759</v>
      </c>
      <c r="AG111" s="149">
        <f t="shared" si="7"/>
        <v>34762920.131835759</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2961589236.7457356</v>
      </c>
      <c r="D113" s="149">
        <f t="shared" ref="D113:AG113" si="8">$C$102</f>
        <v>98719641.224857897</v>
      </c>
      <c r="E113" s="149">
        <f t="shared" si="8"/>
        <v>98719641.224857897</v>
      </c>
      <c r="F113" s="149">
        <f t="shared" si="8"/>
        <v>98719641.224857897</v>
      </c>
      <c r="G113" s="149">
        <f t="shared" si="8"/>
        <v>98719641.224857897</v>
      </c>
      <c r="H113" s="149">
        <f t="shared" si="8"/>
        <v>98719641.224857897</v>
      </c>
      <c r="I113" s="149">
        <f t="shared" si="8"/>
        <v>98719641.224857897</v>
      </c>
      <c r="J113" s="149">
        <f t="shared" si="8"/>
        <v>98719641.224857897</v>
      </c>
      <c r="K113" s="149">
        <f t="shared" si="8"/>
        <v>98719641.224857897</v>
      </c>
      <c r="L113" s="149">
        <f t="shared" si="8"/>
        <v>98719641.224857897</v>
      </c>
      <c r="M113" s="149">
        <f t="shared" si="8"/>
        <v>98719641.224857897</v>
      </c>
      <c r="N113" s="149">
        <f t="shared" si="8"/>
        <v>98719641.224857897</v>
      </c>
      <c r="O113" s="149">
        <f t="shared" si="8"/>
        <v>98719641.224857897</v>
      </c>
      <c r="P113" s="149">
        <f t="shared" si="8"/>
        <v>98719641.224857897</v>
      </c>
      <c r="Q113" s="149">
        <f t="shared" si="8"/>
        <v>98719641.224857897</v>
      </c>
      <c r="R113" s="149">
        <f t="shared" si="8"/>
        <v>98719641.224857897</v>
      </c>
      <c r="S113" s="149">
        <f t="shared" si="8"/>
        <v>98719641.224857897</v>
      </c>
      <c r="T113" s="149">
        <f t="shared" si="8"/>
        <v>98719641.224857897</v>
      </c>
      <c r="U113" s="149">
        <f t="shared" si="8"/>
        <v>98719641.224857897</v>
      </c>
      <c r="V113" s="149">
        <f t="shared" si="8"/>
        <v>98719641.224857897</v>
      </c>
      <c r="W113" s="149">
        <f t="shared" si="8"/>
        <v>98719641.224857897</v>
      </c>
      <c r="X113" s="149">
        <f t="shared" si="8"/>
        <v>98719641.224857897</v>
      </c>
      <c r="Y113" s="149">
        <f t="shared" si="8"/>
        <v>98719641.224857897</v>
      </c>
      <c r="Z113" s="149">
        <f t="shared" si="8"/>
        <v>98719641.224857897</v>
      </c>
      <c r="AA113" s="149">
        <f t="shared" si="8"/>
        <v>98719641.224857897</v>
      </c>
      <c r="AB113" s="149">
        <f t="shared" si="8"/>
        <v>98719641.224857897</v>
      </c>
      <c r="AC113" s="149">
        <f t="shared" si="8"/>
        <v>98719641.224857897</v>
      </c>
      <c r="AD113" s="149">
        <f t="shared" si="8"/>
        <v>98719641.224857897</v>
      </c>
      <c r="AE113" s="149">
        <f t="shared" si="8"/>
        <v>98719641.224857897</v>
      </c>
      <c r="AF113" s="149">
        <f t="shared" si="8"/>
        <v>98719641.224857897</v>
      </c>
      <c r="AG113" s="149">
        <f t="shared" si="8"/>
        <v>98719641.224857897</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9">(E113*E$44)-E113</f>
        <v>0</v>
      </c>
      <c r="F115" s="149">
        <f t="shared" si="9"/>
        <v>0</v>
      </c>
      <c r="G115" s="149">
        <f t="shared" si="9"/>
        <v>0</v>
      </c>
      <c r="H115" s="149">
        <f>(H113*H$44)-H113</f>
        <v>-353170.07758183777</v>
      </c>
      <c r="I115" s="149">
        <f t="shared" si="9"/>
        <v>-705076.68720379472</v>
      </c>
      <c r="J115" s="149">
        <f t="shared" si="9"/>
        <v>-1055724.3489296734</v>
      </c>
      <c r="K115" s="149">
        <f t="shared" si="9"/>
        <v>-1405117.5666527301</v>
      </c>
      <c r="L115" s="149">
        <f t="shared" si="9"/>
        <v>-1753260.8281535059</v>
      </c>
      <c r="M115" s="149">
        <f t="shared" si="9"/>
        <v>-1893929.2359881699</v>
      </c>
      <c r="N115" s="149">
        <f t="shared" si="9"/>
        <v>-2034393.5772083998</v>
      </c>
      <c r="O115" s="149">
        <f t="shared" si="9"/>
        <v>-2174654.1478520781</v>
      </c>
      <c r="P115" s="149">
        <f t="shared" si="9"/>
        <v>-2314711.2435277104</v>
      </c>
      <c r="Q115" s="149">
        <f t="shared" si="9"/>
        <v>-2454565.1594149023</v>
      </c>
      <c r="R115" s="149">
        <f t="shared" si="9"/>
        <v>-2548254.5915864557</v>
      </c>
      <c r="S115" s="149">
        <f t="shared" si="9"/>
        <v>-2641852.8410564661</v>
      </c>
      <c r="T115" s="149">
        <f t="shared" si="9"/>
        <v>-2735359.9965679646</v>
      </c>
      <c r="U115" s="149">
        <f t="shared" si="9"/>
        <v>-2828776.1467776299</v>
      </c>
      <c r="V115" s="149">
        <f t="shared" si="9"/>
        <v>-2922101.3802558333</v>
      </c>
      <c r="W115" s="149">
        <f t="shared" si="9"/>
        <v>-2922101.3802558333</v>
      </c>
      <c r="X115" s="149">
        <f t="shared" si="9"/>
        <v>-2922101.3802558333</v>
      </c>
      <c r="Y115" s="149">
        <f t="shared" si="9"/>
        <v>-2922101.3802558333</v>
      </c>
      <c r="Z115" s="149">
        <f t="shared" si="9"/>
        <v>-2922101.3802558333</v>
      </c>
      <c r="AA115" s="149">
        <f t="shared" si="9"/>
        <v>-2922101.3802558333</v>
      </c>
      <c r="AB115" s="149">
        <f t="shared" si="9"/>
        <v>-2922101.3802558333</v>
      </c>
      <c r="AC115" s="149">
        <f t="shared" si="9"/>
        <v>-2922101.3802558333</v>
      </c>
      <c r="AD115" s="149">
        <f t="shared" si="9"/>
        <v>-2922101.3802558333</v>
      </c>
      <c r="AE115" s="149">
        <f t="shared" si="9"/>
        <v>-2922101.3802558333</v>
      </c>
      <c r="AF115" s="149">
        <f t="shared" si="9"/>
        <v>-2922101.3802558333</v>
      </c>
      <c r="AG115" s="149">
        <f t="shared" si="9"/>
        <v>-2922101.3802558333</v>
      </c>
    </row>
    <row r="116" spans="1:33" s="153" customFormat="1" x14ac:dyDescent="0.35">
      <c r="A116" s="69" t="s">
        <v>89</v>
      </c>
      <c r="B116" s="69" t="s">
        <v>86</v>
      </c>
      <c r="C116" s="126"/>
      <c r="D116" s="149">
        <f t="shared" ref="D116:AG116" si="10">(D113*D$45)-D113</f>
        <v>0</v>
      </c>
      <c r="E116" s="149">
        <f t="shared" si="10"/>
        <v>0</v>
      </c>
      <c r="F116" s="149">
        <f t="shared" si="10"/>
        <v>0</v>
      </c>
      <c r="G116" s="149">
        <f t="shared" si="10"/>
        <v>0</v>
      </c>
      <c r="H116" s="149">
        <f t="shared" si="10"/>
        <v>0</v>
      </c>
      <c r="I116" s="149">
        <f t="shared" si="10"/>
        <v>0</v>
      </c>
      <c r="J116" s="149">
        <f t="shared" si="10"/>
        <v>0</v>
      </c>
      <c r="K116" s="149">
        <f t="shared" si="10"/>
        <v>0</v>
      </c>
      <c r="L116" s="149">
        <f t="shared" si="10"/>
        <v>0</v>
      </c>
      <c r="M116" s="149">
        <f t="shared" si="10"/>
        <v>0</v>
      </c>
      <c r="N116" s="149">
        <f t="shared" si="10"/>
        <v>0</v>
      </c>
      <c r="O116" s="149">
        <f t="shared" si="10"/>
        <v>0</v>
      </c>
      <c r="P116" s="149">
        <f t="shared" si="10"/>
        <v>0</v>
      </c>
      <c r="Q116" s="149">
        <f t="shared" si="10"/>
        <v>0</v>
      </c>
      <c r="R116" s="149">
        <f t="shared" si="10"/>
        <v>0</v>
      </c>
      <c r="S116" s="149">
        <f t="shared" si="10"/>
        <v>0</v>
      </c>
      <c r="T116" s="149">
        <f t="shared" si="10"/>
        <v>0</v>
      </c>
      <c r="U116" s="149">
        <f t="shared" si="10"/>
        <v>0</v>
      </c>
      <c r="V116" s="149">
        <f t="shared" si="10"/>
        <v>0</v>
      </c>
      <c r="W116" s="149">
        <f t="shared" si="10"/>
        <v>0</v>
      </c>
      <c r="X116" s="149">
        <f t="shared" si="10"/>
        <v>0</v>
      </c>
      <c r="Y116" s="149">
        <f t="shared" si="10"/>
        <v>0</v>
      </c>
      <c r="Z116" s="149">
        <f t="shared" si="10"/>
        <v>0</v>
      </c>
      <c r="AA116" s="149">
        <f t="shared" si="10"/>
        <v>0</v>
      </c>
      <c r="AB116" s="149">
        <f t="shared" si="10"/>
        <v>0</v>
      </c>
      <c r="AC116" s="149">
        <f t="shared" si="10"/>
        <v>0</v>
      </c>
      <c r="AD116" s="149">
        <f t="shared" si="10"/>
        <v>0</v>
      </c>
      <c r="AE116" s="149">
        <f t="shared" si="10"/>
        <v>0</v>
      </c>
      <c r="AF116" s="149">
        <f t="shared" si="10"/>
        <v>0</v>
      </c>
      <c r="AG116" s="149">
        <f t="shared" si="10"/>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98719641.224857897</v>
      </c>
      <c r="E118" s="149">
        <f t="shared" ref="E118:AG118" si="11">E113+E115+E116</f>
        <v>98719641.224857897</v>
      </c>
      <c r="F118" s="149">
        <f>F113+F115+F116</f>
        <v>98719641.224857897</v>
      </c>
      <c r="G118" s="149">
        <f t="shared" si="11"/>
        <v>98719641.224857897</v>
      </c>
      <c r="H118" s="149">
        <f t="shared" si="11"/>
        <v>98366471.147276059</v>
      </c>
      <c r="I118" s="149">
        <f t="shared" si="11"/>
        <v>98014564.537654102</v>
      </c>
      <c r="J118" s="149">
        <f t="shared" si="11"/>
        <v>97663916.875928223</v>
      </c>
      <c r="K118" s="149">
        <f t="shared" si="11"/>
        <v>97314523.658205166</v>
      </c>
      <c r="L118" s="149">
        <f t="shared" si="11"/>
        <v>96966380.396704391</v>
      </c>
      <c r="M118" s="149">
        <f t="shared" si="11"/>
        <v>96825711.988869727</v>
      </c>
      <c r="N118" s="149">
        <f t="shared" si="11"/>
        <v>96685247.647649497</v>
      </c>
      <c r="O118" s="149">
        <f t="shared" si="11"/>
        <v>96544987.077005818</v>
      </c>
      <c r="P118" s="149">
        <f t="shared" si="11"/>
        <v>96404929.981330186</v>
      </c>
      <c r="Q118" s="149">
        <f t="shared" si="11"/>
        <v>96265076.065442994</v>
      </c>
      <c r="R118" s="149">
        <f t="shared" si="11"/>
        <v>96171386.633271441</v>
      </c>
      <c r="S118" s="149">
        <f t="shared" si="11"/>
        <v>96077788.38380143</v>
      </c>
      <c r="T118" s="149">
        <f t="shared" si="11"/>
        <v>95984281.228289932</v>
      </c>
      <c r="U118" s="149">
        <f t="shared" si="11"/>
        <v>95890865.078080267</v>
      </c>
      <c r="V118" s="149">
        <f t="shared" si="11"/>
        <v>95797539.844602063</v>
      </c>
      <c r="W118" s="149">
        <f t="shared" si="11"/>
        <v>95797539.844602063</v>
      </c>
      <c r="X118" s="149">
        <f t="shared" si="11"/>
        <v>95797539.844602063</v>
      </c>
      <c r="Y118" s="149">
        <f t="shared" si="11"/>
        <v>95797539.844602063</v>
      </c>
      <c r="Z118" s="149">
        <f t="shared" si="11"/>
        <v>95797539.844602063</v>
      </c>
      <c r="AA118" s="149">
        <f t="shared" si="11"/>
        <v>95797539.844602063</v>
      </c>
      <c r="AB118" s="149">
        <f t="shared" si="11"/>
        <v>95797539.844602063</v>
      </c>
      <c r="AC118" s="149">
        <f t="shared" si="11"/>
        <v>95797539.844602063</v>
      </c>
      <c r="AD118" s="149">
        <f t="shared" si="11"/>
        <v>95797539.844602063</v>
      </c>
      <c r="AE118" s="149">
        <f t="shared" si="11"/>
        <v>95797539.844602063</v>
      </c>
      <c r="AF118" s="149">
        <f t="shared" si="11"/>
        <v>95797539.844602063</v>
      </c>
      <c r="AG118" s="149">
        <f t="shared" si="11"/>
        <v>95797539.844602063</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2369271.3893965897</v>
      </c>
      <c r="E120" s="149">
        <f>(SUM($D$118:E118)*$C$104/$C$106)+(SUM($D$118:E118)*$C$105/$C$107)</f>
        <v>4738542.7787931794</v>
      </c>
      <c r="F120" s="149">
        <f>(SUM($D$118:F118)*$C$104/$C$106)+(SUM($D$118:F118)*$C$105/$C$107)</f>
        <v>7107814.1681897677</v>
      </c>
      <c r="G120" s="149">
        <f>(SUM($D$118:G118)*$C$104/$C$106)+(SUM($D$118:G118)*$C$105/$C$107)</f>
        <v>9477085.5575863589</v>
      </c>
      <c r="H120" s="149">
        <f>(SUM($D$118:H118)*$C$104/$C$106)+(SUM($D$118:H118)*$C$105/$C$107)</f>
        <v>11837880.865120983</v>
      </c>
      <c r="I120" s="149">
        <f>(SUM($D$118:I118)*$C$104/$C$106)+(SUM($D$118:I118)*$C$105/$C$107)</f>
        <v>14190230.414024683</v>
      </c>
      <c r="J120" s="149">
        <f>(SUM($D$118:J118)*$C$104/$C$106)+(SUM($D$118:J118)*$C$105/$C$107)</f>
        <v>16534164.419046957</v>
      </c>
      <c r="K120" s="149">
        <f>(SUM($D$118:K118)*$C$104/$C$106)+(SUM($D$118:K118)*$C$105/$C$107)</f>
        <v>18869712.986843884</v>
      </c>
      <c r="L120" s="149">
        <f>(SUM($D$118:L118)*$C$104/$C$106)+(SUM($D$118:L118)*$C$105/$C$107)</f>
        <v>21196906.116364788</v>
      </c>
      <c r="M120" s="149">
        <f>(SUM($D$118:M118)*$C$104/$C$106)+(SUM($D$118:M118)*$C$105/$C$107)</f>
        <v>23520723.204097662</v>
      </c>
      <c r="N120" s="149">
        <f>(SUM($D$118:N118)*$C$104/$C$106)+(SUM($D$118:N118)*$C$105/$C$107)</f>
        <v>25841169.147641253</v>
      </c>
      <c r="O120" s="149">
        <f>(SUM($D$118:O118)*$C$104/$C$106)+(SUM($D$118:O118)*$C$105/$C$107)</f>
        <v>28158248.837489389</v>
      </c>
      <c r="P120" s="149">
        <f>(SUM($D$118:P118)*$C$104/$C$106)+(SUM($D$118:P118)*$C$105/$C$107)</f>
        <v>30471967.157041315</v>
      </c>
      <c r="Q120" s="149">
        <f>(SUM($D$118:Q118)*$C$104/$C$106)+(SUM($D$118:Q118)*$C$105/$C$107)</f>
        <v>32782328.982611947</v>
      </c>
      <c r="R120" s="149">
        <f>(SUM($D$118:R118)*$C$104/$C$106)+(SUM($D$118:R118)*$C$105/$C$107)</f>
        <v>35090442.261810467</v>
      </c>
      <c r="S120" s="149">
        <f>(SUM($D$118:S118)*$C$104/$C$106)+(SUM($D$118:S118)*$C$105/$C$107)</f>
        <v>37396309.183021694</v>
      </c>
      <c r="T120" s="149">
        <f>(SUM($D$118:T118)*$C$104/$C$106)+(SUM($D$118:T118)*$C$105/$C$107)</f>
        <v>39699931.932500653</v>
      </c>
      <c r="U120" s="149">
        <f>(SUM($D$118:U118)*$C$104/$C$106)+(SUM($D$118:U118)*$C$105/$C$107)</f>
        <v>42001312.694374584</v>
      </c>
      <c r="V120" s="149">
        <f>(SUM($D$118:V118)*$C$104/$C$106)+(SUM($D$118:V118)*$C$105/$C$107)</f>
        <v>44300453.650645033</v>
      </c>
      <c r="W120" s="149">
        <f>(SUM($D$118:W118)*$C$104/$C$106)+(SUM($D$118:W118)*$C$105/$C$107)</f>
        <v>46599594.606915489</v>
      </c>
      <c r="X120" s="149">
        <f>(SUM($D$118:X118)*$C$104/$C$106)+(SUM($D$118:X118)*$C$105/$C$107)</f>
        <v>48898735.56318593</v>
      </c>
      <c r="Y120" s="149">
        <f>(SUM($D$118:Y118)*$C$104/$C$106)+(SUM($D$118:Y118)*$C$105/$C$107)</f>
        <v>51197876.519456379</v>
      </c>
      <c r="Z120" s="149">
        <f>(SUM($D$118:Z118)*$C$104/$C$106)+(SUM($D$118:Z118)*$C$105/$C$107)</f>
        <v>53497017.475726835</v>
      </c>
      <c r="AA120" s="149">
        <f>(SUM($D$118:AA118)*$C$104/$C$106)+(SUM($D$118:AA118)*$C$105/$C$107)</f>
        <v>55796158.431997284</v>
      </c>
      <c r="AB120" s="149">
        <f>(SUM($D$118:AB118)*$C$104/$C$106)+(SUM($D$118:AB118)*$C$105/$C$107)</f>
        <v>58095299.388267741</v>
      </c>
      <c r="AC120" s="149">
        <f>(SUM($D$118:AC118)*$C$104/$C$106)+(SUM($D$118:AC118)*$C$105/$C$107)</f>
        <v>60394440.344538182</v>
      </c>
      <c r="AD120" s="149">
        <f>(SUM($D$118:AD118)*$C$104/$C$106)+(SUM($D$118:AD118)*$C$105/$C$107)</f>
        <v>62693581.300808631</v>
      </c>
      <c r="AE120" s="149">
        <f>(SUM($D$118:AE118)*$C$104/$C$106)+(SUM($D$118:AE118)*$C$105/$C$107)</f>
        <v>64992722.25707908</v>
      </c>
      <c r="AF120" s="149">
        <f>(SUM($D$118:AF118)*$C$104/$C$106)+(SUM($D$118:AF118)*$C$105/$C$107)</f>
        <v>67291863.213349536</v>
      </c>
      <c r="AG120" s="149">
        <f>(SUM($D$118:AG118)*$C$104/$C$106)+(SUM($D$118:AG118)*$C$105/$C$107)</f>
        <v>69591004.169619992</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2961589.2367457366</v>
      </c>
      <c r="E122" s="72">
        <f>(SUM($D$118:E118)*$C$109)</f>
        <v>5923178.4734914731</v>
      </c>
      <c r="F122" s="72">
        <f>(SUM($D$118:F118)*$C$109)</f>
        <v>8884767.7102372088</v>
      </c>
      <c r="G122" s="72">
        <f>(SUM($D$118:G118)*$C$109)</f>
        <v>11846356.946982946</v>
      </c>
      <c r="H122" s="72">
        <f>(SUM($D$118:H118)*$C$109)</f>
        <v>14797351.081401229</v>
      </c>
      <c r="I122" s="72">
        <f>(SUM($D$118:I118)*$C$109)</f>
        <v>17737788.017530855</v>
      </c>
      <c r="J122" s="72">
        <f>(SUM($D$118:J118)*$C$109)</f>
        <v>20667705.523808699</v>
      </c>
      <c r="K122" s="72">
        <f>(SUM($D$118:K118)*$C$109)</f>
        <v>23587141.233554851</v>
      </c>
      <c r="L122" s="72">
        <f>(SUM($D$118:L118)*$C$109)</f>
        <v>26496132.645455986</v>
      </c>
      <c r="M122" s="72">
        <f>(SUM($D$118:M118)*$C$109)</f>
        <v>29400904.00512208</v>
      </c>
      <c r="N122" s="72">
        <f>(SUM($D$118:N118)*$C$109)</f>
        <v>32301461.434551563</v>
      </c>
      <c r="O122" s="72">
        <f>(SUM($D$118:O118)*$C$109)</f>
        <v>35197811.046861738</v>
      </c>
      <c r="P122" s="72">
        <f>(SUM($D$118:P118)*$C$109)</f>
        <v>38089958.946301647</v>
      </c>
      <c r="Q122" s="72">
        <f>(SUM($D$118:Q118)*$C$109)</f>
        <v>40977911.228264935</v>
      </c>
      <c r="R122" s="72">
        <f>(SUM($D$118:R118)*$C$109)</f>
        <v>43863052.82726308</v>
      </c>
      <c r="S122" s="72">
        <f>(SUM($D$118:S118)*$C$109)</f>
        <v>46745386.478777125</v>
      </c>
      <c r="T122" s="72">
        <f>(SUM($D$118:T118)*$C$109)</f>
        <v>49624914.915625818</v>
      </c>
      <c r="U122" s="72">
        <f>(SUM($D$118:U118)*$C$109)</f>
        <v>52501640.867968224</v>
      </c>
      <c r="V122" s="72">
        <f>(SUM($D$118:V118)*$C$109)</f>
        <v>55375567.063306287</v>
      </c>
      <c r="W122" s="72">
        <f>(SUM($D$118:W118)*$C$109)</f>
        <v>58249493.25864435</v>
      </c>
      <c r="X122" s="72">
        <f>(SUM($D$118:X118)*$C$109)</f>
        <v>61123419.453982413</v>
      </c>
      <c r="Y122" s="72">
        <f>(SUM($D$118:Y118)*$C$109)</f>
        <v>63997345.649320476</v>
      </c>
      <c r="Z122" s="72">
        <f>(SUM($D$118:Z118)*$C$109)</f>
        <v>66871271.844658539</v>
      </c>
      <c r="AA122" s="72">
        <f>(SUM($D$118:AA118)*$C$109)</f>
        <v>69745198.039996609</v>
      </c>
      <c r="AB122" s="72">
        <f>(SUM($D$118:AB118)*$C$109)</f>
        <v>72619124.235334665</v>
      </c>
      <c r="AC122" s="72">
        <f>(SUM($D$118:AC118)*$C$109)</f>
        <v>75493050.430672735</v>
      </c>
      <c r="AD122" s="72">
        <f>(SUM($D$118:AD118)*$C$109)</f>
        <v>78366976.62601079</v>
      </c>
      <c r="AE122" s="72">
        <f>(SUM($D$118:AE118)*$C$109)</f>
        <v>81240902.821348861</v>
      </c>
      <c r="AF122" s="72">
        <f>(SUM($D$118:AF118)*$C$109)</f>
        <v>84114829.016686916</v>
      </c>
      <c r="AG122" s="72">
        <f>(SUM($D$118:AG118)*$C$109)</f>
        <v>86988755.212024987</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197</v>
      </c>
      <c r="C126" s="126">
        <v>147490</v>
      </c>
      <c r="D126" s="140"/>
    </row>
    <row r="127" spans="1:33" x14ac:dyDescent="0.35">
      <c r="A127" s="77" t="s">
        <v>151</v>
      </c>
      <c r="B127" s="77" t="s">
        <v>133</v>
      </c>
      <c r="C127" s="126">
        <v>177000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162245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60090.740740740737</v>
      </c>
      <c r="D135" s="157">
        <f t="shared" ref="D135:AG135" si="12">$C$135*D13</f>
        <v>61052.593341262895</v>
      </c>
      <c r="E135" s="157">
        <f t="shared" si="12"/>
        <v>62029.841998044743</v>
      </c>
      <c r="F135" s="157">
        <f t="shared" si="12"/>
        <v>63022.733150663647</v>
      </c>
      <c r="G135" s="157">
        <f t="shared" si="12"/>
        <v>64031.517183373719</v>
      </c>
      <c r="H135" s="157">
        <f t="shared" si="12"/>
        <v>65056.44848824697</v>
      </c>
      <c r="I135" s="157">
        <f t="shared" si="12"/>
        <v>66097.78552932509</v>
      </c>
      <c r="J135" s="157">
        <f t="shared" si="12"/>
        <v>67155.790907798204</v>
      </c>
      <c r="K135" s="157">
        <f t="shared" si="12"/>
        <v>68230.731428226733</v>
      </c>
      <c r="L135" s="157">
        <f t="shared" si="12"/>
        <v>69322.878165823422</v>
      </c>
      <c r="M135" s="157">
        <f t="shared" si="12"/>
        <v>70432.50653481223</v>
      </c>
      <c r="N135" s="157">
        <f t="shared" si="12"/>
        <v>71559.896357881473</v>
      </c>
      <c r="O135" s="157">
        <f t="shared" si="12"/>
        <v>72705.331936748582</v>
      </c>
      <c r="P135" s="157">
        <f t="shared" si="12"/>
        <v>73869.102123854565</v>
      </c>
      <c r="Q135" s="157">
        <f t="shared" si="12"/>
        <v>75051.500395205774</v>
      </c>
      <c r="R135" s="157">
        <f t="shared" si="12"/>
        <v>76252.824924381959</v>
      </c>
      <c r="S135" s="157">
        <f t="shared" si="12"/>
        <v>77473.378657728623</v>
      </c>
      <c r="T135" s="157">
        <f t="shared" si="12"/>
        <v>78713.469390753176</v>
      </c>
      <c r="U135" s="157">
        <f t="shared" si="12"/>
        <v>79973.409845743881</v>
      </c>
      <c r="V135" s="157">
        <f t="shared" si="12"/>
        <v>81253.51775063113</v>
      </c>
      <c r="W135" s="157">
        <f t="shared" si="12"/>
        <v>82554.115919111195</v>
      </c>
      <c r="X135" s="157">
        <f t="shared" si="12"/>
        <v>83875.532332052331</v>
      </c>
      <c r="Y135" s="157">
        <f t="shared" si="12"/>
        <v>85218.100220203967</v>
      </c>
      <c r="Z135" s="157">
        <f t="shared" si="12"/>
        <v>86582.158148229952</v>
      </c>
      <c r="AA135" s="157">
        <f t="shared" si="12"/>
        <v>87968.050100086562</v>
      </c>
      <c r="AB135" s="157">
        <f t="shared" si="12"/>
        <v>89376.125565767521</v>
      </c>
      <c r="AC135" s="157">
        <f t="shared" si="12"/>
        <v>90806.739629437128</v>
      </c>
      <c r="AD135" s="157">
        <f t="shared" si="12"/>
        <v>92260.253058974457</v>
      </c>
      <c r="AE135" s="157">
        <f t="shared" si="12"/>
        <v>93737.032396950584</v>
      </c>
      <c r="AF135" s="157">
        <f t="shared" si="12"/>
        <v>95237.450053062261</v>
      </c>
      <c r="AG135" s="157">
        <f t="shared" si="12"/>
        <v>96761.884398044975</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0.2</v>
      </c>
      <c r="F4" s="65">
        <v>0.2</v>
      </c>
      <c r="G4" s="65">
        <v>0.2</v>
      </c>
      <c r="H4" s="65">
        <v>0.15</v>
      </c>
      <c r="I4" s="65">
        <v>7.0000000000000007E-2</v>
      </c>
      <c r="J4" s="65">
        <v>0.05</v>
      </c>
      <c r="K4" s="65">
        <v>0.05</v>
      </c>
      <c r="L4" s="65">
        <v>0.05</v>
      </c>
      <c r="M4" s="65">
        <v>0.05</v>
      </c>
      <c r="N4" s="65">
        <v>0.05</v>
      </c>
      <c r="O4" s="65">
        <v>0.04</v>
      </c>
      <c r="P4" s="65">
        <v>0.04</v>
      </c>
      <c r="Q4" s="65">
        <v>0.04</v>
      </c>
      <c r="R4" s="65">
        <v>0.04</v>
      </c>
      <c r="S4" s="65">
        <v>0.04</v>
      </c>
      <c r="T4" s="65">
        <v>0.04</v>
      </c>
      <c r="U4" s="65">
        <v>0.04</v>
      </c>
      <c r="V4" s="65">
        <v>0.03</v>
      </c>
      <c r="W4" s="65">
        <v>0.03</v>
      </c>
      <c r="X4" s="65">
        <v>0.03</v>
      </c>
      <c r="Y4" s="65">
        <v>0.03</v>
      </c>
      <c r="Z4" s="65">
        <v>0.03</v>
      </c>
      <c r="AA4" s="65">
        <v>0.03</v>
      </c>
      <c r="AB4" s="65">
        <v>0.03</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2.5071923106939651</v>
      </c>
      <c r="C6" s="25"/>
      <c r="D6" s="25"/>
      <c r="E6" s="27">
        <f>'Debt worksheet'!C5/'Profit and Loss'!C5</f>
        <v>2.2973475116553996</v>
      </c>
      <c r="F6" s="28">
        <f ca="1">'Debt worksheet'!D5/'Profit and Loss'!D5</f>
        <v>2.4979262605351806</v>
      </c>
      <c r="G6" s="28">
        <f ca="1">'Debt worksheet'!E5/'Profit and Loss'!E5</f>
        <v>2.490471443949021</v>
      </c>
      <c r="H6" s="28">
        <f ca="1">'Debt worksheet'!F5/'Profit and Loss'!F5</f>
        <v>2.4288428700753557</v>
      </c>
      <c r="I6" s="28">
        <f ca="1">'Debt worksheet'!G5/'Profit and Loss'!G5</f>
        <v>2.4426373932108425</v>
      </c>
      <c r="J6" s="28">
        <f ca="1">'Debt worksheet'!H5/'Profit and Loss'!H5</f>
        <v>2.4721715181905393</v>
      </c>
      <c r="K6" s="28">
        <f ca="1">'Debt worksheet'!I5/'Profit and Loss'!I5</f>
        <v>2.490072409499712</v>
      </c>
      <c r="L6" s="28">
        <f ca="1">'Debt worksheet'!J5/'Profit and Loss'!J5</f>
        <v>2.4957931550444115</v>
      </c>
      <c r="M6" s="28">
        <f ca="1">'Debt worksheet'!K5/'Profit and Loss'!K5</f>
        <v>2.4888952378503033</v>
      </c>
      <c r="N6" s="28">
        <f ca="1">'Debt worksheet'!L5/'Profit and Loss'!L5</f>
        <v>2.4690390503862547</v>
      </c>
      <c r="O6" s="28">
        <f ca="1">'Debt worksheet'!M5/'Profit and Loss'!M5</f>
        <v>2.4611010339293142</v>
      </c>
      <c r="P6" s="28">
        <f ca="1">'Debt worksheet'!N5/'Profit and Loss'!N5</f>
        <v>2.4502256775706655</v>
      </c>
      <c r="Q6" s="28">
        <f ca="1">'Debt worksheet'!O5/'Profit and Loss'!O5</f>
        <v>2.4357964083049763</v>
      </c>
      <c r="R6" s="28">
        <f ca="1">'Debt worksheet'!P5/'Profit and Loss'!P5</f>
        <v>2.4172523024952088</v>
      </c>
      <c r="S6" s="28">
        <f ca="1">'Debt worksheet'!Q5/'Profit and Loss'!Q5</f>
        <v>2.3940849112149163</v>
      </c>
      <c r="T6" s="28">
        <f ca="1">'Debt worksheet'!R5/'Profit and Loss'!R5</f>
        <v>2.3661979477006287</v>
      </c>
      <c r="U6" s="28">
        <f ca="1">'Debt worksheet'!S5/'Profit and Loss'!S5</f>
        <v>2.3331724617281822</v>
      </c>
      <c r="V6" s="28">
        <f ca="1">'Debt worksheet'!T5/'Profit and Loss'!T5</f>
        <v>2.3169103605154309</v>
      </c>
      <c r="W6" s="28">
        <f ca="1">'Debt worksheet'!U5/'Profit and Loss'!U5</f>
        <v>2.3037620662470397</v>
      </c>
      <c r="X6" s="28">
        <f ca="1">'Debt worksheet'!V5/'Profit and Loss'!V5</f>
        <v>2.2932380142938324</v>
      </c>
      <c r="Y6" s="28">
        <f ca="1">'Debt worksheet'!W5/'Profit and Loss'!W5</f>
        <v>2.2855945023651763</v>
      </c>
      <c r="Z6" s="28">
        <f ca="1">'Debt worksheet'!X5/'Profit and Loss'!X5</f>
        <v>2.2803912791426524</v>
      </c>
      <c r="AA6" s="28">
        <f ca="1">'Debt worksheet'!Y5/'Profit and Loss'!Y5</f>
        <v>2.277207501806223</v>
      </c>
      <c r="AB6" s="28">
        <f ca="1">'Debt worksheet'!Z5/'Profit and Loss'!Z5</f>
        <v>2.2756410889868155</v>
      </c>
      <c r="AC6" s="28">
        <f ca="1">'Debt worksheet'!AA5/'Profit and Loss'!AA5</f>
        <v>2.293118723875982</v>
      </c>
      <c r="AD6" s="28">
        <f ca="1">'Debt worksheet'!AB5/'Profit and Loss'!AB5</f>
        <v>2.3194232008144824</v>
      </c>
      <c r="AE6" s="28">
        <f ca="1">'Debt worksheet'!AC5/'Profit and Loss'!AC5</f>
        <v>2.3542639004461599</v>
      </c>
      <c r="AF6" s="28">
        <f ca="1">'Debt worksheet'!AD5/'Profit and Loss'!AD5</f>
        <v>2.3973565995590373</v>
      </c>
      <c r="AG6" s="28">
        <f ca="1">'Debt worksheet'!AE5/'Profit and Loss'!AE5</f>
        <v>2.4484233417637262</v>
      </c>
      <c r="AH6" s="28">
        <f ca="1">'Debt worksheet'!AF5/'Profit and Loss'!AF5</f>
        <v>2.5071923106939651</v>
      </c>
      <c r="AI6" s="31"/>
    </row>
    <row r="7" spans="1:35" ht="21" x14ac:dyDescent="0.5">
      <c r="A7" s="19" t="s">
        <v>38</v>
      </c>
      <c r="B7" s="26">
        <f ca="1">MIN('Price and Financial ratios'!E7:AH7)</f>
        <v>0.21089315633798517</v>
      </c>
      <c r="C7" s="26"/>
      <c r="D7" s="26"/>
      <c r="E7" s="56">
        <f ca="1">'Cash Flow'!C7/'Debt worksheet'!C5</f>
        <v>0.21773273489755116</v>
      </c>
      <c r="F7" s="32">
        <f ca="1">'Cash Flow'!D7/'Debt worksheet'!D5</f>
        <v>0.21482655105070306</v>
      </c>
      <c r="G7" s="32">
        <f ca="1">'Cash Flow'!E7/'Debt worksheet'!E5</f>
        <v>0.23216846520365264</v>
      </c>
      <c r="H7" s="32">
        <f ca="1">'Cash Flow'!F7/'Debt worksheet'!F5</f>
        <v>0.24897316193331823</v>
      </c>
      <c r="I7" s="32">
        <f ca="1">'Cash Flow'!G7/'Debt worksheet'!G5</f>
        <v>0.24791455578772581</v>
      </c>
      <c r="J7" s="32">
        <f ca="1">'Cash Flow'!H7/'Debt worksheet'!H5</f>
        <v>0.24293425110497188</v>
      </c>
      <c r="K7" s="32">
        <f ca="1">'Cash Flow'!I7/'Debt worksheet'!I5</f>
        <v>0.23977751790432095</v>
      </c>
      <c r="L7" s="32">
        <f ca="1">'Cash Flow'!J7/'Debt worksheet'!J5</f>
        <v>0.23838556804654137</v>
      </c>
      <c r="M7" s="17">
        <f ca="1">'Cash Flow'!K7/'Debt worksheet'!K5</f>
        <v>0.23874095016340505</v>
      </c>
      <c r="N7" s="17">
        <f ca="1">'Cash Flow'!L7/'Debt worksheet'!L5</f>
        <v>0.2405416983548716</v>
      </c>
      <c r="O7" s="17">
        <f ca="1">'Cash Flow'!M7/'Debt worksheet'!M5</f>
        <v>0.2399321748233636</v>
      </c>
      <c r="P7" s="17">
        <f ca="1">'Cash Flow'!N7/'Debt worksheet'!N5</f>
        <v>0.23990514382727141</v>
      </c>
      <c r="Q7" s="17">
        <f ca="1">'Cash Flow'!O7/'Debt worksheet'!O5</f>
        <v>0.24052268229617674</v>
      </c>
      <c r="R7" s="17">
        <f ca="1">'Cash Flow'!P7/'Debt worksheet'!P5</f>
        <v>0.241848561514202</v>
      </c>
      <c r="S7" s="17">
        <f ca="1">'Cash Flow'!Q7/'Debt worksheet'!Q5</f>
        <v>0.2438727810475117</v>
      </c>
      <c r="T7" s="17">
        <f ca="1">'Cash Flow'!R7/'Debt worksheet'!R5</f>
        <v>0.24670231038992674</v>
      </c>
      <c r="U7" s="17">
        <f ca="1">'Cash Flow'!S7/'Debt worksheet'!S5</f>
        <v>0.25042181564796023</v>
      </c>
      <c r="V7" s="17">
        <f ca="1">'Cash Flow'!T7/'Debt worksheet'!T5</f>
        <v>0.2507876708790911</v>
      </c>
      <c r="W7" s="17">
        <f ca="1">'Cash Flow'!U7/'Debt worksheet'!U5</f>
        <v>0.25092765321751331</v>
      </c>
      <c r="X7" s="17">
        <f ca="1">'Cash Flow'!V7/'Debt worksheet'!V5</f>
        <v>0.25072023968229612</v>
      </c>
      <c r="Y7" s="17">
        <f ca="1">'Cash Flow'!W7/'Debt worksheet'!W5</f>
        <v>0.25028881710429296</v>
      </c>
      <c r="Z7" s="17">
        <f ca="1">'Cash Flow'!X7/'Debt worksheet'!X5</f>
        <v>0.24968244952287882</v>
      </c>
      <c r="AA7" s="17">
        <f ca="1">'Cash Flow'!Y7/'Debt worksheet'!Y5</f>
        <v>0.24894924659892226</v>
      </c>
      <c r="AB7" s="17">
        <f ca="1">'Cash Flow'!Z7/'Debt worksheet'!Z5</f>
        <v>0.24813570061656393</v>
      </c>
      <c r="AC7" s="17">
        <f ca="1">'Cash Flow'!AA7/'Debt worksheet'!AA5</f>
        <v>0.24374881172322899</v>
      </c>
      <c r="AD7" s="17">
        <f ca="1">'Cash Flow'!AB7/'Debt worksheet'!AB5</f>
        <v>0.23846868735864035</v>
      </c>
      <c r="AE7" s="17">
        <f ca="1">'Cash Flow'!AC7/'Debt worksheet'!AC5</f>
        <v>0.23241557535218096</v>
      </c>
      <c r="AF7" s="17">
        <f ca="1">'Cash Flow'!AD7/'Debt worksheet'!AD5</f>
        <v>0.22571673394268918</v>
      </c>
      <c r="AG7" s="17">
        <f ca="1">'Cash Flow'!AE7/'Debt worksheet'!AE5</f>
        <v>0.21850084064146469</v>
      </c>
      <c r="AH7" s="17">
        <f ca="1">'Cash Flow'!AF7/'Debt worksheet'!AF5</f>
        <v>0.21089315633798517</v>
      </c>
      <c r="AI7" s="29"/>
    </row>
    <row r="8" spans="1:35" ht="21" x14ac:dyDescent="0.5">
      <c r="A8" s="19" t="s">
        <v>33</v>
      </c>
      <c r="B8" s="26">
        <f ca="1">MAX('Price and Financial ratios'!E8:AH8)</f>
        <v>0.34536650561096088</v>
      </c>
      <c r="C8" s="26"/>
      <c r="D8" s="176"/>
      <c r="E8" s="17">
        <f>'Balance Sheet'!B11/'Balance Sheet'!B8</f>
        <v>0.21638155552458321</v>
      </c>
      <c r="F8" s="17">
        <f ca="1">'Balance Sheet'!C11/'Balance Sheet'!C8</f>
        <v>0.28349342990033416</v>
      </c>
      <c r="G8" s="17">
        <f ca="1">'Balance Sheet'!D11/'Balance Sheet'!D8</f>
        <v>0.31794018342733393</v>
      </c>
      <c r="H8" s="17">
        <f ca="1">'Balance Sheet'!E11/'Balance Sheet'!E8</f>
        <v>0.33551907481552923</v>
      </c>
      <c r="I8" s="17">
        <f ca="1">'Balance Sheet'!F11/'Balance Sheet'!F8</f>
        <v>0.34084836150755027</v>
      </c>
      <c r="J8" s="17">
        <f ca="1">'Balance Sheet'!G11/'Balance Sheet'!G8</f>
        <v>0.34305738408694264</v>
      </c>
      <c r="K8" s="17">
        <f ca="1">'Balance Sheet'!H11/'Balance Sheet'!H8</f>
        <v>0.3446135710094867</v>
      </c>
      <c r="L8" s="17">
        <f ca="1">'Balance Sheet'!I11/'Balance Sheet'!I8</f>
        <v>0.34536650561096088</v>
      </c>
      <c r="M8" s="17">
        <f ca="1">'Balance Sheet'!J11/'Balance Sheet'!J8</f>
        <v>0.34517506851028024</v>
      </c>
      <c r="N8" s="17">
        <f ca="1">'Balance Sheet'!K11/'Balance Sheet'!K8</f>
        <v>0.3439055068720116</v>
      </c>
      <c r="O8" s="17">
        <f ca="1">'Balance Sheet'!L11/'Balance Sheet'!L8</f>
        <v>0.34161994326878325</v>
      </c>
      <c r="P8" s="17">
        <f ca="1">'Balance Sheet'!M11/'Balance Sheet'!M8</f>
        <v>0.33949783522153526</v>
      </c>
      <c r="Q8" s="17">
        <f ca="1">'Balance Sheet'!N11/'Balance Sheet'!N8</f>
        <v>0.33740044122296098</v>
      </c>
      <c r="R8" s="17">
        <f ca="1">'Balance Sheet'!O11/'Balance Sheet'!O8</f>
        <v>0.33520118492522316</v>
      </c>
      <c r="S8" s="17">
        <f ca="1">'Balance Sheet'!P11/'Balance Sheet'!P8</f>
        <v>0.33278337357385812</v>
      </c>
      <c r="T8" s="17">
        <f ca="1">'Balance Sheet'!Q11/'Balance Sheet'!Q8</f>
        <v>0.33008003920939299</v>
      </c>
      <c r="U8" s="17">
        <f ca="1">'Balance Sheet'!R11/'Balance Sheet'!R8</f>
        <v>0.32698878279325566</v>
      </c>
      <c r="V8" s="17">
        <f ca="1">'Balance Sheet'!S11/'Balance Sheet'!S8</f>
        <v>0.32341208945894895</v>
      </c>
      <c r="W8" s="17">
        <f ca="1">'Balance Sheet'!T11/'Balance Sheet'!T8</f>
        <v>0.32059414929999591</v>
      </c>
      <c r="X8" s="17">
        <f ca="1">'Balance Sheet'!U11/'Balance Sheet'!U8</f>
        <v>0.31843576942938401</v>
      </c>
      <c r="Y8" s="17">
        <f ca="1">'Balance Sheet'!V11/'Balance Sheet'!V8</f>
        <v>0.31693172406931014</v>
      </c>
      <c r="Z8" s="17">
        <f ca="1">'Balance Sheet'!W11/'Balance Sheet'!W8</f>
        <v>0.31600074148017543</v>
      </c>
      <c r="AA8" s="17">
        <f ca="1">'Balance Sheet'!X11/'Balance Sheet'!X8</f>
        <v>0.31556797979275242</v>
      </c>
      <c r="AB8" s="17">
        <f ca="1">'Balance Sheet'!Y11/'Balance Sheet'!Y8</f>
        <v>0.31556411509908017</v>
      </c>
      <c r="AC8" s="17">
        <f ca="1">'Balance Sheet'!Z11/'Balance Sheet'!Z8</f>
        <v>0.31592456811829667</v>
      </c>
      <c r="AD8" s="17">
        <f ca="1">'Balance Sheet'!AA11/'Balance Sheet'!AA8</f>
        <v>0.31765875013963929</v>
      </c>
      <c r="AE8" s="17">
        <f ca="1">'Balance Sheet'!AB11/'Balance Sheet'!AB8</f>
        <v>0.3206986390183299</v>
      </c>
      <c r="AF8" s="17">
        <f ca="1">'Balance Sheet'!AC11/'Balance Sheet'!AC8</f>
        <v>0.32498264970224994</v>
      </c>
      <c r="AG8" s="17">
        <f ca="1">'Balance Sheet'!AD11/'Balance Sheet'!AD8</f>
        <v>0.33045487739383694</v>
      </c>
      <c r="AH8" s="17">
        <f ca="1">'Balance Sheet'!AE11/'Balance Sheet'!AE8</f>
        <v>0.33706444342404435</v>
      </c>
      <c r="AI8" s="29"/>
    </row>
    <row r="9" spans="1:35" ht="21.5" thickBot="1" x14ac:dyDescent="0.55000000000000004">
      <c r="A9" s="20" t="s">
        <v>32</v>
      </c>
      <c r="B9" s="21">
        <f ca="1">MIN('Price and Financial ratios'!E9:AH9)</f>
        <v>5.6927234282379864</v>
      </c>
      <c r="C9" s="21"/>
      <c r="D9" s="177"/>
      <c r="E9" s="21">
        <f ca="1">('Cash Flow'!C7+'Profit and Loss'!C8)/('Profit and Loss'!C8)</f>
        <v>5.6927234282379864</v>
      </c>
      <c r="F9" s="21">
        <f ca="1">('Cash Flow'!D7+'Profit and Loss'!D8)/('Profit and Loss'!D8)</f>
        <v>6.0494044022289861</v>
      </c>
      <c r="G9" s="21">
        <f ca="1">('Cash Flow'!E7+'Profit and Loss'!E8)/('Profit and Loss'!E8)</f>
        <v>6.8213395758227318</v>
      </c>
      <c r="H9" s="21">
        <f ca="1">('Cash Flow'!F7+'Profit and Loss'!F8)/('Profit and Loss'!F8)</f>
        <v>7.5064571305259742</v>
      </c>
      <c r="I9" s="21">
        <f ca="1">('Cash Flow'!G7+'Profit and Loss'!G8)/('Profit and Loss'!G8)</f>
        <v>7.5603729121188374</v>
      </c>
      <c r="J9" s="21">
        <f ca="1">('Cash Flow'!H7+'Profit and Loss'!H8)/('Profit and Loss'!H8)</f>
        <v>7.4595381905805542</v>
      </c>
      <c r="K9" s="21">
        <f ca="1">('Cash Flow'!I7+'Profit and Loss'!I8)/('Profit and Loss'!I8)</f>
        <v>7.4070475200190931</v>
      </c>
      <c r="L9" s="21">
        <f ca="1">('Cash Flow'!J7+'Profit and Loss'!J8)/('Profit and Loss'!J8)</f>
        <v>7.4021822055646105</v>
      </c>
      <c r="M9" s="21">
        <f ca="1">('Cash Flow'!K7+'Profit and Loss'!K8)/('Profit and Loss'!K8)</f>
        <v>7.4454267006970447</v>
      </c>
      <c r="N9" s="21">
        <f ca="1">('Cash Flow'!L7+'Profit and Loss'!L8)/('Profit and Loss'!L8)</f>
        <v>7.5251567151776353</v>
      </c>
      <c r="O9" s="21">
        <f ca="1">('Cash Flow'!M7+'Profit and Loss'!M8)/('Profit and Loss'!M8)</f>
        <v>7.5164925690495945</v>
      </c>
      <c r="P9" s="21">
        <f ca="1">('Cash Flow'!N7+'Profit and Loss'!N8)/('Profit and Loss'!N8)</f>
        <v>7.5253936887877639</v>
      </c>
      <c r="Q9" s="21">
        <f ca="1">('Cash Flow'!O7+'Profit and Loss'!O8)/('Profit and Loss'!O8)</f>
        <v>7.5535572746237092</v>
      </c>
      <c r="R9" s="21">
        <f ca="1">('Cash Flow'!P7+'Profit and Loss'!P8)/('Profit and Loss'!P8)</f>
        <v>7.6027978221523052</v>
      </c>
      <c r="S9" s="21">
        <f ca="1">('Cash Flow'!Q7+'Profit and Loss'!Q8)/('Profit and Loss'!Q8)</f>
        <v>7.6719666177883958</v>
      </c>
      <c r="T9" s="21">
        <f ca="1">('Cash Flow'!R7+'Profit and Loss'!R8)/('Profit and Loss'!R8)</f>
        <v>7.7651823306928875</v>
      </c>
      <c r="U9" s="21">
        <f ca="1">('Cash Flow'!S7+'Profit and Loss'!S8)/('Profit and Loss'!S8)</f>
        <v>7.8850633809600987</v>
      </c>
      <c r="V9" s="21">
        <f ca="1">('Cash Flow'!T7+'Profit and Loss'!T8)/('Profit and Loss'!T8)</f>
        <v>7.8861418247102035</v>
      </c>
      <c r="W9" s="21">
        <f ca="1">('Cash Flow'!U7+'Profit and Loss'!U8)/('Profit and Loss'!U8)</f>
        <v>7.8823251675940416</v>
      </c>
      <c r="X9" s="21">
        <f ca="1">('Cash Flow'!V7+'Profit and Loss'!V8)/('Profit and Loss'!V8)</f>
        <v>7.8681143320731426</v>
      </c>
      <c r="Y9" s="21">
        <f ca="1">('Cash Flow'!W7+'Profit and Loss'!W8)/('Profit and Loss'!W8)</f>
        <v>7.8490356905705019</v>
      </c>
      <c r="Z9" s="21">
        <f ca="1">('Cash Flow'!X7+'Profit and Loss'!X8)/('Profit and Loss'!X8)</f>
        <v>7.8264192021723282</v>
      </c>
      <c r="AA9" s="21">
        <f ca="1">('Cash Flow'!Y7+'Profit and Loss'!Y8)/('Profit and Loss'!Y8)</f>
        <v>7.8015489445607535</v>
      </c>
      <c r="AB9" s="21">
        <f ca="1">('Cash Flow'!Z7+'Profit and Loss'!Z8)/('Profit and Loss'!Z8)</f>
        <v>7.7756502556357088</v>
      </c>
      <c r="AC9" s="21">
        <f ca="1">('Cash Flow'!AA7+'Profit and Loss'!AA8)/('Profit and Loss'!AA8)</f>
        <v>7.6309163890716718</v>
      </c>
      <c r="AD9" s="21">
        <f ca="1">('Cash Flow'!AB7+'Profit and Loss'!AB8)/('Profit and Loss'!AB8)</f>
        <v>7.4645859802876737</v>
      </c>
      <c r="AE9" s="21">
        <f ca="1">('Cash Flow'!AC7+'Profit and Loss'!AC8)/('Profit and Loss'!AC8)</f>
        <v>7.2801820705002527</v>
      </c>
      <c r="AF9" s="21">
        <f ca="1">('Cash Flow'!AD7+'Profit and Loss'!AD8)/('Profit and Loss'!AD8)</f>
        <v>7.0812714070650991</v>
      </c>
      <c r="AG9" s="21">
        <f ca="1">('Cash Flow'!AE7+'Profit and Loss'!AE8)/('Profit and Loss'!AE8)</f>
        <v>6.8713298187740115</v>
      </c>
      <c r="AH9" s="21">
        <f ca="1">('Cash Flow'!AF7+'Profit and Loss'!AF8)/('Profit and Loss'!AF8)</f>
        <v>6.6536344635238942</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34762920.131835759</v>
      </c>
      <c r="D5" s="1">
        <f>Assumptions!E111</f>
        <v>34762920.131835759</v>
      </c>
      <c r="E5" s="1">
        <f>Assumptions!F111</f>
        <v>34762920.131835759</v>
      </c>
      <c r="F5" s="1">
        <f>Assumptions!G111</f>
        <v>34762920.131835759</v>
      </c>
      <c r="G5" s="1">
        <f>Assumptions!H111</f>
        <v>34762920.131835759</v>
      </c>
      <c r="H5" s="1">
        <f>Assumptions!I111</f>
        <v>34762920.131835759</v>
      </c>
      <c r="I5" s="1">
        <f>Assumptions!J111</f>
        <v>34762920.131835759</v>
      </c>
      <c r="J5" s="1">
        <f>Assumptions!K111</f>
        <v>34762920.131835759</v>
      </c>
      <c r="K5" s="1">
        <f>Assumptions!L111</f>
        <v>34762920.131835759</v>
      </c>
      <c r="L5" s="1">
        <f>Assumptions!M111</f>
        <v>34762920.131835759</v>
      </c>
      <c r="M5" s="1">
        <f>Assumptions!N111</f>
        <v>34762920.131835759</v>
      </c>
      <c r="N5" s="1">
        <f>Assumptions!O111</f>
        <v>34762920.131835759</v>
      </c>
      <c r="O5" s="1">
        <f>Assumptions!P111</f>
        <v>34762920.131835759</v>
      </c>
      <c r="P5" s="1">
        <f>Assumptions!Q111</f>
        <v>34762920.131835759</v>
      </c>
      <c r="Q5" s="1">
        <f>Assumptions!R111</f>
        <v>34762920.131835759</v>
      </c>
      <c r="R5" s="1">
        <f>Assumptions!S111</f>
        <v>34762920.131835759</v>
      </c>
      <c r="S5" s="1">
        <f>Assumptions!T111</f>
        <v>34762920.131835759</v>
      </c>
      <c r="T5" s="1">
        <f>Assumptions!U111</f>
        <v>34762920.131835759</v>
      </c>
      <c r="U5" s="1">
        <f>Assumptions!V111</f>
        <v>34762920.131835759</v>
      </c>
      <c r="V5" s="1">
        <f>Assumptions!W111</f>
        <v>34762920.131835759</v>
      </c>
      <c r="W5" s="1">
        <f>Assumptions!X111</f>
        <v>34762920.131835759</v>
      </c>
      <c r="X5" s="1">
        <f>Assumptions!Y111</f>
        <v>34762920.131835759</v>
      </c>
      <c r="Y5" s="1">
        <f>Assumptions!Z111</f>
        <v>34762920.131835759</v>
      </c>
      <c r="Z5" s="1">
        <f>Assumptions!AA111</f>
        <v>34762920.131835759</v>
      </c>
      <c r="AA5" s="1">
        <f>Assumptions!AB111</f>
        <v>34762920.131835759</v>
      </c>
      <c r="AB5" s="1">
        <f>Assumptions!AC111</f>
        <v>34762920.131835759</v>
      </c>
      <c r="AC5" s="1">
        <f>Assumptions!AD111</f>
        <v>34762920.131835759</v>
      </c>
      <c r="AD5" s="1">
        <f>Assumptions!AE111</f>
        <v>34762920.131835759</v>
      </c>
      <c r="AE5" s="1">
        <f>Assumptions!AF111</f>
        <v>34762920.131835759</v>
      </c>
      <c r="AF5" s="1">
        <f>Assumptions!AG111</f>
        <v>34762920.131835759</v>
      </c>
    </row>
    <row r="6" spans="1:32" x14ac:dyDescent="0.35">
      <c r="A6" t="s">
        <v>68</v>
      </c>
      <c r="C6" s="1">
        <f>Assumptions!D113</f>
        <v>98719641.224857897</v>
      </c>
      <c r="D6" s="1">
        <f>Assumptions!E113</f>
        <v>98719641.224857897</v>
      </c>
      <c r="E6" s="1">
        <f>Assumptions!F113</f>
        <v>98719641.224857897</v>
      </c>
      <c r="F6" s="1">
        <f>Assumptions!G113</f>
        <v>98719641.224857897</v>
      </c>
      <c r="G6" s="1">
        <f>Assumptions!H113</f>
        <v>98719641.224857897</v>
      </c>
      <c r="H6" s="1">
        <f>Assumptions!I113</f>
        <v>98719641.224857897</v>
      </c>
      <c r="I6" s="1">
        <f>Assumptions!J113</f>
        <v>98719641.224857897</v>
      </c>
      <c r="J6" s="1">
        <f>Assumptions!K113</f>
        <v>98719641.224857897</v>
      </c>
      <c r="K6" s="1">
        <f>Assumptions!L113</f>
        <v>98719641.224857897</v>
      </c>
      <c r="L6" s="1">
        <f>Assumptions!M113</f>
        <v>98719641.224857897</v>
      </c>
      <c r="M6" s="1">
        <f>Assumptions!N113</f>
        <v>98719641.224857897</v>
      </c>
      <c r="N6" s="1">
        <f>Assumptions!O113</f>
        <v>98719641.224857897</v>
      </c>
      <c r="O6" s="1">
        <f>Assumptions!P113</f>
        <v>98719641.224857897</v>
      </c>
      <c r="P6" s="1">
        <f>Assumptions!Q113</f>
        <v>98719641.224857897</v>
      </c>
      <c r="Q6" s="1">
        <f>Assumptions!R113</f>
        <v>98719641.224857897</v>
      </c>
      <c r="R6" s="1">
        <f>Assumptions!S113</f>
        <v>98719641.224857897</v>
      </c>
      <c r="S6" s="1">
        <f>Assumptions!T113</f>
        <v>98719641.224857897</v>
      </c>
      <c r="T6" s="1">
        <f>Assumptions!U113</f>
        <v>98719641.224857897</v>
      </c>
      <c r="U6" s="1">
        <f>Assumptions!V113</f>
        <v>98719641.224857897</v>
      </c>
      <c r="V6" s="1">
        <f>Assumptions!W113</f>
        <v>98719641.224857897</v>
      </c>
      <c r="W6" s="1">
        <f>Assumptions!X113</f>
        <v>98719641.224857897</v>
      </c>
      <c r="X6" s="1">
        <f>Assumptions!Y113</f>
        <v>98719641.224857897</v>
      </c>
      <c r="Y6" s="1">
        <f>Assumptions!Z113</f>
        <v>98719641.224857897</v>
      </c>
      <c r="Z6" s="1">
        <f>Assumptions!AA113</f>
        <v>98719641.224857897</v>
      </c>
      <c r="AA6" s="1">
        <f>Assumptions!AB113</f>
        <v>98719641.224857897</v>
      </c>
      <c r="AB6" s="1">
        <f>Assumptions!AC113</f>
        <v>98719641.224857897</v>
      </c>
      <c r="AC6" s="1">
        <f>Assumptions!AD113</f>
        <v>98719641.224857897</v>
      </c>
      <c r="AD6" s="1">
        <f>Assumptions!AE113</f>
        <v>98719641.224857897</v>
      </c>
      <c r="AE6" s="1">
        <f>Assumptions!AF113</f>
        <v>98719641.224857897</v>
      </c>
      <c r="AF6" s="1">
        <f>Assumptions!AG113</f>
        <v>98719641.224857897</v>
      </c>
    </row>
    <row r="7" spans="1:32" x14ac:dyDescent="0.35">
      <c r="A7" t="s">
        <v>73</v>
      </c>
      <c r="C7" s="1">
        <f>Assumptions!D120</f>
        <v>2369271.3893965897</v>
      </c>
      <c r="D7" s="1">
        <f>Assumptions!E120</f>
        <v>4738542.7787931794</v>
      </c>
      <c r="E7" s="1">
        <f>Assumptions!F120</f>
        <v>7107814.1681897677</v>
      </c>
      <c r="F7" s="1">
        <f>Assumptions!G120</f>
        <v>9477085.5575863589</v>
      </c>
      <c r="G7" s="1">
        <f>Assumptions!H120</f>
        <v>11837880.865120983</v>
      </c>
      <c r="H7" s="1">
        <f>Assumptions!I120</f>
        <v>14190230.414024683</v>
      </c>
      <c r="I7" s="1">
        <f>Assumptions!J120</f>
        <v>16534164.419046957</v>
      </c>
      <c r="J7" s="1">
        <f>Assumptions!K120</f>
        <v>18869712.986843884</v>
      </c>
      <c r="K7" s="1">
        <f>Assumptions!L120</f>
        <v>21196906.116364788</v>
      </c>
      <c r="L7" s="1">
        <f>Assumptions!M120</f>
        <v>23520723.204097662</v>
      </c>
      <c r="M7" s="1">
        <f>Assumptions!N120</f>
        <v>25841169.147641253</v>
      </c>
      <c r="N7" s="1">
        <f>Assumptions!O120</f>
        <v>28158248.837489389</v>
      </c>
      <c r="O7" s="1">
        <f>Assumptions!P120</f>
        <v>30471967.157041315</v>
      </c>
      <c r="P7" s="1">
        <f>Assumptions!Q120</f>
        <v>32782328.982611947</v>
      </c>
      <c r="Q7" s="1">
        <f>Assumptions!R120</f>
        <v>35090442.261810467</v>
      </c>
      <c r="R7" s="1">
        <f>Assumptions!S120</f>
        <v>37396309.183021694</v>
      </c>
      <c r="S7" s="1">
        <f>Assumptions!T120</f>
        <v>39699931.932500653</v>
      </c>
      <c r="T7" s="1">
        <f>Assumptions!U120</f>
        <v>42001312.694374584</v>
      </c>
      <c r="U7" s="1">
        <f>Assumptions!V120</f>
        <v>44300453.650645033</v>
      </c>
      <c r="V7" s="1">
        <f>Assumptions!W120</f>
        <v>46599594.606915489</v>
      </c>
      <c r="W7" s="1">
        <f>Assumptions!X120</f>
        <v>48898735.56318593</v>
      </c>
      <c r="X7" s="1">
        <f>Assumptions!Y120</f>
        <v>51197876.519456379</v>
      </c>
      <c r="Y7" s="1">
        <f>Assumptions!Z120</f>
        <v>53497017.475726835</v>
      </c>
      <c r="Z7" s="1">
        <f>Assumptions!AA120</f>
        <v>55796158.431997284</v>
      </c>
      <c r="AA7" s="1">
        <f>Assumptions!AB120</f>
        <v>58095299.388267741</v>
      </c>
      <c r="AB7" s="1">
        <f>Assumptions!AC120</f>
        <v>60394440.344538182</v>
      </c>
      <c r="AC7" s="1">
        <f>Assumptions!AD120</f>
        <v>62693581.300808631</v>
      </c>
      <c r="AD7" s="1">
        <f>Assumptions!AE120</f>
        <v>64992722.25707908</v>
      </c>
      <c r="AE7" s="1">
        <f>Assumptions!AF120</f>
        <v>67291863.213349536</v>
      </c>
      <c r="AF7" s="1">
        <f>Assumptions!AG120</f>
        <v>69591004.169619992</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35875333.576054506</v>
      </c>
      <c r="D11" s="1">
        <f>D5*D$9</f>
        <v>37023344.250488244</v>
      </c>
      <c r="E11" s="1">
        <f t="shared" ref="D11:AF13" si="1">E5*E$9</f>
        <v>38208091.26650387</v>
      </c>
      <c r="F11" s="1">
        <f t="shared" si="1"/>
        <v>39430750.187031992</v>
      </c>
      <c r="G11" s="1">
        <f t="shared" si="1"/>
        <v>40692534.193017021</v>
      </c>
      <c r="H11" s="1">
        <f t="shared" si="1"/>
        <v>41994695.287193559</v>
      </c>
      <c r="I11" s="1">
        <f t="shared" si="1"/>
        <v>43338525.536383748</v>
      </c>
      <c r="J11" s="1">
        <f t="shared" si="1"/>
        <v>44725358.353548035</v>
      </c>
      <c r="K11" s="1">
        <f t="shared" si="1"/>
        <v>46156569.820861578</v>
      </c>
      <c r="L11" s="1">
        <f t="shared" si="1"/>
        <v>47633580.055129141</v>
      </c>
      <c r="M11" s="1">
        <f t="shared" si="1"/>
        <v>49157854.616893269</v>
      </c>
      <c r="N11" s="1">
        <f t="shared" si="1"/>
        <v>50730905.96463386</v>
      </c>
      <c r="O11" s="1">
        <f t="shared" si="1"/>
        <v>52354294.955502145</v>
      </c>
      <c r="P11" s="1">
        <f t="shared" si="1"/>
        <v>54029632.394078203</v>
      </c>
      <c r="Q11" s="1">
        <f t="shared" si="1"/>
        <v>55758580.630688697</v>
      </c>
      <c r="R11" s="1">
        <f t="shared" si="1"/>
        <v>57542855.21087075</v>
      </c>
      <c r="S11" s="1">
        <f t="shared" si="1"/>
        <v>59384226.577618621</v>
      </c>
      <c r="T11" s="1">
        <f t="shared" si="1"/>
        <v>61284521.828102402</v>
      </c>
      <c r="U11" s="1">
        <f t="shared" si="1"/>
        <v>63245626.52660168</v>
      </c>
      <c r="V11" s="1">
        <f t="shared" si="1"/>
        <v>65269486.575452939</v>
      </c>
      <c r="W11" s="1">
        <f t="shared" si="1"/>
        <v>67358110.145867437</v>
      </c>
      <c r="X11" s="1">
        <f t="shared" si="1"/>
        <v>69513569.670535192</v>
      </c>
      <c r="Y11" s="1">
        <f t="shared" si="1"/>
        <v>71738003.899992302</v>
      </c>
      <c r="Z11" s="1">
        <f t="shared" si="1"/>
        <v>74033620.02479206</v>
      </c>
      <c r="AA11" s="1">
        <f t="shared" si="1"/>
        <v>76402695.865585431</v>
      </c>
      <c r="AB11" s="1">
        <f t="shared" si="1"/>
        <v>78847582.133284152</v>
      </c>
      <c r="AC11" s="1">
        <f t="shared" si="1"/>
        <v>81370704.761549234</v>
      </c>
      <c r="AD11" s="1">
        <f t="shared" si="1"/>
        <v>83974567.313918814</v>
      </c>
      <c r="AE11" s="1">
        <f t="shared" si="1"/>
        <v>86661753.467964217</v>
      </c>
      <c r="AF11" s="1">
        <f t="shared" si="1"/>
        <v>89434929.578939065</v>
      </c>
    </row>
    <row r="12" spans="1:32" x14ac:dyDescent="0.35">
      <c r="A12" t="s">
        <v>71</v>
      </c>
      <c r="C12" s="1">
        <f t="shared" ref="C12:R12" si="2">C6*C$9</f>
        <v>101878669.74405335</v>
      </c>
      <c r="D12" s="1">
        <f t="shared" si="2"/>
        <v>105138787.17586306</v>
      </c>
      <c r="E12" s="1">
        <f t="shared" si="2"/>
        <v>108503228.36549066</v>
      </c>
      <c r="F12" s="1">
        <f t="shared" si="2"/>
        <v>111975331.67318636</v>
      </c>
      <c r="G12" s="1">
        <f t="shared" si="2"/>
        <v>115558542.28672834</v>
      </c>
      <c r="H12" s="1">
        <f t="shared" si="2"/>
        <v>119256415.63990363</v>
      </c>
      <c r="I12" s="1">
        <f t="shared" si="2"/>
        <v>123072620.94038053</v>
      </c>
      <c r="J12" s="1">
        <f t="shared" si="2"/>
        <v>127010944.81047273</v>
      </c>
      <c r="K12" s="1">
        <f t="shared" si="2"/>
        <v>131075295.04440787</v>
      </c>
      <c r="L12" s="1">
        <f t="shared" si="2"/>
        <v>135269704.48582891</v>
      </c>
      <c r="M12" s="1">
        <f t="shared" si="2"/>
        <v>139598335.02937543</v>
      </c>
      <c r="N12" s="1">
        <f t="shared" si="2"/>
        <v>144065481.75031546</v>
      </c>
      <c r="O12" s="1">
        <f t="shared" si="2"/>
        <v>148675577.16632554</v>
      </c>
      <c r="P12" s="1">
        <f t="shared" si="2"/>
        <v>153433195.63564795</v>
      </c>
      <c r="Q12" s="1">
        <f t="shared" si="2"/>
        <v>158343057.89598864</v>
      </c>
      <c r="R12" s="1">
        <f t="shared" si="2"/>
        <v>163410035.74866033</v>
      </c>
      <c r="S12" s="1">
        <f t="shared" si="1"/>
        <v>168639156.89261746</v>
      </c>
      <c r="T12" s="1">
        <f t="shared" si="1"/>
        <v>174035609.91318122</v>
      </c>
      <c r="U12" s="1">
        <f t="shared" si="1"/>
        <v>179604749.43040299</v>
      </c>
      <c r="V12" s="1">
        <f t="shared" si="1"/>
        <v>185352101.41217589</v>
      </c>
      <c r="W12" s="1">
        <f t="shared" si="1"/>
        <v>191283368.65736556</v>
      </c>
      <c r="X12" s="1">
        <f t="shared" si="1"/>
        <v>197404436.45440122</v>
      </c>
      <c r="Y12" s="1">
        <f t="shared" si="1"/>
        <v>203721378.42094204</v>
      </c>
      <c r="Z12" s="1">
        <f t="shared" si="1"/>
        <v>210240462.5304122</v>
      </c>
      <c r="AA12" s="1">
        <f t="shared" si="1"/>
        <v>216968157.33138543</v>
      </c>
      <c r="AB12" s="1">
        <f t="shared" si="1"/>
        <v>223911138.36598971</v>
      </c>
      <c r="AC12" s="1">
        <f t="shared" si="1"/>
        <v>231076294.79370138</v>
      </c>
      <c r="AD12" s="1">
        <f t="shared" si="1"/>
        <v>238470736.22709987</v>
      </c>
      <c r="AE12" s="1">
        <f t="shared" si="1"/>
        <v>246101799.78636706</v>
      </c>
      <c r="AF12" s="1">
        <f t="shared" si="1"/>
        <v>253977057.37953076</v>
      </c>
    </row>
    <row r="13" spans="1:32" x14ac:dyDescent="0.35">
      <c r="A13" t="s">
        <v>74</v>
      </c>
      <c r="C13" s="1">
        <f>C7*C$9</f>
        <v>2445088.0738572804</v>
      </c>
      <c r="D13" s="1">
        <f t="shared" si="1"/>
        <v>5046661.7844414273</v>
      </c>
      <c r="E13" s="1">
        <f t="shared" si="1"/>
        <v>7812232.442315327</v>
      </c>
      <c r="F13" s="1">
        <f t="shared" si="1"/>
        <v>10749631.840625891</v>
      </c>
      <c r="G13" s="1">
        <f t="shared" si="1"/>
        <v>13857103.202203261</v>
      </c>
      <c r="H13" s="1">
        <f t="shared" si="1"/>
        <v>17142242.367214046</v>
      </c>
      <c r="I13" s="1">
        <f t="shared" si="1"/>
        <v>20612949.205075704</v>
      </c>
      <c r="J13" s="1">
        <f t="shared" si="1"/>
        <v>24277439.069116097</v>
      </c>
      <c r="K13" s="1">
        <f t="shared" si="1"/>
        <v>28144254.66663387</v>
      </c>
      <c r="L13" s="1">
        <f t="shared" si="1"/>
        <v>32229060.373753902</v>
      </c>
      <c r="M13" s="1">
        <f t="shared" si="1"/>
        <v>36541706.832245186</v>
      </c>
      <c r="N13" s="1">
        <f t="shared" si="1"/>
        <v>41092447.598935328</v>
      </c>
      <c r="O13" s="1">
        <f t="shared" si="1"/>
        <v>45891954.713928364</v>
      </c>
      <c r="P13" s="1">
        <f t="shared" si="1"/>
        <v>50951334.848598778</v>
      </c>
      <c r="Q13" s="1">
        <f t="shared" si="1"/>
        <v>56283915.355828926</v>
      </c>
      <c r="R13" s="1">
        <f t="shared" si="1"/>
        <v>61901888.465603322</v>
      </c>
      <c r="S13" s="1">
        <f t="shared" si="1"/>
        <v>67817943.488487884</v>
      </c>
      <c r="T13" s="1">
        <f t="shared" si="1"/>
        <v>74045286.036545187</v>
      </c>
      <c r="U13" s="1">
        <f t="shared" si="1"/>
        <v>80597657.962048933</v>
      </c>
      <c r="V13" s="1">
        <f t="shared" si="1"/>
        <v>87493559.317883536</v>
      </c>
      <c r="W13" s="1">
        <f t="shared" si="1"/>
        <v>94748266.358738378</v>
      </c>
      <c r="X13" s="1">
        <f t="shared" si="1"/>
        <v>102377681.24546641</v>
      </c>
      <c r="Y13" s="1">
        <f t="shared" si="1"/>
        <v>110398356.46019371</v>
      </c>
      <c r="Z13" s="1">
        <f t="shared" si="1"/>
        <v>118827520.14306819</v>
      </c>
      <c r="AA13" s="1">
        <f t="shared" si="1"/>
        <v>127683102.38463145</v>
      </c>
      <c r="AB13" s="1">
        <f t="shared" si="1"/>
        <v>136983762.50902817</v>
      </c>
      <c r="AC13" s="1">
        <f t="shared" si="1"/>
        <v>146748917.38454443</v>
      </c>
      <c r="AD13" s="1">
        <f t="shared" si="1"/>
        <v>156998770.79928455</v>
      </c>
      <c r="AE13" s="1">
        <f t="shared" si="1"/>
        <v>167754343.94116625</v>
      </c>
      <c r="AF13" s="1">
        <f t="shared" si="1"/>
        <v>179037507.02282986</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0.9964224943162282</v>
      </c>
      <c r="H15" s="38">
        <f>Assumptions!I44</f>
        <v>0.99285778717937379</v>
      </c>
      <c r="I15" s="38">
        <f>Assumptions!J44</f>
        <v>0.98930583280256246</v>
      </c>
      <c r="J15" s="38">
        <f>Assumptions!K44</f>
        <v>0.98576658556272267</v>
      </c>
      <c r="K15" s="38">
        <f>Assumptions!L44</f>
        <v>0.98223999999999967</v>
      </c>
      <c r="L15" s="38">
        <f>Assumptions!M44</f>
        <v>0.98081507172747628</v>
      </c>
      <c r="M15" s="38">
        <f>Assumptions!N44</f>
        <v>0.97939221058781434</v>
      </c>
      <c r="N15" s="38">
        <f>Assumptions!O44</f>
        <v>0.9779714135822396</v>
      </c>
      <c r="O15" s="38">
        <f>Assumptions!P44</f>
        <v>0.97655267771632803</v>
      </c>
      <c r="P15" s="38">
        <f>Assumptions!Q44</f>
        <v>0.97513599999999967</v>
      </c>
      <c r="Q15" s="38">
        <f>Assumptions!R44</f>
        <v>0.97418695449082726</v>
      </c>
      <c r="R15" s="38">
        <f>Assumptions!S44</f>
        <v>0.97323883263474376</v>
      </c>
      <c r="S15" s="38">
        <f>Assumptions!T44</f>
        <v>0.97229163353280912</v>
      </c>
      <c r="T15" s="38">
        <f>Assumptions!U44</f>
        <v>0.97134535628695806</v>
      </c>
      <c r="U15" s="38">
        <f>Assumptions!V44</f>
        <v>0.9703999999999996</v>
      </c>
      <c r="V15" s="38">
        <f>Assumptions!W44</f>
        <v>0.9703999999999996</v>
      </c>
      <c r="W15" s="38">
        <f>Assumptions!X44</f>
        <v>0.9703999999999996</v>
      </c>
      <c r="X15" s="38">
        <f>Assumptions!Y44</f>
        <v>0.9703999999999996</v>
      </c>
      <c r="Y15" s="38">
        <f>Assumptions!Z44</f>
        <v>0.9703999999999996</v>
      </c>
      <c r="Z15" s="38">
        <f>Assumptions!AA44</f>
        <v>0.9703999999999996</v>
      </c>
      <c r="AA15" s="38">
        <f>Assumptions!AB44</f>
        <v>0.9703999999999996</v>
      </c>
      <c r="AB15" s="38">
        <f>Assumptions!AC44</f>
        <v>0.9703999999999996</v>
      </c>
      <c r="AC15" s="38">
        <f>Assumptions!AD44</f>
        <v>0.9703999999999996</v>
      </c>
      <c r="AD15" s="38">
        <f>Assumptions!AE44</f>
        <v>0.9703999999999996</v>
      </c>
      <c r="AE15" s="38">
        <f>Assumptions!AF44</f>
        <v>0.9703999999999996</v>
      </c>
      <c r="AF15" s="38">
        <f>Assumptions!AG44</f>
        <v>0.9703999999999996</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-413411.34183914959</v>
      </c>
      <c r="H20" s="1">
        <f t="shared" si="4"/>
        <v>-851754.7007252425</v>
      </c>
      <c r="I20" s="1">
        <f t="shared" si="4"/>
        <v>-1316159.1857632846</v>
      </c>
      <c r="J20" s="1">
        <f t="shared" si="4"/>
        <v>-1807799.4155576229</v>
      </c>
      <c r="K20" s="1">
        <f t="shared" si="4"/>
        <v>-2327897.2399887294</v>
      </c>
      <c r="L20" s="1">
        <f t="shared" si="4"/>
        <v>-2595139.5780061036</v>
      </c>
      <c r="M20" s="1">
        <f t="shared" si="4"/>
        <v>-2876813.0905770957</v>
      </c>
      <c r="N20" s="1">
        <f t="shared" si="4"/>
        <v>-3173558.9145531058</v>
      </c>
      <c r="O20" s="1">
        <f t="shared" si="4"/>
        <v>-3486044.173529774</v>
      </c>
      <c r="P20" s="1">
        <f t="shared" si="4"/>
        <v>-3814962.976284802</v>
      </c>
      <c r="Q20" s="1">
        <f t="shared" si="4"/>
        <v>-4087316.559530735</v>
      </c>
      <c r="R20" s="1">
        <f t="shared" si="4"/>
        <v>-4373043.3158324063</v>
      </c>
      <c r="S20" s="1">
        <f t="shared" si="4"/>
        <v>-4672715.5598987341</v>
      </c>
      <c r="T20" s="1">
        <f t="shared" si="4"/>
        <v>-4986928.3954441547</v>
      </c>
      <c r="U20" s="1">
        <f t="shared" si="4"/>
        <v>-5316300.5831400156</v>
      </c>
      <c r="V20" s="1">
        <f t="shared" si="4"/>
        <v>-5486422.2018004954</v>
      </c>
      <c r="W20" s="1">
        <f t="shared" si="4"/>
        <v>-5661987.7122581005</v>
      </c>
      <c r="X20" s="1">
        <f t="shared" si="4"/>
        <v>-5843171.3190503418</v>
      </c>
      <c r="Y20" s="1">
        <f t="shared" si="4"/>
        <v>-6030152.8012599647</v>
      </c>
      <c r="Z20" s="1">
        <f t="shared" si="4"/>
        <v>-6223117.690900296</v>
      </c>
      <c r="AA20" s="1">
        <f t="shared" si="4"/>
        <v>-6422257.4570091069</v>
      </c>
      <c r="AB20" s="1">
        <f t="shared" si="4"/>
        <v>-6627769.6956333816</v>
      </c>
      <c r="AC20" s="1">
        <f t="shared" si="4"/>
        <v>-6839858.3258936405</v>
      </c>
      <c r="AD20" s="1">
        <f t="shared" si="4"/>
        <v>-7058733.7923222482</v>
      </c>
      <c r="AE20" s="1">
        <f t="shared" si="4"/>
        <v>-7284613.2736765742</v>
      </c>
      <c r="AF20" s="1">
        <f t="shared" si="4"/>
        <v>-7517720.8984342217</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140199091.39396513</v>
      </c>
      <c r="D25" s="40">
        <f>SUM(D11:D13,D18:D23)</f>
        <v>147208793.21079275</v>
      </c>
      <c r="E25" s="40">
        <f t="shared" ref="E25:AF25" si="7">SUM(E11:E13,E18:E23)</f>
        <v>154523552.07430989</v>
      </c>
      <c r="F25" s="40">
        <f t="shared" si="7"/>
        <v>162155713.70084423</v>
      </c>
      <c r="G25" s="40">
        <f t="shared" si="7"/>
        <v>169694768.34010947</v>
      </c>
      <c r="H25" s="40">
        <f t="shared" si="7"/>
        <v>177541598.59358603</v>
      </c>
      <c r="I25" s="40">
        <f t="shared" si="7"/>
        <v>185707936.4960767</v>
      </c>
      <c r="J25" s="40">
        <f t="shared" si="7"/>
        <v>194205942.81757924</v>
      </c>
      <c r="K25" s="40">
        <f t="shared" si="7"/>
        <v>203048222.29191458</v>
      </c>
      <c r="L25" s="40">
        <f t="shared" si="7"/>
        <v>212537205.33670586</v>
      </c>
      <c r="M25" s="40">
        <f t="shared" si="7"/>
        <v>222421083.3879368</v>
      </c>
      <c r="N25" s="40">
        <f t="shared" si="7"/>
        <v>232715276.39933154</v>
      </c>
      <c r="O25" s="40">
        <f t="shared" si="7"/>
        <v>243435782.66222629</v>
      </c>
      <c r="P25" s="40">
        <f t="shared" si="7"/>
        <v>254599199.90204012</v>
      </c>
      <c r="Q25" s="40">
        <f t="shared" si="7"/>
        <v>266298237.32297552</v>
      </c>
      <c r="R25" s="40">
        <f t="shared" si="7"/>
        <v>278481736.10930204</v>
      </c>
      <c r="S25" s="40">
        <f t="shared" si="7"/>
        <v>291168611.39882523</v>
      </c>
      <c r="T25" s="40">
        <f t="shared" si="7"/>
        <v>304378489.38238466</v>
      </c>
      <c r="U25" s="40">
        <f t="shared" si="7"/>
        <v>318131733.3359136</v>
      </c>
      <c r="V25" s="40">
        <f t="shared" si="7"/>
        <v>332628725.10371184</v>
      </c>
      <c r="W25" s="40">
        <f t="shared" si="7"/>
        <v>347727757.44971329</v>
      </c>
      <c r="X25" s="40">
        <f t="shared" si="7"/>
        <v>363452516.0513525</v>
      </c>
      <c r="Y25" s="40">
        <f t="shared" si="7"/>
        <v>379827585.97986805</v>
      </c>
      <c r="Z25" s="40">
        <f t="shared" si="7"/>
        <v>396878485.00737214</v>
      </c>
      <c r="AA25" s="40">
        <f t="shared" si="7"/>
        <v>414631698.12459326</v>
      </c>
      <c r="AB25" s="40">
        <f t="shared" si="7"/>
        <v>433114713.31266868</v>
      </c>
      <c r="AC25" s="40">
        <f t="shared" si="7"/>
        <v>452356058.61390144</v>
      </c>
      <c r="AD25" s="40">
        <f t="shared" si="7"/>
        <v>472385340.5479809</v>
      </c>
      <c r="AE25" s="40">
        <f t="shared" si="7"/>
        <v>493233283.92182094</v>
      </c>
      <c r="AF25" s="40">
        <f t="shared" si="7"/>
        <v>514931773.08286542</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112307345.18439767</v>
      </c>
      <c r="D5" s="59">
        <f>C5*('Price and Financial ratios'!F4+1)*(1+Assumptions!$C$13)</f>
        <v>136926014.02993485</v>
      </c>
      <c r="E5" s="59">
        <f>D5*('Price and Financial ratios'!G4+1)*(1+Assumptions!$C$13)</f>
        <v>166941292.10642752</v>
      </c>
      <c r="F5" s="59">
        <f>E5*('Price and Financial ratios'!H4+1)*(1+Assumptions!$C$13)</f>
        <v>195055486.03959545</v>
      </c>
      <c r="G5" s="59">
        <f>F5*('Price and Financial ratios'!I4+1)*(1+Assumptions!$C$13)</f>
        <v>212050111.87838081</v>
      </c>
      <c r="H5" s="59">
        <f>G5*('Price and Financial ratios'!J4+1)*(1+Assumptions!$C$13)</f>
        <v>226216544.23520625</v>
      </c>
      <c r="I5" s="59">
        <f>H5*('Price and Financial ratios'!K4+1)*(1+Assumptions!$C$13)</f>
        <v>241329393.47407332</v>
      </c>
      <c r="J5" s="59">
        <f>I5*('Price and Financial ratios'!L4+1)*(1+Assumptions!$C$13)</f>
        <v>257451886.8699975</v>
      </c>
      <c r="K5" s="59">
        <f>J5*('Price and Financial ratios'!M4+1)*(1+Assumptions!$C$13)</f>
        <v>274651475.72271502</v>
      </c>
      <c r="L5" s="59">
        <f>K5*('Price and Financial ratios'!N4+1)*(1+Assumptions!$C$13)</f>
        <v>293000117.55111307</v>
      </c>
      <c r="M5" s="59">
        <f>L5*('Price and Financial ratios'!O4+1)*(1+Assumptions!$C$13)</f>
        <v>309597676.40555489</v>
      </c>
      <c r="N5" s="59">
        <f>M5*('Price and Financial ratios'!P4+1)*(1+Assumptions!$C$13)</f>
        <v>327135436.11120832</v>
      </c>
      <c r="O5" s="59">
        <f>N5*('Price and Financial ratios'!Q4+1)*(1+Assumptions!$C$13)</f>
        <v>345666656.16535074</v>
      </c>
      <c r="P5" s="59">
        <f>O5*('Price and Financial ratios'!R4+1)*(1+Assumptions!$C$13)</f>
        <v>365247613.05258363</v>
      </c>
      <c r="Q5" s="59">
        <f>P5*('Price and Financial ratios'!S4+1)*(1+Assumptions!$C$13)</f>
        <v>385937771.14791995</v>
      </c>
      <c r="R5" s="59">
        <f>Q5*('Price and Financial ratios'!T4+1)*(1+Assumptions!$C$13)</f>
        <v>407799963.30100763</v>
      </c>
      <c r="S5" s="59">
        <f>R5*('Price and Financial ratios'!U4+1)*(1+Assumptions!$C$13)</f>
        <v>430900581.64989597</v>
      </c>
      <c r="T5" s="59">
        <f>S5*('Price and Financial ratios'!V4+1)*(1+Assumptions!$C$13)</f>
        <v>450931800.59724236</v>
      </c>
      <c r="U5" s="59">
        <f>T5*('Price and Financial ratios'!W4+1)*(1+Assumptions!$C$13)</f>
        <v>471894208.19831526</v>
      </c>
      <c r="V5" s="59">
        <f>U5*('Price and Financial ratios'!X4+1)*(1+Assumptions!$C$13)</f>
        <v>493831092.49819607</v>
      </c>
      <c r="W5" s="59">
        <f>V5*('Price and Financial ratios'!Y4+1)*(1+Assumptions!$C$13)</f>
        <v>516787753.86765289</v>
      </c>
      <c r="X5" s="59">
        <f>W5*('Price and Financial ratios'!Z4+1)*(1+Assumptions!$C$13)</f>
        <v>540811598.54986119</v>
      </c>
      <c r="Y5" s="59">
        <f>X5*('Price and Financial ratios'!AA4+1)*(1+Assumptions!$C$13)</f>
        <v>565952236.55581892</v>
      </c>
      <c r="Z5" s="59">
        <f>Y5*('Price and Financial ratios'!AB4+1)*(1+Assumptions!$C$13)</f>
        <v>592261584.11061287</v>
      </c>
      <c r="AA5" s="59">
        <f>Z5*('Price and Financial ratios'!AC4+1)*(1+Assumptions!$C$13)</f>
        <v>614980037.10782254</v>
      </c>
      <c r="AB5" s="59">
        <f>AA5*('Price and Financial ratios'!AD4+1)*(1+Assumptions!$C$13)</f>
        <v>638569943.05831039</v>
      </c>
      <c r="AC5" s="59">
        <f>AB5*('Price and Financial ratios'!AE4+1)*(1+Assumptions!$C$13)</f>
        <v>663064729.86537039</v>
      </c>
      <c r="AD5" s="59">
        <f>AC5*('Price and Financial ratios'!AF4+1)*(1+Assumptions!$C$13)</f>
        <v>688499107.68708062</v>
      </c>
      <c r="AE5" s="59">
        <f>AD5*('Price and Financial ratios'!AG4+1)*(1+Assumptions!$C$13)</f>
        <v>714909118.12207866</v>
      </c>
      <c r="AF5" s="59">
        <f>AE5*('Price and Financial ratios'!AH4+1)*(1+Assumptions!$C$13)</f>
        <v>742332185.28204441</v>
      </c>
    </row>
    <row r="6" spans="1:32" s="11" customFormat="1" x14ac:dyDescent="0.35">
      <c r="A6" s="11" t="s">
        <v>20</v>
      </c>
      <c r="C6" s="59">
        <f>C27</f>
        <v>44159251.969362989</v>
      </c>
      <c r="D6" s="59">
        <f t="shared" ref="D6:AF6" si="1">D27</f>
        <v>48896967.202123746</v>
      </c>
      <c r="E6" s="59">
        <f>E27</f>
        <v>53832776.332689941</v>
      </c>
      <c r="F6" s="59">
        <f t="shared" si="1"/>
        <v>58973524.673268624</v>
      </c>
      <c r="G6" s="59">
        <f t="shared" si="1"/>
        <v>64066295.215300947</v>
      </c>
      <c r="H6" s="59">
        <f t="shared" si="1"/>
        <v>69324044.080754817</v>
      </c>
      <c r="I6" s="59">
        <f t="shared" si="1"/>
        <v>74751316.695195496</v>
      </c>
      <c r="J6" s="59">
        <f t="shared" si="1"/>
        <v>80352780.79401508</v>
      </c>
      <c r="K6" s="59">
        <f t="shared" si="1"/>
        <v>86133229.81738697</v>
      </c>
      <c r="L6" s="59">
        <f t="shared" si="1"/>
        <v>92317051.064136475</v>
      </c>
      <c r="M6" s="59">
        <f t="shared" si="1"/>
        <v>98726629.520650744</v>
      </c>
      <c r="N6" s="59">
        <f t="shared" si="1"/>
        <v>105369037.68272631</v>
      </c>
      <c r="O6" s="59">
        <f t="shared" si="1"/>
        <v>112251560.39988053</v>
      </c>
      <c r="P6" s="59">
        <f t="shared" si="1"/>
        <v>119381701.28139699</v>
      </c>
      <c r="Q6" s="59">
        <f t="shared" si="1"/>
        <v>126834435.21879646</v>
      </c>
      <c r="R6" s="59">
        <f t="shared" si="1"/>
        <v>134560373.82497635</v>
      </c>
      <c r="S6" s="59">
        <f t="shared" si="1"/>
        <v>142568260.46836948</v>
      </c>
      <c r="T6" s="59">
        <f t="shared" si="1"/>
        <v>150867107.4896763</v>
      </c>
      <c r="U6" s="59">
        <f t="shared" si="1"/>
        <v>159466204.50205815</v>
      </c>
      <c r="V6" s="59">
        <f t="shared" si="1"/>
        <v>168556528.84738794</v>
      </c>
      <c r="W6" s="59">
        <f t="shared" si="1"/>
        <v>177990628.42595428</v>
      </c>
      <c r="X6" s="59">
        <f t="shared" si="1"/>
        <v>187780034.49891698</v>
      </c>
      <c r="Y6" s="59">
        <f t="shared" si="1"/>
        <v>197936650.18949276</v>
      </c>
      <c r="Z6" s="59">
        <f t="shared" si="1"/>
        <v>208472762.44803697</v>
      </c>
      <c r="AA6" s="59">
        <f t="shared" si="1"/>
        <v>219401054.40903515</v>
      </c>
      <c r="AB6" s="59">
        <f t="shared" si="1"/>
        <v>230734618.15320042</v>
      </c>
      <c r="AC6" s="59">
        <f t="shared" si="1"/>
        <v>242486967.88832921</v>
      </c>
      <c r="AD6" s="59">
        <f t="shared" si="1"/>
        <v>254672053.5630433</v>
      </c>
      <c r="AE6" s="59">
        <f t="shared" si="1"/>
        <v>267304274.92803636</v>
      </c>
      <c r="AF6" s="59">
        <f t="shared" si="1"/>
        <v>280398496.05995113</v>
      </c>
    </row>
    <row r="7" spans="1:32" x14ac:dyDescent="0.35">
      <c r="A7" t="s">
        <v>21</v>
      </c>
      <c r="C7" s="4">
        <f>Depreciation!C8+Depreciation!C9</f>
        <v>38320421.649911784</v>
      </c>
      <c r="D7" s="4">
        <f>Depreciation!D8+Depreciation!D9</f>
        <v>42070006.03492967</v>
      </c>
      <c r="E7" s="4">
        <f>Depreciation!E8+Depreciation!E9</f>
        <v>46020323.708819196</v>
      </c>
      <c r="F7" s="4">
        <f>Depreciation!F8+Depreciation!F9</f>
        <v>50180382.027657881</v>
      </c>
      <c r="G7" s="4">
        <f>Depreciation!G8+Depreciation!G9</f>
        <v>54549637.39522028</v>
      </c>
      <c r="H7" s="4">
        <f>Depreciation!H8+Depreciation!H9</f>
        <v>59136937.654407606</v>
      </c>
      <c r="I7" s="4">
        <f>Depreciation!I8+Depreciation!I9</f>
        <v>63951474.741459452</v>
      </c>
      <c r="J7" s="4">
        <f>Depreciation!J8+Depreciation!J9</f>
        <v>69002797.422664136</v>
      </c>
      <c r="K7" s="4">
        <f>Depreciation!K8+Depreciation!K9</f>
        <v>74300824.487495452</v>
      </c>
      <c r="L7" s="4">
        <f>Depreciation!L8+Depreciation!L9</f>
        <v>79862640.428883046</v>
      </c>
      <c r="M7" s="4">
        <f>Depreciation!M8+Depreciation!M9</f>
        <v>85699561.449138463</v>
      </c>
      <c r="N7" s="4">
        <f>Depreciation!N8+Depreciation!N9</f>
        <v>91823353.563569188</v>
      </c>
      <c r="O7" s="4">
        <f>Depreciation!O8+Depreciation!O9</f>
        <v>98246249.669430509</v>
      </c>
      <c r="P7" s="4">
        <f>Depreciation!P8+Depreciation!P9</f>
        <v>104980967.24267697</v>
      </c>
      <c r="Q7" s="4">
        <f>Depreciation!Q8+Depreciation!Q9</f>
        <v>112042495.98651762</v>
      </c>
      <c r="R7" s="4">
        <f>Depreciation!R8+Depreciation!R9</f>
        <v>119444743.67647406</v>
      </c>
      <c r="S7" s="4">
        <f>Depreciation!S8+Depreciation!S9</f>
        <v>127202170.0661065</v>
      </c>
      <c r="T7" s="4">
        <f>Depreciation!T8+Depreciation!T9</f>
        <v>135329807.8646476</v>
      </c>
      <c r="U7" s="4">
        <f>Depreciation!U8+Depreciation!U9</f>
        <v>143843284.48865062</v>
      </c>
      <c r="V7" s="4">
        <f>Depreciation!V8+Depreciation!V9</f>
        <v>152763045.89333647</v>
      </c>
      <c r="W7" s="4">
        <f>Depreciation!W8+Depreciation!W9</f>
        <v>162106376.50460583</v>
      </c>
      <c r="X7" s="4">
        <f>Depreciation!X8+Depreciation!X9</f>
        <v>171891250.91600162</v>
      </c>
      <c r="Y7" s="4">
        <f>Depreciation!Y8+Depreciation!Y9</f>
        <v>182136360.36018601</v>
      </c>
      <c r="Z7" s="4">
        <f>Depreciation!Z8+Depreciation!Z9</f>
        <v>192861140.16786027</v>
      </c>
      <c r="AA7" s="4">
        <f>Depreciation!AA8+Depreciation!AA9</f>
        <v>204085798.2502169</v>
      </c>
      <c r="AB7" s="4">
        <f>Depreciation!AB8+Depreciation!AB9</f>
        <v>215831344.64231232</v>
      </c>
      <c r="AC7" s="4">
        <f>Depreciation!AC8+Depreciation!AC9</f>
        <v>228119622.14609367</v>
      </c>
      <c r="AD7" s="4">
        <f>Depreciation!AD8+Depreciation!AD9</f>
        <v>240973338.11320335</v>
      </c>
      <c r="AE7" s="4">
        <f>Depreciation!AE8+Depreciation!AE9</f>
        <v>254416097.40913045</v>
      </c>
      <c r="AF7" s="4">
        <f>Depreciation!AF8+Depreciation!AF9</f>
        <v>268472436.60176891</v>
      </c>
    </row>
    <row r="8" spans="1:32" x14ac:dyDescent="0.35">
      <c r="A8" t="s">
        <v>6</v>
      </c>
      <c r="C8" s="4">
        <f ca="1">'Debt worksheet'!C8</f>
        <v>11971088.016852401</v>
      </c>
      <c r="D8" s="4">
        <f ca="1">'Debt worksheet'!D8</f>
        <v>14551688.228245346</v>
      </c>
      <c r="E8" s="4">
        <f ca="1">'Debt worksheet'!E8</f>
        <v>16581569.42877241</v>
      </c>
      <c r="F8" s="4">
        <f ca="1">'Debt worksheet'!F8</f>
        <v>18128653.637803648</v>
      </c>
      <c r="G8" s="4">
        <f ca="1">'Debt worksheet'!G8</f>
        <v>19573613.416061848</v>
      </c>
      <c r="H8" s="4">
        <f ca="1">'Debt worksheet'!H8</f>
        <v>21032468.250188146</v>
      </c>
      <c r="I8" s="4">
        <f ca="1">'Debt worksheet'!I8</f>
        <v>22489132.995119281</v>
      </c>
      <c r="J8" s="4">
        <f ca="1">'Debt worksheet'!J8</f>
        <v>23925256.249818828</v>
      </c>
      <c r="K8" s="4">
        <f ca="1">'Debt worksheet'!K8</f>
        <v>25320005.620051146</v>
      </c>
      <c r="L8" s="4">
        <f ca="1">'Debt worksheet'!L8</f>
        <v>26668290.652633853</v>
      </c>
      <c r="M8" s="4">
        <f ca="1">'Debt worksheet'!M8</f>
        <v>28054447.596103624</v>
      </c>
      <c r="N8" s="4">
        <f ca="1">'Debt worksheet'!N8</f>
        <v>29469075.98454234</v>
      </c>
      <c r="O8" s="4">
        <f ca="1">'Debt worksheet'!O8</f>
        <v>30901347.177128293</v>
      </c>
      <c r="P8" s="4">
        <f ca="1">'Debt worksheet'!P8</f>
        <v>32338872.810060274</v>
      </c>
      <c r="Q8" s="4">
        <f ca="1">'Debt worksheet'!Q8</f>
        <v>33772740.268233262</v>
      </c>
      <c r="R8" s="4">
        <f ca="1">'Debt worksheet'!R8</f>
        <v>35187787.979686774</v>
      </c>
      <c r="S8" s="4">
        <f ca="1">'Debt worksheet'!S8</f>
        <v>36566899.624137029</v>
      </c>
      <c r="T8" s="4">
        <f ca="1">'Debt worksheet'!T8</f>
        <v>38049619.164513655</v>
      </c>
      <c r="U8" s="4">
        <f ca="1">'Debt worksheet'!U8</f>
        <v>39636528.188499101</v>
      </c>
      <c r="V8" s="4">
        <f ca="1">'Debt worksheet'!V8</f>
        <v>41340853.719534434</v>
      </c>
      <c r="W8" s="4">
        <f ca="1">'Debt worksheet'!W8</f>
        <v>43164171.854730524</v>
      </c>
      <c r="X8" s="4">
        <f ca="1">'Debt worksheet'!X8</f>
        <v>45107673.756212234</v>
      </c>
      <c r="Y8" s="4">
        <f ca="1">'Debt worksheet'!Y8</f>
        <v>47172117.868068606</v>
      </c>
      <c r="Z8" s="4">
        <f ca="1">'Debt worksheet'!Z8</f>
        <v>49357778.326566301</v>
      </c>
      <c r="AA8" s="4">
        <f ca="1">'Debt worksheet'!AA8</f>
        <v>51838987.944527984</v>
      </c>
      <c r="AB8" s="4">
        <f ca="1">'Debt worksheet'!AB8</f>
        <v>54636027.501339421</v>
      </c>
      <c r="AC8" s="4">
        <f ca="1">'Debt worksheet'!AC8</f>
        <v>57770225.786144592</v>
      </c>
      <c r="AD8" s="4">
        <f ca="1">'Debt worksheet'!AD8</f>
        <v>61264006.021743648</v>
      </c>
      <c r="AE8" s="4">
        <f ca="1">'Debt worksheet'!AE8</f>
        <v>65140934.142192639</v>
      </c>
      <c r="AF8" s="4">
        <f ca="1">'Debt worksheet'!AF8</f>
        <v>69425768.992041111</v>
      </c>
    </row>
    <row r="9" spans="1:32" x14ac:dyDescent="0.35">
      <c r="A9" t="s">
        <v>22</v>
      </c>
      <c r="C9" s="4">
        <f ca="1">C5-C6-C7-C8</f>
        <v>17856583.548270494</v>
      </c>
      <c r="D9" s="4">
        <f t="shared" ref="D9:AF9" ca="1" si="2">D5-D6-D7-D8</f>
        <v>31407352.564636089</v>
      </c>
      <c r="E9" s="4">
        <f t="shared" ca="1" si="2"/>
        <v>50506622.636145972</v>
      </c>
      <c r="F9" s="4">
        <f t="shared" ca="1" si="2"/>
        <v>67772925.700865313</v>
      </c>
      <c r="G9" s="4">
        <f t="shared" ca="1" si="2"/>
        <v>73860565.85179773</v>
      </c>
      <c r="H9" s="4">
        <f t="shared" ca="1" si="2"/>
        <v>76723094.249855682</v>
      </c>
      <c r="I9" s="4">
        <f t="shared" ca="1" si="2"/>
        <v>80137469.042299092</v>
      </c>
      <c r="J9" s="4">
        <f t="shared" ca="1" si="2"/>
        <v>84171052.403499454</v>
      </c>
      <c r="K9" s="4">
        <f t="shared" ca="1" si="2"/>
        <v>88897415.797781438</v>
      </c>
      <c r="L9" s="4">
        <f t="shared" ca="1" si="2"/>
        <v>94152135.405459702</v>
      </c>
      <c r="M9" s="4">
        <f t="shared" ca="1" si="2"/>
        <v>97117037.83966206</v>
      </c>
      <c r="N9" s="4">
        <f t="shared" ca="1" si="2"/>
        <v>100473968.88037047</v>
      </c>
      <c r="O9" s="4">
        <f t="shared" ca="1" si="2"/>
        <v>104267498.91891143</v>
      </c>
      <c r="P9" s="4">
        <f t="shared" ca="1" si="2"/>
        <v>108546071.7184494</v>
      </c>
      <c r="Q9" s="4">
        <f t="shared" ca="1" si="2"/>
        <v>113288099.67437258</v>
      </c>
      <c r="R9" s="4">
        <f t="shared" ca="1" si="2"/>
        <v>118607057.81987047</v>
      </c>
      <c r="S9" s="4">
        <f t="shared" ca="1" si="2"/>
        <v>124563251.49128295</v>
      </c>
      <c r="T9" s="4">
        <f t="shared" ca="1" si="2"/>
        <v>126685266.07840481</v>
      </c>
      <c r="U9" s="4">
        <f t="shared" ca="1" si="2"/>
        <v>128948191.0191074</v>
      </c>
      <c r="V9" s="4">
        <f t="shared" ca="1" si="2"/>
        <v>131170664.03793719</v>
      </c>
      <c r="W9" s="4">
        <f t="shared" ca="1" si="2"/>
        <v>133526577.08236226</v>
      </c>
      <c r="X9" s="4">
        <f t="shared" ca="1" si="2"/>
        <v>136032639.37873036</v>
      </c>
      <c r="Y9" s="4">
        <f t="shared" ca="1" si="2"/>
        <v>138707108.13807154</v>
      </c>
      <c r="Z9" s="4">
        <f t="shared" ca="1" si="2"/>
        <v>141569903.16814932</v>
      </c>
      <c r="AA9" s="4">
        <f t="shared" ca="1" si="2"/>
        <v>139654196.50404251</v>
      </c>
      <c r="AB9" s="4">
        <f t="shared" ca="1" si="2"/>
        <v>137367952.76145828</v>
      </c>
      <c r="AC9" s="4">
        <f t="shared" ca="1" si="2"/>
        <v>134687914.04480293</v>
      </c>
      <c r="AD9" s="4">
        <f t="shared" ca="1" si="2"/>
        <v>131589709.98909032</v>
      </c>
      <c r="AE9" s="4">
        <f t="shared" ca="1" si="2"/>
        <v>128047811.64271924</v>
      </c>
      <c r="AF9" s="4">
        <f t="shared" ca="1" si="2"/>
        <v>124035483.62828326</v>
      </c>
    </row>
    <row r="12" spans="1:32" x14ac:dyDescent="0.35">
      <c r="A12" t="s">
        <v>79</v>
      </c>
      <c r="C12" s="2">
        <f>Assumptions!$C$25*Assumptions!D9*Assumptions!D13</f>
        <v>41132507.769408844</v>
      </c>
      <c r="D12" s="2">
        <f>Assumptions!$C$25*Assumptions!E9*Assumptions!E13</f>
        <v>42710302.057417482</v>
      </c>
      <c r="E12" s="2">
        <f>Assumptions!$C$25*Assumptions!F9*Assumptions!F13</f>
        <v>44348618.665855229</v>
      </c>
      <c r="F12" s="2">
        <f>Assumptions!$C$25*Assumptions!G9*Assumptions!G13</f>
        <v>46049779.15926186</v>
      </c>
      <c r="G12" s="2">
        <f>Assumptions!$C$25*Assumptions!H9*Assumptions!H13</f>
        <v>47816194.154643677</v>
      </c>
      <c r="H12" s="2">
        <f>Assumptions!$C$25*Assumptions!I9*Assumptions!I13</f>
        <v>49650366.737420604</v>
      </c>
      <c r="I12" s="2">
        <f>Assumptions!$C$25*Assumptions!J9*Assumptions!J13</f>
        <v>51554896.008405112</v>
      </c>
      <c r="J12" s="2">
        <f>Assumptions!$C$25*Assumptions!K9*Assumptions!K13</f>
        <v>53532480.766838871</v>
      </c>
      <c r="K12" s="2">
        <f>Assumptions!$C$25*Assumptions!L9*Assumptions!L13</f>
        <v>55585923.334706515</v>
      </c>
      <c r="L12" s="2">
        <f>Assumptions!$C$25*Assumptions!M9*Assumptions!M13</f>
        <v>57718133.527745433</v>
      </c>
      <c r="M12" s="2">
        <f>Assumptions!$C$25*Assumptions!N9*Assumptions!N13</f>
        <v>59932132.778778844</v>
      </c>
      <c r="N12" s="2">
        <f>Assumptions!$C$25*Assumptions!O9*Assumptions!O13</f>
        <v>62231058.419214979</v>
      </c>
      <c r="O12" s="2">
        <f>Assumptions!$C$25*Assumptions!P9*Assumptions!P13</f>
        <v>64618168.124779642</v>
      </c>
      <c r="P12" s="2">
        <f>Assumptions!$C$25*Assumptions!Q9*Assumptions!Q13</f>
        <v>67096844.531781606</v>
      </c>
      <c r="Q12" s="2">
        <f>Assumptions!$C$25*Assumptions!R9*Assumptions!R13</f>
        <v>69670600.030452743</v>
      </c>
      <c r="R12" s="2">
        <f>Assumptions!$C$25*Assumptions!S9*Assumptions!S13</f>
        <v>72343081.742154688</v>
      </c>
      <c r="S12" s="2">
        <f>Assumptions!$C$25*Assumptions!T9*Assumptions!T13</f>
        <v>75118076.687505528</v>
      </c>
      <c r="T12" s="2">
        <f>Assumptions!$C$25*Assumptions!U9*Assumptions!U13</f>
        <v>77999517.152749613</v>
      </c>
      <c r="U12" s="2">
        <f>Assumptions!$C$25*Assumptions!V9*Assumptions!V13</f>
        <v>80991486.261974901</v>
      </c>
      <c r="V12" s="2">
        <f>Assumptions!$C$25*Assumptions!W9*Assumptions!W13</f>
        <v>84098223.76307404</v>
      </c>
      <c r="W12" s="2">
        <f>Assumptions!$C$25*Assumptions!X9*Assumptions!X13</f>
        <v>87324132.035648063</v>
      </c>
      <c r="X12" s="2">
        <f>Assumptions!$C$25*Assumptions!Y9*Assumptions!Y13</f>
        <v>90673782.329366028</v>
      </c>
      <c r="Y12" s="2">
        <f>Assumptions!$C$25*Assumptions!Z9*Assumptions!Z13</f>
        <v>94151921.241621062</v>
      </c>
      <c r="Z12" s="2">
        <f>Assumptions!$C$25*Assumptions!AA9*Assumptions!AA13</f>
        <v>97763477.443661109</v>
      </c>
      <c r="AA12" s="2">
        <f>Assumptions!$C$25*Assumptions!AB9*Assumptions!AB13</f>
        <v>101513568.66472664</v>
      </c>
      <c r="AB12" s="2">
        <f>Assumptions!$C$25*Assumptions!AC9*Assumptions!AC13</f>
        <v>105407508.94409125</v>
      </c>
      <c r="AC12" s="2">
        <f>Assumptions!$C$25*Assumptions!AD9*Assumptions!AD13</f>
        <v>109450816.16128205</v>
      </c>
      <c r="AD12" s="2">
        <f>Assumptions!$C$25*Assumptions!AE9*Assumptions!AE13</f>
        <v>113649219.85515039</v>
      </c>
      <c r="AE12" s="2">
        <f>Assumptions!$C$25*Assumptions!AF9*Assumptions!AF13</f>
        <v>118008669.34287299</v>
      </c>
      <c r="AF12" s="2">
        <f>Assumptions!$C$25*Assumptions!AG9*Assumptions!AG13</f>
        <v>122535342.15038805</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3026744.1999541428</v>
      </c>
      <c r="D14" s="5">
        <f>Assumptions!E122*Assumptions!E9</f>
        <v>6186665.1447062679</v>
      </c>
      <c r="E14" s="5">
        <f>Assumptions!F122*Assumptions!F9</f>
        <v>9484157.6668347083</v>
      </c>
      <c r="F14" s="5">
        <f>Assumptions!G122*Assumptions!G9</f>
        <v>12923745.514006764</v>
      </c>
      <c r="G14" s="5">
        <f>Assumptions!H122*Assumptions!H9</f>
        <v>16498271.90963397</v>
      </c>
      <c r="H14" s="5">
        <f>Assumptions!I122*Assumptions!I9</f>
        <v>20211792.694432762</v>
      </c>
      <c r="I14" s="5">
        <f>Assumptions!J122*Assumptions!J9</f>
        <v>24068472.880848113</v>
      </c>
      <c r="J14" s="5">
        <f>Assumptions!K122*Assumptions!K9</f>
        <v>28072589.420666054</v>
      </c>
      <c r="K14" s="5">
        <f>Assumptions!L122*Assumptions!L9</f>
        <v>32228534.040224388</v>
      </c>
      <c r="L14" s="5">
        <f>Assumptions!M122*Assumptions!M9</f>
        <v>36548507.107902676</v>
      </c>
      <c r="M14" s="5">
        <f>Assumptions!N122*Assumptions!N9</f>
        <v>41037606.764355071</v>
      </c>
      <c r="N14" s="5">
        <f>Assumptions!O122*Assumptions!O9</f>
        <v>45701073.870289326</v>
      </c>
      <c r="O14" s="5">
        <f>Assumptions!P122*Assumptions!P9</f>
        <v>50544295.773339219</v>
      </c>
      <c r="P14" s="5">
        <f>Assumptions!Q122*Assumptions!Q9</f>
        <v>55572810.17067308</v>
      </c>
      <c r="Q14" s="5">
        <f>Assumptions!R122*Assumptions!R9</f>
        <v>60794220.153891526</v>
      </c>
      <c r="R14" s="5">
        <f>Assumptions!S122*Assumptions!S9</f>
        <v>66214497.499208242</v>
      </c>
      <c r="S14" s="5">
        <f>Assumptions!T122*Assumptions!T9</f>
        <v>71839781.660688907</v>
      </c>
      <c r="T14" s="5">
        <f>Assumptions!U122*Assumptions!U9</f>
        <v>77676384.221632227</v>
      </c>
      <c r="U14" s="5">
        <f>Assumptions!V122*Assumptions!V9</f>
        <v>83730793.45989719</v>
      </c>
      <c r="V14" s="5">
        <f>Assumptions!W122*Assumptions!W9</f>
        <v>90014001.334682554</v>
      </c>
      <c r="W14" s="5">
        <f>Assumptions!X122*Assumptions!X9</f>
        <v>96533144.651923865</v>
      </c>
      <c r="X14" s="5">
        <f>Assumptions!Y122*Assumptions!Y9</f>
        <v>103295563.4984778</v>
      </c>
      <c r="Y14" s="5">
        <f>Assumptions!Z122*Assumptions!Z9</f>
        <v>110308806.7322686</v>
      </c>
      <c r="Z14" s="5">
        <f>Assumptions!AA122*Assumptions!AA9</f>
        <v>117580637.61561294</v>
      </c>
      <c r="AA14" s="5">
        <f>Assumptions!AB122*Assumptions!AB9</f>
        <v>125119039.59536599</v>
      </c>
      <c r="AB14" s="5">
        <f>Assumptions!AC122*Assumptions!AC9</f>
        <v>132932222.23362224</v>
      </c>
      <c r="AC14" s="5">
        <f>Assumptions!AD122*Assumptions!AD9</f>
        <v>141028627.29279757</v>
      </c>
      <c r="AD14" s="5">
        <f>Assumptions!AE122*Assumptions!AE9</f>
        <v>149416934.97901559</v>
      </c>
      <c r="AE14" s="5">
        <f>Assumptions!AF122*Assumptions!AF9</f>
        <v>158106070.34781745</v>
      </c>
      <c r="AF14" s="5">
        <f>Assumptions!AG122*Assumptions!AG9</f>
        <v>167105209.87631676</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0.9961412903789223</v>
      </c>
      <c r="H16" s="37">
        <f>Assumptions!I43</f>
        <v>0.99229747039778438</v>
      </c>
      <c r="I16" s="37">
        <f>Assumptions!J43</f>
        <v>0.98846848260178932</v>
      </c>
      <c r="J16" s="37">
        <f>Assumptions!K43</f>
        <v>0.98465426975784176</v>
      </c>
      <c r="K16" s="37">
        <f>Assumptions!L43</f>
        <v>0.98085477485369188</v>
      </c>
      <c r="L16" s="37">
        <f>Assumptions!M43</f>
        <v>0.979318351026775</v>
      </c>
      <c r="M16" s="37">
        <f>Assumptions!N43</f>
        <v>0.97778433387435915</v>
      </c>
      <c r="N16" s="37">
        <f>Assumptions!O43</f>
        <v>0.97625271962659788</v>
      </c>
      <c r="O16" s="37">
        <f>Assumptions!P43</f>
        <v>0.97472350451954959</v>
      </c>
      <c r="P16" s="37">
        <f>Assumptions!Q43</f>
        <v>0.97319668479516874</v>
      </c>
      <c r="Q16" s="37">
        <f>Assumptions!R43</f>
        <v>0.97217345671869149</v>
      </c>
      <c r="R16" s="37">
        <f>Assumptions!S43</f>
        <v>0.97115130447376274</v>
      </c>
      <c r="S16" s="37">
        <f>Assumptions!T43</f>
        <v>0.97013022692924333</v>
      </c>
      <c r="T16" s="37">
        <f>Assumptions!U43</f>
        <v>0.96911022295518312</v>
      </c>
      <c r="U16" s="37">
        <f>Assumptions!V43</f>
        <v>0.96809129142282013</v>
      </c>
      <c r="V16" s="37">
        <f>Assumptions!W43</f>
        <v>0.96809129142282013</v>
      </c>
      <c r="W16" s="37">
        <f>Assumptions!X43</f>
        <v>0.96809129142282013</v>
      </c>
      <c r="X16" s="37">
        <f>Assumptions!Y43</f>
        <v>0.96809129142282013</v>
      </c>
      <c r="Y16" s="37">
        <f>Assumptions!Z43</f>
        <v>0.96809129142282013</v>
      </c>
      <c r="Z16" s="37">
        <f>Assumptions!AA43</f>
        <v>0.96809129142282013</v>
      </c>
      <c r="AA16" s="37">
        <f>Assumptions!AB43</f>
        <v>0.96809129142282013</v>
      </c>
      <c r="AB16" s="37">
        <f>Assumptions!AC43</f>
        <v>0.96809129142282013</v>
      </c>
      <c r="AC16" s="37">
        <f>Assumptions!AD43</f>
        <v>0.96809129142282013</v>
      </c>
      <c r="AD16" s="37">
        <f>Assumptions!AE43</f>
        <v>0.96809129142282013</v>
      </c>
      <c r="AE16" s="37">
        <f>Assumptions!AF43</f>
        <v>0.96809129142282013</v>
      </c>
      <c r="AF16" s="37">
        <f>Assumptions!AG43</f>
        <v>0.96809129142282013</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-184508.80842784047</v>
      </c>
      <c r="H19" s="44">
        <f t="shared" si="3"/>
        <v>-382433.41955584288</v>
      </c>
      <c r="I19" s="44">
        <f t="shared" si="3"/>
        <v>-594506.18028386682</v>
      </c>
      <c r="J19" s="44">
        <f t="shared" si="3"/>
        <v>-821495.00904143602</v>
      </c>
      <c r="K19" s="44">
        <f t="shared" si="3"/>
        <v>-1064205.017208375</v>
      </c>
      <c r="L19" s="44">
        <f t="shared" si="3"/>
        <v>-1193706.1770105585</v>
      </c>
      <c r="M19" s="44">
        <f t="shared" si="3"/>
        <v>-1331432.2520109266</v>
      </c>
      <c r="N19" s="44">
        <f t="shared" si="3"/>
        <v>-1477818.3922146633</v>
      </c>
      <c r="O19" s="44">
        <f t="shared" si="3"/>
        <v>-1633320.8345609754</v>
      </c>
      <c r="P19" s="44">
        <f t="shared" si="3"/>
        <v>-1798417.8732348979</v>
      </c>
      <c r="Q19" s="44">
        <f t="shared" si="3"/>
        <v>-1938691.9671821296</v>
      </c>
      <c r="R19" s="44">
        <f t="shared" si="3"/>
        <v>-2087003.5386091173</v>
      </c>
      <c r="S19" s="44">
        <f t="shared" si="3"/>
        <v>-2243759.9041674882</v>
      </c>
      <c r="T19" s="44">
        <f t="shared" si="3"/>
        <v>-2409387.6944518089</v>
      </c>
      <c r="U19" s="44">
        <f t="shared" si="3"/>
        <v>-2584333.7323660254</v>
      </c>
      <c r="V19" s="44">
        <f t="shared" si="3"/>
        <v>-2683465.7139143944</v>
      </c>
      <c r="W19" s="44">
        <f t="shared" si="3"/>
        <v>-2786400.2808806747</v>
      </c>
      <c r="X19" s="44">
        <f t="shared" si="3"/>
        <v>-2893283.2959383875</v>
      </c>
      <c r="Y19" s="44">
        <f t="shared" si="3"/>
        <v>-3004266.2168804705</v>
      </c>
      <c r="Z19" s="44">
        <f t="shared" si="3"/>
        <v>-3119506.3112414777</v>
      </c>
      <c r="AA19" s="44">
        <f t="shared" si="3"/>
        <v>-3239166.879152298</v>
      </c>
      <c r="AB19" s="44">
        <f t="shared" si="3"/>
        <v>-3363417.4847434908</v>
      </c>
      <c r="AC19" s="44">
        <f t="shared" si="3"/>
        <v>-3492434.1964248419</v>
      </c>
      <c r="AD19" s="44">
        <f t="shared" si="3"/>
        <v>-3626399.8363818377</v>
      </c>
      <c r="AE19" s="44">
        <f t="shared" si="3"/>
        <v>-3765504.2396425158</v>
      </c>
      <c r="AF19" s="44">
        <f t="shared" si="3"/>
        <v>-3909944.5230817497</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-63662.040548861027</v>
      </c>
      <c r="H24" s="44">
        <f t="shared" si="6"/>
        <v>-155681.9315427132</v>
      </c>
      <c r="I24" s="44">
        <f t="shared" si="6"/>
        <v>-277546.01377386227</v>
      </c>
      <c r="J24" s="44">
        <f t="shared" si="6"/>
        <v>-430794.38444840536</v>
      </c>
      <c r="K24" s="44">
        <f t="shared" si="6"/>
        <v>-617022.5403355509</v>
      </c>
      <c r="L24" s="44">
        <f t="shared" si="6"/>
        <v>-755883.39450106025</v>
      </c>
      <c r="M24" s="44">
        <f t="shared" si="6"/>
        <v>-911677.77047225088</v>
      </c>
      <c r="N24" s="44">
        <f t="shared" si="6"/>
        <v>-1085276.214563325</v>
      </c>
      <c r="O24" s="44">
        <f t="shared" si="6"/>
        <v>-1277582.6636773571</v>
      </c>
      <c r="P24" s="44">
        <f t="shared" si="6"/>
        <v>-1489535.5478228033</v>
      </c>
      <c r="Q24" s="44">
        <f t="shared" si="6"/>
        <v>-1691692.998365663</v>
      </c>
      <c r="R24" s="44">
        <f t="shared" si="6"/>
        <v>-1910201.8777774572</v>
      </c>
      <c r="S24" s="44">
        <f t="shared" si="6"/>
        <v>-2145837.975657478</v>
      </c>
      <c r="T24" s="44">
        <f t="shared" si="6"/>
        <v>-2399406.1902537495</v>
      </c>
      <c r="U24" s="44">
        <f t="shared" si="6"/>
        <v>-2671741.4874479026</v>
      </c>
      <c r="V24" s="44">
        <f t="shared" si="6"/>
        <v>-2872230.5364542603</v>
      </c>
      <c r="W24" s="44">
        <f t="shared" si="6"/>
        <v>-3080247.9807369858</v>
      </c>
      <c r="X24" s="44">
        <f t="shared" si="6"/>
        <v>-3296028.0329885036</v>
      </c>
      <c r="Y24" s="44">
        <f t="shared" si="6"/>
        <v>-3519811.5675164163</v>
      </c>
      <c r="Z24" s="44">
        <f t="shared" si="6"/>
        <v>-3751846.2999955863</v>
      </c>
      <c r="AA24" s="44">
        <f t="shared" si="6"/>
        <v>-3992386.971905157</v>
      </c>
      <c r="AB24" s="44">
        <f t="shared" si="6"/>
        <v>-4241695.5397695601</v>
      </c>
      <c r="AC24" s="44">
        <f t="shared" si="6"/>
        <v>-4500041.3693255782</v>
      </c>
      <c r="AD24" s="44">
        <f t="shared" si="6"/>
        <v>-4767701.4347408414</v>
      </c>
      <c r="AE24" s="44">
        <f t="shared" si="6"/>
        <v>-5044960.523011595</v>
      </c>
      <c r="AF24" s="44">
        <f t="shared" si="6"/>
        <v>-5332111.4436718822</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44159251.969362989</v>
      </c>
      <c r="D27" s="2">
        <f t="shared" ref="D27:AF27" si="8">D12+D13+D14+D19+D20+D22+D24+D25</f>
        <v>48896967.202123746</v>
      </c>
      <c r="E27" s="2">
        <f t="shared" si="8"/>
        <v>53832776.332689941</v>
      </c>
      <c r="F27" s="2">
        <f t="shared" si="8"/>
        <v>58973524.673268624</v>
      </c>
      <c r="G27" s="2">
        <f t="shared" si="8"/>
        <v>64066295.215300947</v>
      </c>
      <c r="H27" s="2">
        <f t="shared" si="8"/>
        <v>69324044.080754817</v>
      </c>
      <c r="I27" s="2">
        <f t="shared" si="8"/>
        <v>74751316.695195496</v>
      </c>
      <c r="J27" s="2">
        <f t="shared" si="8"/>
        <v>80352780.79401508</v>
      </c>
      <c r="K27" s="2">
        <f t="shared" si="8"/>
        <v>86133229.81738697</v>
      </c>
      <c r="L27" s="2">
        <f t="shared" si="8"/>
        <v>92317051.064136475</v>
      </c>
      <c r="M27" s="2">
        <f t="shared" si="8"/>
        <v>98726629.520650744</v>
      </c>
      <c r="N27" s="2">
        <f t="shared" si="8"/>
        <v>105369037.68272631</v>
      </c>
      <c r="O27" s="2">
        <f t="shared" si="8"/>
        <v>112251560.39988053</v>
      </c>
      <c r="P27" s="2">
        <f t="shared" si="8"/>
        <v>119381701.28139699</v>
      </c>
      <c r="Q27" s="2">
        <f t="shared" si="8"/>
        <v>126834435.21879646</v>
      </c>
      <c r="R27" s="2">
        <f t="shared" si="8"/>
        <v>134560373.82497635</v>
      </c>
      <c r="S27" s="2">
        <f t="shared" si="8"/>
        <v>142568260.46836948</v>
      </c>
      <c r="T27" s="2">
        <f t="shared" si="8"/>
        <v>150867107.4896763</v>
      </c>
      <c r="U27" s="2">
        <f t="shared" si="8"/>
        <v>159466204.50205815</v>
      </c>
      <c r="V27" s="2">
        <f t="shared" si="8"/>
        <v>168556528.84738794</v>
      </c>
      <c r="W27" s="2">
        <f t="shared" si="8"/>
        <v>177990628.42595428</v>
      </c>
      <c r="X27" s="2">
        <f t="shared" si="8"/>
        <v>187780034.49891698</v>
      </c>
      <c r="Y27" s="2">
        <f t="shared" si="8"/>
        <v>197936650.18949276</v>
      </c>
      <c r="Z27" s="2">
        <f t="shared" si="8"/>
        <v>208472762.44803697</v>
      </c>
      <c r="AA27" s="2">
        <f t="shared" si="8"/>
        <v>219401054.40903515</v>
      </c>
      <c r="AB27" s="2">
        <f t="shared" si="8"/>
        <v>230734618.15320042</v>
      </c>
      <c r="AC27" s="2">
        <f t="shared" si="8"/>
        <v>242486967.88832921</v>
      </c>
      <c r="AD27" s="2">
        <f t="shared" si="8"/>
        <v>254672053.5630433</v>
      </c>
      <c r="AE27" s="2">
        <f t="shared" si="8"/>
        <v>267304274.92803636</v>
      </c>
      <c r="AF27" s="2">
        <f t="shared" si="8"/>
        <v>280398496.05995113</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3W2DU3RAJ5R2-1900874439-782</_dlc_DocId>
    <_dlc_DocIdUrl xmlns="f54e2983-00ce-40fc-8108-18f351fc47bf">
      <Url>https://dia.cohesion.net.nz/Sites/LGV/TWRP/CAE/_layouts/15/DocIdRedir.aspx?ID=3W2DU3RAJ5R2-1900874439-782</Url>
      <Description>3W2DU3RAJ5R2-1900874439-782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CBCC2D2A-763C-48F8-A3E5-6B0A81386C39}">
  <ds:schemaRefs>
    <ds:schemaRef ds:uri="http://purl.org/dc/terms/"/>
    <ds:schemaRef ds:uri="08a23fc5-e034-477c-ac83-93bc1440f322"/>
    <ds:schemaRef ds:uri="http://schemas.microsoft.com/sharepoint/v3"/>
    <ds:schemaRef ds:uri="http://schemas.microsoft.com/office/2006/documentManagement/types"/>
    <ds:schemaRef ds:uri="65b6d800-2dda-48d6-88d8-9e2b35e6f7ea"/>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FDBD7919-C8BE-4AD6-B4F8-89A37604D1E4}"/>
</file>

<file path=customXml/itemProps4.xml><?xml version="1.0" encoding="utf-8"?>
<ds:datastoreItem xmlns:ds="http://schemas.openxmlformats.org/officeDocument/2006/customXml" ds:itemID="{6818E732-8296-47F1-B1F1-35FE51318B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2021-07-01T15:06:19Z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c2ebfc87-0bcc-4627-8206-b46b42e5e8f1</vt:lpwstr>
  </property>
</Properties>
</file>