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204" documentId="8_{718A14FD-FC34-4EA1-9E63-E7E59E69FA87}" xr6:coauthVersionLast="47" xr6:coauthVersionMax="47" xr10:uidLastSave="{22730D36-97F1-4C5C-8A1B-458C1D04ED43}"/>
  <bookViews>
    <workbookView xWindow="1290" yWindow="-110" windowWidth="37220" windowHeight="21820" tabRatio="857"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c r="B8" i="21"/>
  <c r="B21" i="21"/>
  <c r="B34" i="21"/>
  <c r="C83" i="2"/>
  <c r="C90" i="2"/>
  <c r="C87" i="2"/>
  <c r="C82" i="2"/>
  <c r="C95" i="2"/>
  <c r="C58" i="2"/>
  <c r="C106" i="2"/>
  <c r="C63" i="2"/>
  <c r="C107" i="2"/>
  <c r="D11" i="2"/>
  <c r="C40" i="2"/>
  <c r="C41" i="2"/>
  <c r="C39" i="2"/>
  <c r="H44" i="2"/>
  <c r="I44" i="2"/>
  <c r="C36" i="2"/>
  <c r="C37" i="2"/>
  <c r="C35" i="2"/>
  <c r="F9" i="2"/>
  <c r="E9" i="2"/>
  <c r="D9" i="2"/>
  <c r="G11" i="2"/>
  <c r="V9" i="2"/>
  <c r="E11" i="2"/>
  <c r="F11" i="2"/>
  <c r="H11" i="2"/>
  <c r="I11" i="2"/>
  <c r="H9" i="9"/>
  <c r="C67" i="2"/>
  <c r="C72" i="2"/>
  <c r="C5" i="3"/>
  <c r="B7" i="21"/>
  <c r="D3" i="3"/>
  <c r="E3" i="3"/>
  <c r="F3" i="3"/>
  <c r="G3" i="3"/>
  <c r="H3" i="3"/>
  <c r="I3" i="3"/>
  <c r="J3" i="3"/>
  <c r="K3" i="3"/>
  <c r="L3" i="3"/>
  <c r="M3" i="3"/>
  <c r="N3" i="3"/>
  <c r="O3" i="3"/>
  <c r="P3" i="3"/>
  <c r="Q3" i="3"/>
  <c r="R3" i="3"/>
  <c r="S3" i="3"/>
  <c r="T3" i="3"/>
  <c r="U3" i="3"/>
  <c r="V3" i="3"/>
  <c r="W3" i="3"/>
  <c r="X3" i="3"/>
  <c r="Y3" i="3"/>
  <c r="Z3" i="3"/>
  <c r="AA3" i="3"/>
  <c r="AB3" i="3"/>
  <c r="AC3" i="3"/>
  <c r="AD3" i="3"/>
  <c r="AE3" i="3"/>
  <c r="AF3" i="3"/>
  <c r="D3" i="6"/>
  <c r="E3" i="6"/>
  <c r="F3" i="6"/>
  <c r="G3" i="6"/>
  <c r="H3" i="6"/>
  <c r="I3" i="6"/>
  <c r="J3" i="6"/>
  <c r="K3" i="6"/>
  <c r="L3" i="6"/>
  <c r="M3" i="6"/>
  <c r="N3" i="6"/>
  <c r="O3" i="6"/>
  <c r="P3" i="6"/>
  <c r="Q3" i="6"/>
  <c r="R3" i="6"/>
  <c r="S3" i="6"/>
  <c r="T3" i="6"/>
  <c r="U3" i="6"/>
  <c r="V3" i="6"/>
  <c r="W3" i="6"/>
  <c r="X3" i="6"/>
  <c r="Y3" i="6"/>
  <c r="Z3" i="6"/>
  <c r="AA3" i="6"/>
  <c r="AB3" i="6"/>
  <c r="AC3" i="6"/>
  <c r="AD3" i="6"/>
  <c r="AE3" i="6"/>
  <c r="AF3" i="6"/>
  <c r="D3" i="4"/>
  <c r="E3" i="4"/>
  <c r="F3" i="4"/>
  <c r="G3" i="4"/>
  <c r="H3" i="4"/>
  <c r="I3" i="4"/>
  <c r="J3" i="4"/>
  <c r="K3" i="4"/>
  <c r="L3" i="4"/>
  <c r="M3" i="4"/>
  <c r="N3" i="4"/>
  <c r="O3" i="4"/>
  <c r="P3" i="4"/>
  <c r="Q3" i="4"/>
  <c r="R3" i="4"/>
  <c r="S3" i="4"/>
  <c r="T3" i="4"/>
  <c r="U3" i="4"/>
  <c r="V3" i="4"/>
  <c r="W3" i="4"/>
  <c r="X3" i="4"/>
  <c r="Y3" i="4"/>
  <c r="Z3" i="4"/>
  <c r="AA3" i="4"/>
  <c r="AB3" i="4"/>
  <c r="AC3" i="4"/>
  <c r="AD3" i="4"/>
  <c r="AE3" i="4"/>
  <c r="AF3" i="4"/>
  <c r="C3" i="5"/>
  <c r="D3" i="5"/>
  <c r="E3" i="5"/>
  <c r="F3" i="5"/>
  <c r="G3" i="5"/>
  <c r="H3" i="5"/>
  <c r="I3" i="5"/>
  <c r="J3" i="5"/>
  <c r="K3" i="5"/>
  <c r="L3" i="5"/>
  <c r="M3" i="5"/>
  <c r="N3" i="5"/>
  <c r="O3" i="5"/>
  <c r="P3" i="5"/>
  <c r="Q3" i="5"/>
  <c r="R3" i="5"/>
  <c r="S3" i="5"/>
  <c r="T3" i="5"/>
  <c r="U3" i="5"/>
  <c r="V3" i="5"/>
  <c r="W3" i="5"/>
  <c r="X3" i="5"/>
  <c r="Y3" i="5"/>
  <c r="Z3" i="5"/>
  <c r="AA3" i="5"/>
  <c r="AB3" i="5"/>
  <c r="AC3" i="5"/>
  <c r="AD3" i="5"/>
  <c r="AE3" i="5"/>
  <c r="D15" i="9"/>
  <c r="E15" i="9"/>
  <c r="F15" i="9"/>
  <c r="C15" i="9"/>
  <c r="D3" i="8"/>
  <c r="E3" i="8"/>
  <c r="F3" i="8"/>
  <c r="G3" i="8"/>
  <c r="H3" i="8"/>
  <c r="I3" i="8"/>
  <c r="J3" i="8"/>
  <c r="K3" i="8"/>
  <c r="L3" i="8"/>
  <c r="M3" i="8"/>
  <c r="N3" i="8"/>
  <c r="O3" i="8"/>
  <c r="P3" i="8"/>
  <c r="Q3" i="8"/>
  <c r="R3" i="8"/>
  <c r="S3" i="8"/>
  <c r="T3" i="8"/>
  <c r="U3" i="8"/>
  <c r="V3" i="8"/>
  <c r="W3" i="8"/>
  <c r="X3" i="8"/>
  <c r="Y3" i="8"/>
  <c r="Z3" i="8"/>
  <c r="AA3" i="8"/>
  <c r="AB3" i="8"/>
  <c r="AC3" i="8"/>
  <c r="AD3" i="8"/>
  <c r="AE3" i="8"/>
  <c r="AF3" i="8"/>
  <c r="F3" i="7"/>
  <c r="G3" i="7"/>
  <c r="H3" i="7"/>
  <c r="I3" i="7"/>
  <c r="J3" i="7"/>
  <c r="K3" i="7"/>
  <c r="L3" i="7"/>
  <c r="M3" i="7"/>
  <c r="N3" i="7"/>
  <c r="O3" i="7"/>
  <c r="P3" i="7"/>
  <c r="Q3" i="7"/>
  <c r="R3" i="7"/>
  <c r="S3" i="7"/>
  <c r="T3" i="7"/>
  <c r="U3" i="7"/>
  <c r="V3" i="7"/>
  <c r="W3" i="7"/>
  <c r="X3" i="7"/>
  <c r="Y3" i="7"/>
  <c r="Z3" i="7"/>
  <c r="AA3" i="7"/>
  <c r="AB3" i="7"/>
  <c r="AC3" i="7"/>
  <c r="AD3" i="7"/>
  <c r="AE3" i="7"/>
  <c r="AF3" i="7"/>
  <c r="AG3" i="7"/>
  <c r="AH3" i="7"/>
  <c r="D16" i="8"/>
  <c r="E16" i="8"/>
  <c r="F16" i="8"/>
  <c r="C16" i="8"/>
  <c r="D3" i="9"/>
  <c r="E3" i="9"/>
  <c r="F3" i="9"/>
  <c r="G3" i="9"/>
  <c r="H3" i="9"/>
  <c r="I3" i="9"/>
  <c r="J3" i="9"/>
  <c r="K3" i="9"/>
  <c r="L3" i="9"/>
  <c r="M3" i="9"/>
  <c r="N3" i="9"/>
  <c r="O3" i="9"/>
  <c r="P3" i="9"/>
  <c r="Q3" i="9"/>
  <c r="R3" i="9"/>
  <c r="S3" i="9"/>
  <c r="T3" i="9"/>
  <c r="U3" i="9"/>
  <c r="V3" i="9"/>
  <c r="W3" i="9"/>
  <c r="X3" i="9"/>
  <c r="Y3" i="9"/>
  <c r="Z3" i="9"/>
  <c r="AA3" i="9"/>
  <c r="AB3" i="9"/>
  <c r="AC3" i="9"/>
  <c r="AD3" i="9"/>
  <c r="AE3" i="9"/>
  <c r="AF3" i="9"/>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E9" i="9"/>
  <c r="F9" i="9"/>
  <c r="G9" i="9"/>
  <c r="J11" i="2"/>
  <c r="I9" i="9"/>
  <c r="K11" i="2"/>
  <c r="J9" i="9"/>
  <c r="C9" i="9"/>
  <c r="E4" i="2"/>
  <c r="F4" i="2"/>
  <c r="G4" i="2"/>
  <c r="H4" i="2"/>
  <c r="I4" i="2"/>
  <c r="J4" i="2"/>
  <c r="K4" i="2"/>
  <c r="L4" i="2"/>
  <c r="M4" i="2"/>
  <c r="N4" i="2"/>
  <c r="O4" i="2"/>
  <c r="P4" i="2"/>
  <c r="Q4" i="2"/>
  <c r="R4" i="2"/>
  <c r="S4" i="2"/>
  <c r="T4" i="2"/>
  <c r="U4" i="2"/>
  <c r="V4" i="2"/>
  <c r="W4" i="2"/>
  <c r="X4" i="2"/>
  <c r="Y4" i="2"/>
  <c r="Z4" i="2"/>
  <c r="AA4" i="2"/>
  <c r="AB4" i="2"/>
  <c r="AC4" i="2"/>
  <c r="AD4" i="2"/>
  <c r="AE4" i="2"/>
  <c r="AF4" i="2"/>
  <c r="AG4" i="2"/>
  <c r="E45" i="2"/>
  <c r="D17" i="8"/>
  <c r="D22" i="8"/>
  <c r="C17" i="8"/>
  <c r="AG9" i="2"/>
  <c r="AF9" i="2"/>
  <c r="AE9" i="2"/>
  <c r="AD9" i="2"/>
  <c r="AC9" i="2"/>
  <c r="AB9" i="2"/>
  <c r="AA9" i="2"/>
  <c r="Z9" i="2"/>
  <c r="Y9" i="2"/>
  <c r="X9" i="2"/>
  <c r="W9" i="2"/>
  <c r="U9" i="2"/>
  <c r="T9" i="2"/>
  <c r="S9" i="2"/>
  <c r="R9" i="2"/>
  <c r="Q9" i="2"/>
  <c r="P9" i="2"/>
  <c r="O9" i="2"/>
  <c r="N9" i="2"/>
  <c r="M9" i="2"/>
  <c r="L9" i="2"/>
  <c r="K12" i="8"/>
  <c r="K9" i="2"/>
  <c r="J9" i="2"/>
  <c r="I9" i="2"/>
  <c r="H9" i="2"/>
  <c r="G9" i="2"/>
  <c r="B11" i="5"/>
  <c r="C22" i="6"/>
  <c r="C129" i="2"/>
  <c r="C135" i="2"/>
  <c r="C22" i="8"/>
  <c r="H43" i="2"/>
  <c r="I43" i="2"/>
  <c r="J44" i="2"/>
  <c r="G15" i="9"/>
  <c r="G16" i="8"/>
  <c r="D13" i="2"/>
  <c r="E13" i="2"/>
  <c r="D12" i="8"/>
  <c r="F13" i="2"/>
  <c r="E12" i="8"/>
  <c r="C5" i="8"/>
  <c r="G13" i="2"/>
  <c r="H15" i="9"/>
  <c r="AF13" i="2"/>
  <c r="J43" i="2"/>
  <c r="H16" i="8"/>
  <c r="AE13" i="2"/>
  <c r="AD12" i="8"/>
  <c r="V13" i="2"/>
  <c r="U12" i="8"/>
  <c r="U13" i="2"/>
  <c r="J13" i="2"/>
  <c r="C12" i="8"/>
  <c r="C20" i="8"/>
  <c r="O13" i="2"/>
  <c r="AB13" i="2"/>
  <c r="AA12" i="8"/>
  <c r="S13" i="2"/>
  <c r="Z13" i="2"/>
  <c r="AG13" i="2"/>
  <c r="AC13" i="2"/>
  <c r="AB12" i="8"/>
  <c r="AA13" i="2"/>
  <c r="Z12" i="8"/>
  <c r="Q13" i="2"/>
  <c r="P13" i="2"/>
  <c r="O12" i="8"/>
  <c r="W13" i="2"/>
  <c r="V12" i="8"/>
  <c r="T13" i="2"/>
  <c r="Y13" i="2"/>
  <c r="X12" i="8"/>
  <c r="N13" i="2"/>
  <c r="M12" i="8"/>
  <c r="L13" i="2"/>
  <c r="R13" i="2"/>
  <c r="I13" i="2"/>
  <c r="H12" i="8"/>
  <c r="X13" i="2"/>
  <c r="AD13" i="2"/>
  <c r="AC12" i="8"/>
  <c r="K13" i="2"/>
  <c r="M13" i="2"/>
  <c r="H13" i="2"/>
  <c r="G12" i="8"/>
  <c r="G19" i="8"/>
  <c r="K43" i="2"/>
  <c r="J16" i="8"/>
  <c r="I16" i="8"/>
  <c r="I19" i="8"/>
  <c r="AE12" i="8"/>
  <c r="S12" i="8"/>
  <c r="C19" i="8"/>
  <c r="W12" i="8"/>
  <c r="E6" i="7"/>
  <c r="D5" i="8"/>
  <c r="E5" i="8"/>
  <c r="F5" i="8"/>
  <c r="G5" i="8"/>
  <c r="H5" i="8"/>
  <c r="I5" i="8"/>
  <c r="J5" i="8"/>
  <c r="K5" i="8"/>
  <c r="L5" i="8"/>
  <c r="I12" i="8"/>
  <c r="Y12" i="8"/>
  <c r="Q12" i="8"/>
  <c r="J12" i="8"/>
  <c r="F12" i="8"/>
  <c r="T12" i="8"/>
  <c r="L43" i="2"/>
  <c r="K16" i="8"/>
  <c r="E19" i="8"/>
  <c r="C17" i="2"/>
  <c r="C18" i="2"/>
  <c r="C7" i="6"/>
  <c r="C66" i="2"/>
  <c r="C68" i="2"/>
  <c r="C71" i="2"/>
  <c r="C73" i="2"/>
  <c r="C75" i="2"/>
  <c r="D111" i="2"/>
  <c r="F19" i="8"/>
  <c r="K19" i="8"/>
  <c r="I111" i="2"/>
  <c r="J111" i="2"/>
  <c r="I5" i="9"/>
  <c r="I11" i="9"/>
  <c r="G111" i="2"/>
  <c r="AC111" i="2"/>
  <c r="AB5" i="9"/>
  <c r="AB11" i="9"/>
  <c r="Y111" i="2"/>
  <c r="W111" i="2"/>
  <c r="V5" i="9"/>
  <c r="V11" i="9"/>
  <c r="P111" i="2"/>
  <c r="H111" i="2"/>
  <c r="E111" i="2"/>
  <c r="D5" i="9"/>
  <c r="D11" i="9"/>
  <c r="D8" i="6"/>
  <c r="AD111" i="2"/>
  <c r="AC5" i="9"/>
  <c r="AC11" i="9"/>
  <c r="L111" i="2"/>
  <c r="U111" i="2"/>
  <c r="AB8" i="6"/>
  <c r="I8" i="6"/>
  <c r="V8" i="6"/>
  <c r="X5" i="9"/>
  <c r="X11" i="9"/>
  <c r="X8" i="6"/>
  <c r="G5" i="9"/>
  <c r="G11" i="9"/>
  <c r="G8" i="6"/>
  <c r="B20" i="21"/>
  <c r="M5" i="8"/>
  <c r="O8" i="6"/>
  <c r="O5" i="9"/>
  <c r="O11" i="9"/>
  <c r="B10" i="21"/>
  <c r="B12" i="21"/>
  <c r="B16" i="21"/>
  <c r="E135" i="2"/>
  <c r="AA135" i="2"/>
  <c r="AB135" i="2"/>
  <c r="V135" i="2"/>
  <c r="F135" i="2"/>
  <c r="J135" i="2"/>
  <c r="Z135" i="2"/>
  <c r="G135" i="2"/>
  <c r="X135" i="2"/>
  <c r="I135" i="2"/>
  <c r="O135" i="2"/>
  <c r="S135" i="2"/>
  <c r="H135" i="2"/>
  <c r="AC135" i="2"/>
  <c r="Q135" i="2"/>
  <c r="AG135" i="2"/>
  <c r="B36" i="21"/>
  <c r="M135" i="2"/>
  <c r="B23" i="21"/>
  <c r="D135" i="2"/>
  <c r="AE135" i="2"/>
  <c r="T135" i="2"/>
  <c r="R135" i="2"/>
  <c r="K135" i="2"/>
  <c r="N135" i="2"/>
  <c r="L135" i="2"/>
  <c r="W135" i="2"/>
  <c r="U135" i="2"/>
  <c r="AF135" i="2"/>
  <c r="Y135" i="2"/>
  <c r="P135" i="2"/>
  <c r="AD135" i="2"/>
  <c r="P12" i="8"/>
  <c r="K8" i="6"/>
  <c r="K5" i="9"/>
  <c r="K11" i="9"/>
  <c r="H19" i="8"/>
  <c r="T8" i="6"/>
  <c r="T5" i="9"/>
  <c r="T11" i="9"/>
  <c r="F8" i="6"/>
  <c r="F5" i="9"/>
  <c r="F11" i="9"/>
  <c r="D20" i="8"/>
  <c r="D19" i="8"/>
  <c r="L12" i="8"/>
  <c r="AC8" i="6"/>
  <c r="H8" i="6"/>
  <c r="H5" i="9"/>
  <c r="H11" i="9"/>
  <c r="C5" i="9"/>
  <c r="C11" i="9"/>
  <c r="C8" i="6"/>
  <c r="J19" i="8"/>
  <c r="AA111" i="2"/>
  <c r="F111" i="2"/>
  <c r="Z111" i="2"/>
  <c r="AG111" i="2"/>
  <c r="R12" i="8"/>
  <c r="K111" i="2"/>
  <c r="AB111" i="2"/>
  <c r="B6" i="5"/>
  <c r="I15" i="9"/>
  <c r="K44" i="2"/>
  <c r="D16" i="9"/>
  <c r="D18" i="9"/>
  <c r="V111" i="2"/>
  <c r="R111" i="2"/>
  <c r="O111" i="2"/>
  <c r="S111" i="2"/>
  <c r="X111" i="2"/>
  <c r="N111" i="2"/>
  <c r="C6" i="6"/>
  <c r="F45" i="2"/>
  <c r="Q111" i="2"/>
  <c r="AF111" i="2"/>
  <c r="M111" i="2"/>
  <c r="M43" i="2"/>
  <c r="N12" i="8"/>
  <c r="AF12" i="8"/>
  <c r="T111" i="2"/>
  <c r="AE111" i="2"/>
  <c r="C89" i="2"/>
  <c r="C94" i="2"/>
  <c r="R5" i="9"/>
  <c r="R11" i="9"/>
  <c r="R8" i="6"/>
  <c r="B25" i="21"/>
  <c r="B29" i="21"/>
  <c r="P5" i="9"/>
  <c r="P11" i="9"/>
  <c r="P8" i="6"/>
  <c r="AD5" i="9"/>
  <c r="AD11" i="9"/>
  <c r="AD8" i="6"/>
  <c r="Q8" i="6"/>
  <c r="Q5" i="9"/>
  <c r="Q11" i="9"/>
  <c r="L8" i="6"/>
  <c r="L5" i="9"/>
  <c r="L11" i="9"/>
  <c r="N5" i="8"/>
  <c r="AA5" i="9"/>
  <c r="AA11" i="9"/>
  <c r="AA8" i="6"/>
  <c r="J8" i="6"/>
  <c r="J5" i="9"/>
  <c r="J11" i="9"/>
  <c r="S8" i="6"/>
  <c r="S5" i="9"/>
  <c r="S11" i="9"/>
  <c r="G45" i="2"/>
  <c r="E16" i="9"/>
  <c r="E17" i="8"/>
  <c r="U5" i="9"/>
  <c r="U11" i="9"/>
  <c r="U8" i="6"/>
  <c r="AE5" i="9"/>
  <c r="AE11" i="9"/>
  <c r="AE8" i="6"/>
  <c r="C18" i="9"/>
  <c r="W8" i="6"/>
  <c r="W5" i="9"/>
  <c r="W11" i="9"/>
  <c r="C96" i="2"/>
  <c r="C102" i="2"/>
  <c r="L44" i="2"/>
  <c r="J15" i="9"/>
  <c r="AF5" i="9"/>
  <c r="AF11" i="9"/>
  <c r="AF8" i="6"/>
  <c r="E5" i="9"/>
  <c r="E11" i="9"/>
  <c r="E8" i="6"/>
  <c r="Z5" i="9"/>
  <c r="Z11" i="9"/>
  <c r="Z8" i="6"/>
  <c r="N5" i="9"/>
  <c r="N11" i="9"/>
  <c r="N8" i="6"/>
  <c r="N43" i="2"/>
  <c r="L16" i="8"/>
  <c r="L19" i="8"/>
  <c r="M5" i="9"/>
  <c r="M11" i="9"/>
  <c r="M8" i="6"/>
  <c r="Y8" i="6"/>
  <c r="Y5" i="9"/>
  <c r="Y11" i="9"/>
  <c r="O43" i="2"/>
  <c r="M16" i="8"/>
  <c r="M19" i="8"/>
  <c r="K15" i="9"/>
  <c r="M44" i="2"/>
  <c r="F17" i="8"/>
  <c r="H45" i="2"/>
  <c r="F16" i="9"/>
  <c r="F18" i="9"/>
  <c r="O5" i="8"/>
  <c r="D113" i="2"/>
  <c r="Y113" i="2"/>
  <c r="G113" i="2"/>
  <c r="I113" i="2"/>
  <c r="L113" i="2"/>
  <c r="F113" i="2"/>
  <c r="W113" i="2"/>
  <c r="J113" i="2"/>
  <c r="E113" i="2"/>
  <c r="V113" i="2"/>
  <c r="H113" i="2"/>
  <c r="Z113" i="2"/>
  <c r="T113" i="2"/>
  <c r="X113" i="2"/>
  <c r="N113" i="2"/>
  <c r="AF113" i="2"/>
  <c r="AD113" i="2"/>
  <c r="AG113" i="2"/>
  <c r="Q113" i="2"/>
  <c r="R113" i="2"/>
  <c r="AB113" i="2"/>
  <c r="K113" i="2"/>
  <c r="M113" i="2"/>
  <c r="O113" i="2"/>
  <c r="S113" i="2"/>
  <c r="AC113" i="2"/>
  <c r="P113" i="2"/>
  <c r="U113" i="2"/>
  <c r="AE113" i="2"/>
  <c r="AA113" i="2"/>
  <c r="E18" i="9"/>
  <c r="E22" i="8"/>
  <c r="E20" i="8"/>
  <c r="AD6" i="9"/>
  <c r="AD12" i="9"/>
  <c r="AA6" i="9"/>
  <c r="AA12" i="9"/>
  <c r="S6" i="9"/>
  <c r="S12" i="9"/>
  <c r="K6" i="9"/>
  <c r="K12" i="9"/>
  <c r="L115" i="2"/>
  <c r="O6" i="9"/>
  <c r="O12" i="9"/>
  <c r="P6" i="9"/>
  <c r="P12" i="9"/>
  <c r="H115" i="2"/>
  <c r="H116" i="2"/>
  <c r="G6" i="9"/>
  <c r="G12" i="9"/>
  <c r="H118" i="2"/>
  <c r="F6" i="9"/>
  <c r="F12" i="9"/>
  <c r="G116" i="2"/>
  <c r="G118" i="2"/>
  <c r="G115" i="2"/>
  <c r="P5" i="8"/>
  <c r="I45" i="2"/>
  <c r="G16" i="9"/>
  <c r="G18" i="9"/>
  <c r="G17" i="8"/>
  <c r="L15" i="9"/>
  <c r="N44" i="2"/>
  <c r="Y6" i="9"/>
  <c r="Y12" i="9"/>
  <c r="AB6" i="9"/>
  <c r="AB12" i="9"/>
  <c r="AF6" i="9"/>
  <c r="AF12" i="9"/>
  <c r="U6" i="9"/>
  <c r="U12" i="9"/>
  <c r="X6" i="9"/>
  <c r="X12" i="9"/>
  <c r="F20" i="8"/>
  <c r="F22" i="8"/>
  <c r="I116" i="2"/>
  <c r="I115" i="2"/>
  <c r="I118" i="2"/>
  <c r="H6" i="9"/>
  <c r="H12" i="9"/>
  <c r="R6" i="9"/>
  <c r="R12" i="9"/>
  <c r="AC6" i="9"/>
  <c r="AC12" i="9"/>
  <c r="E116" i="2"/>
  <c r="E115" i="2"/>
  <c r="D6" i="9"/>
  <c r="D12" i="9"/>
  <c r="E118" i="2"/>
  <c r="D115" i="2"/>
  <c r="D118" i="2"/>
  <c r="C113" i="2"/>
  <c r="C114" i="2"/>
  <c r="C6" i="9"/>
  <c r="C12" i="9"/>
  <c r="D116" i="2"/>
  <c r="T6" i="9"/>
  <c r="T12" i="9"/>
  <c r="N6" i="9"/>
  <c r="N12" i="9"/>
  <c r="AE6" i="9"/>
  <c r="AE12" i="9"/>
  <c r="J115" i="2"/>
  <c r="I6" i="9"/>
  <c r="I12" i="9"/>
  <c r="L6" i="9"/>
  <c r="L12" i="9"/>
  <c r="M115" i="2"/>
  <c r="M6" i="9"/>
  <c r="M12" i="9"/>
  <c r="V6" i="9"/>
  <c r="V12" i="9"/>
  <c r="Q6" i="9"/>
  <c r="Q12" i="9"/>
  <c r="Z6" i="9"/>
  <c r="Z12" i="9"/>
  <c r="K115" i="2"/>
  <c r="J6" i="9"/>
  <c r="J12" i="9"/>
  <c r="W6" i="9"/>
  <c r="W12" i="9"/>
  <c r="F115" i="2"/>
  <c r="E6" i="9"/>
  <c r="E12" i="9"/>
  <c r="F116" i="2"/>
  <c r="F118" i="2"/>
  <c r="N16" i="8"/>
  <c r="N19" i="8"/>
  <c r="P43" i="2"/>
  <c r="D122" i="2"/>
  <c r="C14" i="8"/>
  <c r="H122" i="2"/>
  <c r="G14" i="8"/>
  <c r="E122" i="2"/>
  <c r="D14" i="8"/>
  <c r="G122" i="2"/>
  <c r="F14" i="8"/>
  <c r="I122" i="2"/>
  <c r="H14" i="8"/>
  <c r="G120" i="2"/>
  <c r="D120" i="2"/>
  <c r="F122" i="2"/>
  <c r="E14" i="8"/>
  <c r="H120" i="2"/>
  <c r="F120" i="2"/>
  <c r="I120" i="2"/>
  <c r="E120" i="2"/>
  <c r="L20" i="9"/>
  <c r="I20" i="9"/>
  <c r="O44" i="2"/>
  <c r="M15" i="9"/>
  <c r="G22" i="8"/>
  <c r="G20" i="8"/>
  <c r="F20" i="9"/>
  <c r="F21" i="9"/>
  <c r="H20" i="9"/>
  <c r="J20" i="9"/>
  <c r="D20" i="9"/>
  <c r="D21" i="9"/>
  <c r="J45" i="2"/>
  <c r="H17" i="8"/>
  <c r="H16" i="9"/>
  <c r="H18" i="9"/>
  <c r="G21" i="9"/>
  <c r="G20" i="9"/>
  <c r="K20" i="9"/>
  <c r="N115" i="2"/>
  <c r="E20" i="9"/>
  <c r="E21" i="9"/>
  <c r="Q5" i="8"/>
  <c r="M20" i="9"/>
  <c r="Q43" i="2"/>
  <c r="O16" i="8"/>
  <c r="O19" i="8"/>
  <c r="C20" i="9"/>
  <c r="C21" i="9"/>
  <c r="H7" i="9"/>
  <c r="H13" i="9"/>
  <c r="H9" i="6"/>
  <c r="G24" i="8"/>
  <c r="G27" i="8"/>
  <c r="G6" i="8"/>
  <c r="G25" i="8"/>
  <c r="E7" i="9"/>
  <c r="E13" i="9"/>
  <c r="E9" i="6"/>
  <c r="C7" i="9"/>
  <c r="C13" i="9"/>
  <c r="C9" i="6"/>
  <c r="C25" i="8"/>
  <c r="C24" i="8"/>
  <c r="C27" i="8"/>
  <c r="C6" i="8"/>
  <c r="F9" i="6"/>
  <c r="F7" i="9"/>
  <c r="F13" i="9"/>
  <c r="H21" i="9"/>
  <c r="H24" i="8"/>
  <c r="H25" i="8"/>
  <c r="H27" i="8"/>
  <c r="H6" i="8"/>
  <c r="P16" i="8"/>
  <c r="P19" i="8"/>
  <c r="R43" i="2"/>
  <c r="H22" i="8"/>
  <c r="H20" i="8"/>
  <c r="K45" i="2"/>
  <c r="I16" i="9"/>
  <c r="I17" i="8"/>
  <c r="J116" i="2"/>
  <c r="J118" i="2"/>
  <c r="D7" i="9"/>
  <c r="D13" i="9"/>
  <c r="D9" i="6"/>
  <c r="G9" i="6"/>
  <c r="G7" i="9"/>
  <c r="G13" i="9"/>
  <c r="F25" i="8"/>
  <c r="F27" i="8"/>
  <c r="F6" i="8"/>
  <c r="F24" i="8"/>
  <c r="R5" i="8"/>
  <c r="P44" i="2"/>
  <c r="N15" i="9"/>
  <c r="N20" i="9"/>
  <c r="O115" i="2"/>
  <c r="E24" i="8"/>
  <c r="E27" i="8"/>
  <c r="E6" i="8"/>
  <c r="E25" i="8"/>
  <c r="D25" i="8"/>
  <c r="D27" i="8"/>
  <c r="D6" i="8"/>
  <c r="D24" i="8"/>
  <c r="F23" i="9"/>
  <c r="F25" i="9"/>
  <c r="F7" i="8"/>
  <c r="F6" i="4"/>
  <c r="C10" i="6"/>
  <c r="D10" i="6"/>
  <c r="C7" i="8"/>
  <c r="C6" i="4"/>
  <c r="C12" i="6"/>
  <c r="F10" i="6"/>
  <c r="G10" i="6"/>
  <c r="E10" i="6"/>
  <c r="H10" i="6"/>
  <c r="H7" i="8"/>
  <c r="H6" i="4"/>
  <c r="K122" i="2"/>
  <c r="J14" i="8"/>
  <c r="J122" i="2"/>
  <c r="I14" i="8"/>
  <c r="J120" i="2"/>
  <c r="C23" i="9"/>
  <c r="C25" i="9"/>
  <c r="H23" i="9"/>
  <c r="H25" i="9"/>
  <c r="O15" i="9"/>
  <c r="O20" i="9"/>
  <c r="Q44" i="2"/>
  <c r="P115" i="2"/>
  <c r="I22" i="8"/>
  <c r="I20" i="8"/>
  <c r="E6" i="4"/>
  <c r="E7" i="8"/>
  <c r="G23" i="9"/>
  <c r="G25" i="9"/>
  <c r="I18" i="9"/>
  <c r="I21" i="9"/>
  <c r="E23" i="9"/>
  <c r="E25" i="9"/>
  <c r="G6" i="4"/>
  <c r="G7" i="8"/>
  <c r="J17" i="8"/>
  <c r="J16" i="9"/>
  <c r="L45" i="2"/>
  <c r="K116" i="2"/>
  <c r="K118" i="2"/>
  <c r="S5" i="8"/>
  <c r="D6" i="4"/>
  <c r="D7" i="8"/>
  <c r="Q16" i="8"/>
  <c r="Q19" i="8"/>
  <c r="S43" i="2"/>
  <c r="D23" i="9"/>
  <c r="D25" i="9"/>
  <c r="F18" i="6"/>
  <c r="F10" i="4"/>
  <c r="E18" i="6"/>
  <c r="E10" i="4"/>
  <c r="I24" i="8"/>
  <c r="I25" i="8"/>
  <c r="I27" i="8"/>
  <c r="I6" i="8"/>
  <c r="J22" i="8"/>
  <c r="J20" i="8"/>
  <c r="J27" i="8"/>
  <c r="J6" i="8"/>
  <c r="C10" i="4"/>
  <c r="C18" i="6"/>
  <c r="J25" i="8"/>
  <c r="J24" i="8"/>
  <c r="R44" i="2"/>
  <c r="P15" i="9"/>
  <c r="P20" i="9"/>
  <c r="Q115" i="2"/>
  <c r="B7" i="5"/>
  <c r="B8" i="5"/>
  <c r="D7" i="6"/>
  <c r="D12" i="6"/>
  <c r="G18" i="6"/>
  <c r="G10" i="4"/>
  <c r="D18" i="6"/>
  <c r="D10" i="4"/>
  <c r="L120" i="2"/>
  <c r="K120" i="2"/>
  <c r="H18" i="6"/>
  <c r="H10" i="4"/>
  <c r="T5" i="8"/>
  <c r="K16" i="9"/>
  <c r="M45" i="2"/>
  <c r="K17" i="8"/>
  <c r="L116" i="2"/>
  <c r="L118" i="2"/>
  <c r="I7" i="9"/>
  <c r="I13" i="9"/>
  <c r="I9" i="6"/>
  <c r="T43" i="2"/>
  <c r="R16" i="8"/>
  <c r="R19" i="8"/>
  <c r="J18" i="9"/>
  <c r="J21" i="9"/>
  <c r="K22" i="8"/>
  <c r="K20" i="8"/>
  <c r="M120" i="2"/>
  <c r="J7" i="9"/>
  <c r="J13" i="9"/>
  <c r="J9" i="6"/>
  <c r="K18" i="9"/>
  <c r="K21" i="9"/>
  <c r="C7" i="5"/>
  <c r="E7" i="6"/>
  <c r="E12" i="6"/>
  <c r="L17" i="8"/>
  <c r="N45" i="2"/>
  <c r="L16" i="9"/>
  <c r="M116" i="2"/>
  <c r="M118" i="2"/>
  <c r="B10" i="5"/>
  <c r="E8" i="7"/>
  <c r="U5" i="8"/>
  <c r="L122" i="2"/>
  <c r="K14" i="8"/>
  <c r="U43" i="2"/>
  <c r="S16" i="8"/>
  <c r="S19" i="8"/>
  <c r="I23" i="9"/>
  <c r="I25" i="9"/>
  <c r="C19" i="6"/>
  <c r="C20" i="6"/>
  <c r="C23" i="6"/>
  <c r="K9" i="6"/>
  <c r="K7" i="9"/>
  <c r="K13" i="9"/>
  <c r="I6" i="4"/>
  <c r="I7" i="8"/>
  <c r="I10" i="6"/>
  <c r="J10" i="6"/>
  <c r="M122" i="2"/>
  <c r="L14" i="8"/>
  <c r="Q15" i="9"/>
  <c r="Q20" i="9"/>
  <c r="S44" i="2"/>
  <c r="R115" i="2"/>
  <c r="K6" i="4"/>
  <c r="K7" i="8"/>
  <c r="T16" i="8"/>
  <c r="T19" i="8"/>
  <c r="V43" i="2"/>
  <c r="J7" i="8"/>
  <c r="J6" i="4"/>
  <c r="K23" i="9"/>
  <c r="K25" i="9"/>
  <c r="K24" i="8"/>
  <c r="K25" i="8"/>
  <c r="K27" i="8"/>
  <c r="K6" i="8"/>
  <c r="J23" i="9"/>
  <c r="J25" i="9"/>
  <c r="L18" i="9"/>
  <c r="L21" i="9"/>
  <c r="L24" i="8"/>
  <c r="L25" i="8"/>
  <c r="V5" i="8"/>
  <c r="R15" i="9"/>
  <c r="R20" i="9"/>
  <c r="T44" i="2"/>
  <c r="S115" i="2"/>
  <c r="L9" i="6"/>
  <c r="L7" i="9"/>
  <c r="L13" i="9"/>
  <c r="K10" i="6"/>
  <c r="I10" i="4"/>
  <c r="I18" i="6"/>
  <c r="O45" i="2"/>
  <c r="M17" i="8"/>
  <c r="M16" i="9"/>
  <c r="N116" i="2"/>
  <c r="N118" i="2"/>
  <c r="D19" i="6"/>
  <c r="D20" i="6"/>
  <c r="L22" i="8"/>
  <c r="L20" i="8"/>
  <c r="L27" i="8"/>
  <c r="L6" i="8"/>
  <c r="D7" i="5"/>
  <c r="F7" i="6"/>
  <c r="F12" i="6"/>
  <c r="J18" i="6"/>
  <c r="J10" i="4"/>
  <c r="O122" i="2"/>
  <c r="N14" i="8"/>
  <c r="L23" i="9"/>
  <c r="L25" i="9"/>
  <c r="E7" i="5"/>
  <c r="G7" i="6"/>
  <c r="G12" i="6"/>
  <c r="M18" i="9"/>
  <c r="M21" i="9"/>
  <c r="L7" i="8"/>
  <c r="L6" i="4"/>
  <c r="L10" i="6"/>
  <c r="W5" i="8"/>
  <c r="M22" i="8"/>
  <c r="M20" i="8"/>
  <c r="N17" i="8"/>
  <c r="N16" i="9"/>
  <c r="P45" i="2"/>
  <c r="O116" i="2"/>
  <c r="O118" i="2"/>
  <c r="U16" i="8"/>
  <c r="U19" i="8"/>
  <c r="W43" i="2"/>
  <c r="N122" i="2"/>
  <c r="M14" i="8"/>
  <c r="K18" i="6"/>
  <c r="K10" i="4"/>
  <c r="U44" i="2"/>
  <c r="S15" i="9"/>
  <c r="S20" i="9"/>
  <c r="T115" i="2"/>
  <c r="E19" i="6"/>
  <c r="E20" i="6"/>
  <c r="O120" i="2"/>
  <c r="N120" i="2"/>
  <c r="M9" i="6"/>
  <c r="M7" i="9"/>
  <c r="M13" i="9"/>
  <c r="F19" i="6"/>
  <c r="F20" i="6"/>
  <c r="T15" i="9"/>
  <c r="T20" i="9"/>
  <c r="V44" i="2"/>
  <c r="U115" i="2"/>
  <c r="Q45" i="2"/>
  <c r="O16" i="9"/>
  <c r="O17" i="8"/>
  <c r="P116" i="2"/>
  <c r="P118" i="2"/>
  <c r="F7" i="5"/>
  <c r="H7" i="6"/>
  <c r="H12" i="6"/>
  <c r="M25" i="8"/>
  <c r="M24" i="8"/>
  <c r="M27" i="8"/>
  <c r="M6" i="8"/>
  <c r="N18" i="9"/>
  <c r="N21" i="9"/>
  <c r="N7" i="9"/>
  <c r="N13" i="9"/>
  <c r="N9" i="6"/>
  <c r="N22" i="8"/>
  <c r="N20" i="8"/>
  <c r="X5" i="8"/>
  <c r="L10" i="4"/>
  <c r="L18" i="6"/>
  <c r="N25" i="8"/>
  <c r="N24" i="8"/>
  <c r="N27" i="8"/>
  <c r="N6" i="8"/>
  <c r="X43" i="2"/>
  <c r="V16" i="8"/>
  <c r="V19" i="8"/>
  <c r="O18" i="9"/>
  <c r="O21" i="9"/>
  <c r="G19" i="6"/>
  <c r="G20" i="6"/>
  <c r="Y5" i="8"/>
  <c r="N6" i="4"/>
  <c r="N7" i="8"/>
  <c r="N10" i="6"/>
  <c r="G7" i="5"/>
  <c r="I7" i="6"/>
  <c r="I12" i="6"/>
  <c r="R45" i="2"/>
  <c r="P17" i="8"/>
  <c r="P16" i="9"/>
  <c r="Q116" i="2"/>
  <c r="Q118" i="2"/>
  <c r="Q122" i="2"/>
  <c r="P14" i="8"/>
  <c r="N23" i="9"/>
  <c r="N25" i="9"/>
  <c r="M23" i="9"/>
  <c r="M25" i="9"/>
  <c r="P120" i="2"/>
  <c r="P122" i="2"/>
  <c r="O14" i="8"/>
  <c r="M6" i="4"/>
  <c r="M7" i="8"/>
  <c r="M10" i="6"/>
  <c r="Y43" i="2"/>
  <c r="W16" i="8"/>
  <c r="W19" i="8"/>
  <c r="O20" i="8"/>
  <c r="O22" i="8"/>
  <c r="W44" i="2"/>
  <c r="U15" i="9"/>
  <c r="U20" i="9"/>
  <c r="V115" i="2"/>
  <c r="N10" i="4"/>
  <c r="N18" i="6"/>
  <c r="P24" i="8"/>
  <c r="P25" i="8"/>
  <c r="P18" i="9"/>
  <c r="P21" i="9"/>
  <c r="P22" i="8"/>
  <c r="P20" i="8"/>
  <c r="P27" i="8"/>
  <c r="P6" i="8"/>
  <c r="Q120" i="2"/>
  <c r="S45" i="2"/>
  <c r="Q16" i="9"/>
  <c r="Q17" i="8"/>
  <c r="R116" i="2"/>
  <c r="R118" i="2"/>
  <c r="H19" i="6"/>
  <c r="H20" i="6"/>
  <c r="O25" i="8"/>
  <c r="O24" i="8"/>
  <c r="O27" i="8"/>
  <c r="O6" i="8"/>
  <c r="H7" i="5"/>
  <c r="J7" i="6"/>
  <c r="J12" i="6"/>
  <c r="M18" i="6"/>
  <c r="M10" i="4"/>
  <c r="V15" i="9"/>
  <c r="V20" i="9"/>
  <c r="X44" i="2"/>
  <c r="W115" i="2"/>
  <c r="Z43" i="2"/>
  <c r="X16" i="8"/>
  <c r="X19" i="8"/>
  <c r="O7" i="9"/>
  <c r="O13" i="9"/>
  <c r="O9" i="6"/>
  <c r="Z5" i="8"/>
  <c r="O7" i="8"/>
  <c r="O6" i="4"/>
  <c r="O10" i="6"/>
  <c r="O23" i="9"/>
  <c r="O25" i="9"/>
  <c r="AA43" i="2"/>
  <c r="Y16" i="8"/>
  <c r="Y19" i="8"/>
  <c r="W15" i="9"/>
  <c r="W20" i="9"/>
  <c r="Y44" i="2"/>
  <c r="X115" i="2"/>
  <c r="I7" i="5"/>
  <c r="K7" i="6"/>
  <c r="K12" i="6"/>
  <c r="R120" i="2"/>
  <c r="R122" i="2"/>
  <c r="Q14" i="8"/>
  <c r="R17" i="8"/>
  <c r="R16" i="9"/>
  <c r="T45" i="2"/>
  <c r="S116" i="2"/>
  <c r="S118" i="2"/>
  <c r="Q22" i="8"/>
  <c r="Q20" i="8"/>
  <c r="P9" i="6"/>
  <c r="P7" i="9"/>
  <c r="P13" i="9"/>
  <c r="AA5" i="8"/>
  <c r="I19" i="6"/>
  <c r="I20" i="6"/>
  <c r="Q18" i="9"/>
  <c r="Q21" i="9"/>
  <c r="O10" i="4"/>
  <c r="O18" i="6"/>
  <c r="S122" i="2"/>
  <c r="R14" i="8"/>
  <c r="S120" i="2"/>
  <c r="P23" i="9"/>
  <c r="P25" i="9"/>
  <c r="J19" i="6"/>
  <c r="J20" i="6"/>
  <c r="P7" i="8"/>
  <c r="P6" i="4"/>
  <c r="P10" i="6"/>
  <c r="S16" i="9"/>
  <c r="U45" i="2"/>
  <c r="S17" i="8"/>
  <c r="T116" i="2"/>
  <c r="T118" i="2"/>
  <c r="R18" i="9"/>
  <c r="R21" i="9"/>
  <c r="R22" i="8"/>
  <c r="R20" i="8"/>
  <c r="X15" i="9"/>
  <c r="X20" i="9"/>
  <c r="Z44" i="2"/>
  <c r="Y115" i="2"/>
  <c r="Q25" i="8"/>
  <c r="Q27" i="8"/>
  <c r="Q6" i="8"/>
  <c r="Q24" i="8"/>
  <c r="AB43" i="2"/>
  <c r="Z16" i="8"/>
  <c r="Z19" i="8"/>
  <c r="J7" i="5"/>
  <c r="L7" i="6"/>
  <c r="L12" i="6"/>
  <c r="AB5" i="8"/>
  <c r="Q9" i="6"/>
  <c r="Q7" i="9"/>
  <c r="Q13" i="9"/>
  <c r="Y15" i="9"/>
  <c r="Y20" i="9"/>
  <c r="AA44" i="2"/>
  <c r="Z115" i="2"/>
  <c r="R25" i="8"/>
  <c r="R27" i="8"/>
  <c r="R6" i="8"/>
  <c r="R24" i="8"/>
  <c r="Q23" i="9"/>
  <c r="Q25" i="9"/>
  <c r="T122" i="2"/>
  <c r="S14" i="8"/>
  <c r="T120" i="2"/>
  <c r="P18" i="6"/>
  <c r="P10" i="4"/>
  <c r="Q6" i="4"/>
  <c r="Q7" i="8"/>
  <c r="Q10" i="6"/>
  <c r="S22" i="8"/>
  <c r="S20" i="8"/>
  <c r="AC43" i="2"/>
  <c r="AA16" i="8"/>
  <c r="AA19" i="8"/>
  <c r="T17" i="8"/>
  <c r="V45" i="2"/>
  <c r="T16" i="9"/>
  <c r="U116" i="2"/>
  <c r="U118" i="2"/>
  <c r="M7" i="6"/>
  <c r="M12" i="6"/>
  <c r="K7" i="5"/>
  <c r="S18" i="9"/>
  <c r="S21" i="9"/>
  <c r="AC5" i="8"/>
  <c r="K19" i="6"/>
  <c r="K20" i="6"/>
  <c r="R7" i="9"/>
  <c r="R13" i="9"/>
  <c r="R9" i="6"/>
  <c r="Q18" i="6"/>
  <c r="Q10" i="4"/>
  <c r="AD5" i="8"/>
  <c r="S24" i="8"/>
  <c r="S25" i="8"/>
  <c r="S27" i="8"/>
  <c r="S6" i="8"/>
  <c r="AB16" i="8"/>
  <c r="AB19" i="8"/>
  <c r="AD43" i="2"/>
  <c r="U122" i="2"/>
  <c r="T14" i="8"/>
  <c r="U120" i="2"/>
  <c r="Z15" i="9"/>
  <c r="Z20" i="9"/>
  <c r="AB44" i="2"/>
  <c r="AA115" i="2"/>
  <c r="R7" i="8"/>
  <c r="R6" i="4"/>
  <c r="R10" i="6"/>
  <c r="R23" i="9"/>
  <c r="R25" i="9"/>
  <c r="W45" i="2"/>
  <c r="U17" i="8"/>
  <c r="U16" i="9"/>
  <c r="V116" i="2"/>
  <c r="V118" i="2"/>
  <c r="L7" i="5"/>
  <c r="N7" i="6"/>
  <c r="N12" i="6"/>
  <c r="T18" i="9"/>
  <c r="T21" i="9"/>
  <c r="L19" i="6"/>
  <c r="L20" i="6"/>
  <c r="T22" i="8"/>
  <c r="T20" i="8"/>
  <c r="S9" i="6"/>
  <c r="S7" i="9"/>
  <c r="S13" i="9"/>
  <c r="T25" i="8"/>
  <c r="T24" i="8"/>
  <c r="T27" i="8"/>
  <c r="T6" i="8"/>
  <c r="U18" i="9"/>
  <c r="U21" i="9"/>
  <c r="T7" i="9"/>
  <c r="T13" i="9"/>
  <c r="T9" i="6"/>
  <c r="R18" i="6"/>
  <c r="R10" i="4"/>
  <c r="AE5" i="8"/>
  <c r="V122" i="2"/>
  <c r="U14" i="8"/>
  <c r="V120" i="2"/>
  <c r="S23" i="9"/>
  <c r="S25" i="9"/>
  <c r="AC16" i="8"/>
  <c r="AC19" i="8"/>
  <c r="AE43" i="2"/>
  <c r="AC44" i="2"/>
  <c r="AA15" i="9"/>
  <c r="AA20" i="9"/>
  <c r="AB115" i="2"/>
  <c r="M19" i="6"/>
  <c r="M20" i="6"/>
  <c r="U20" i="8"/>
  <c r="U22" i="8"/>
  <c r="V17" i="8"/>
  <c r="V16" i="9"/>
  <c r="X45" i="2"/>
  <c r="W116" i="2"/>
  <c r="W118" i="2"/>
  <c r="S7" i="8"/>
  <c r="S6" i="4"/>
  <c r="S10" i="6"/>
  <c r="O7" i="6"/>
  <c r="O12" i="6"/>
  <c r="M7" i="5"/>
  <c r="N7" i="5"/>
  <c r="P7" i="6"/>
  <c r="P12" i="6"/>
  <c r="AF43" i="2"/>
  <c r="AD16" i="8"/>
  <c r="AD19" i="8"/>
  <c r="U9" i="6"/>
  <c r="U7" i="9"/>
  <c r="U13" i="9"/>
  <c r="U25" i="8"/>
  <c r="U27" i="8"/>
  <c r="U6" i="8"/>
  <c r="U24" i="8"/>
  <c r="S10" i="4"/>
  <c r="S18" i="6"/>
  <c r="W120" i="2"/>
  <c r="W122" i="2"/>
  <c r="V14" i="8"/>
  <c r="Y45" i="2"/>
  <c r="W16" i="9"/>
  <c r="W17" i="8"/>
  <c r="X116" i="2"/>
  <c r="X118" i="2"/>
  <c r="AB15" i="9"/>
  <c r="AB20" i="9"/>
  <c r="AD44" i="2"/>
  <c r="AC115" i="2"/>
  <c r="T6" i="4"/>
  <c r="T7" i="8"/>
  <c r="T10" i="6"/>
  <c r="AF5" i="8"/>
  <c r="T23" i="9"/>
  <c r="T25" i="9"/>
  <c r="V18" i="9"/>
  <c r="V21" i="9"/>
  <c r="N19" i="6"/>
  <c r="N20" i="6"/>
  <c r="V22" i="8"/>
  <c r="V20" i="8"/>
  <c r="T10" i="4"/>
  <c r="T18" i="6"/>
  <c r="W20" i="8"/>
  <c r="W22" i="8"/>
  <c r="AG43" i="2"/>
  <c r="AF16" i="8"/>
  <c r="AF19" i="8"/>
  <c r="AE16" i="8"/>
  <c r="AE19" i="8"/>
  <c r="AC15" i="9"/>
  <c r="AC20" i="9"/>
  <c r="AE44" i="2"/>
  <c r="AD115" i="2"/>
  <c r="W18" i="9"/>
  <c r="W21" i="9"/>
  <c r="O7" i="5"/>
  <c r="Q7" i="6"/>
  <c r="Q12" i="6"/>
  <c r="X122" i="2"/>
  <c r="W14" i="8"/>
  <c r="X120" i="2"/>
  <c r="Z45" i="2"/>
  <c r="X17" i="8"/>
  <c r="X16" i="9"/>
  <c r="Y116" i="2"/>
  <c r="Y118" i="2"/>
  <c r="V25" i="8"/>
  <c r="V24" i="8"/>
  <c r="V27" i="8"/>
  <c r="V6" i="8"/>
  <c r="O19" i="6"/>
  <c r="O20" i="6"/>
  <c r="V9" i="6"/>
  <c r="V7" i="9"/>
  <c r="V13" i="9"/>
  <c r="U23" i="9"/>
  <c r="U25" i="9"/>
  <c r="B33" i="21"/>
  <c r="B38" i="21"/>
  <c r="B42" i="21"/>
  <c r="U7" i="8"/>
  <c r="U6" i="4"/>
  <c r="U10" i="6"/>
  <c r="U18" i="6"/>
  <c r="U10" i="4"/>
  <c r="AA45" i="2"/>
  <c r="Y16" i="9"/>
  <c r="Y17" i="8"/>
  <c r="Z116" i="2"/>
  <c r="Z118" i="2"/>
  <c r="V23" i="9"/>
  <c r="V25" i="9"/>
  <c r="W9" i="6"/>
  <c r="W7" i="9"/>
  <c r="W13" i="9"/>
  <c r="V7" i="8"/>
  <c r="V6" i="4"/>
  <c r="V10" i="6"/>
  <c r="W24" i="8"/>
  <c r="W27" i="8"/>
  <c r="W6" i="8"/>
  <c r="W25" i="8"/>
  <c r="Y120" i="2"/>
  <c r="Y122" i="2"/>
  <c r="X14" i="8"/>
  <c r="P7" i="5"/>
  <c r="R7" i="6"/>
  <c r="R12" i="6"/>
  <c r="AD15" i="9"/>
  <c r="AD20" i="9"/>
  <c r="AF44" i="2"/>
  <c r="AE115" i="2"/>
  <c r="P19" i="6"/>
  <c r="P20" i="6"/>
  <c r="X18" i="9"/>
  <c r="X21" i="9"/>
  <c r="X22" i="8"/>
  <c r="X20" i="8"/>
  <c r="Y18" i="9"/>
  <c r="Y21" i="9"/>
  <c r="Z17" i="8"/>
  <c r="AB45" i="2"/>
  <c r="Z16" i="9"/>
  <c r="AA116" i="2"/>
  <c r="AA118" i="2"/>
  <c r="Q7" i="5"/>
  <c r="S7" i="6"/>
  <c r="S12" i="6"/>
  <c r="Y22" i="8"/>
  <c r="Y20" i="8"/>
  <c r="V18" i="6"/>
  <c r="V10" i="4"/>
  <c r="Q19" i="6"/>
  <c r="Q20" i="6"/>
  <c r="X24" i="8"/>
  <c r="X27" i="8"/>
  <c r="X6" i="8"/>
  <c r="X25" i="8"/>
  <c r="W23" i="9"/>
  <c r="W25" i="9"/>
  <c r="AE15" i="9"/>
  <c r="AE20" i="9"/>
  <c r="AG44" i="2"/>
  <c r="AF115" i="2"/>
  <c r="X9" i="6"/>
  <c r="X7" i="9"/>
  <c r="X13" i="9"/>
  <c r="W7" i="8"/>
  <c r="W6" i="4"/>
  <c r="W10" i="6"/>
  <c r="Z122" i="2"/>
  <c r="Y14" i="8"/>
  <c r="Z120" i="2"/>
  <c r="R19" i="6"/>
  <c r="R20" i="6"/>
  <c r="X23" i="9"/>
  <c r="X25" i="9"/>
  <c r="W18" i="6"/>
  <c r="W10" i="4"/>
  <c r="AA120" i="2"/>
  <c r="AA122" i="2"/>
  <c r="Z14" i="8"/>
  <c r="X7" i="8"/>
  <c r="X6" i="4"/>
  <c r="X10" i="6"/>
  <c r="Z18" i="9"/>
  <c r="Z21" i="9"/>
  <c r="AF15" i="9"/>
  <c r="AF20" i="9"/>
  <c r="AG115" i="2"/>
  <c r="AA16" i="9"/>
  <c r="AA17" i="8"/>
  <c r="AC45" i="2"/>
  <c r="AB116" i="2"/>
  <c r="AB118" i="2"/>
  <c r="Y7" i="9"/>
  <c r="Y13" i="9"/>
  <c r="Y9" i="6"/>
  <c r="T7" i="6"/>
  <c r="T12" i="6"/>
  <c r="R7" i="5"/>
  <c r="Z22" i="8"/>
  <c r="Z20" i="8"/>
  <c r="Y25" i="8"/>
  <c r="Y24" i="8"/>
  <c r="Y27" i="8"/>
  <c r="Y6" i="8"/>
  <c r="AA22" i="8"/>
  <c r="AA20" i="8"/>
  <c r="AA18" i="9"/>
  <c r="AA21" i="9"/>
  <c r="X10" i="4"/>
  <c r="X18" i="6"/>
  <c r="Y6" i="4"/>
  <c r="Y7" i="8"/>
  <c r="Y10" i="6"/>
  <c r="Z25" i="8"/>
  <c r="Z24" i="8"/>
  <c r="Z27" i="8"/>
  <c r="Z6" i="8"/>
  <c r="U7" i="6"/>
  <c r="U12" i="6"/>
  <c r="S7" i="5"/>
  <c r="Y23" i="9"/>
  <c r="Y25" i="9"/>
  <c r="AB120" i="2"/>
  <c r="AB122" i="2"/>
  <c r="AA14" i="8"/>
  <c r="Z9" i="6"/>
  <c r="Z7" i="9"/>
  <c r="Z13" i="9"/>
  <c r="AB17" i="8"/>
  <c r="AD45" i="2"/>
  <c r="AB16" i="9"/>
  <c r="AC116" i="2"/>
  <c r="AC118" i="2"/>
  <c r="S19" i="6"/>
  <c r="S20" i="6"/>
  <c r="AA25" i="8"/>
  <c r="AA27" i="8"/>
  <c r="AA6" i="8"/>
  <c r="AA24" i="8"/>
  <c r="T19" i="6"/>
  <c r="T20" i="6"/>
  <c r="V7" i="6"/>
  <c r="V12" i="6"/>
  <c r="T7" i="5"/>
  <c r="AA7" i="9"/>
  <c r="AA13" i="9"/>
  <c r="AA9" i="6"/>
  <c r="AB22" i="8"/>
  <c r="AB20" i="8"/>
  <c r="Y10" i="4"/>
  <c r="Y18" i="6"/>
  <c r="AC120" i="2"/>
  <c r="AC122" i="2"/>
  <c r="AB14" i="8"/>
  <c r="Z23" i="9"/>
  <c r="Z25" i="9"/>
  <c r="AB18" i="9"/>
  <c r="AB21" i="9"/>
  <c r="AE45" i="2"/>
  <c r="AC17" i="8"/>
  <c r="AC16" i="9"/>
  <c r="AD116" i="2"/>
  <c r="AD118" i="2"/>
  <c r="Z7" i="8"/>
  <c r="Z6" i="4"/>
  <c r="Z10" i="6"/>
  <c r="AB9" i="6"/>
  <c r="AB7" i="9"/>
  <c r="AB13" i="9"/>
  <c r="AB24" i="8"/>
  <c r="AB27" i="8"/>
  <c r="AB6" i="8"/>
  <c r="AB25" i="8"/>
  <c r="AD17" i="8"/>
  <c r="AF45" i="2"/>
  <c r="AD16" i="9"/>
  <c r="AE116" i="2"/>
  <c r="AE118" i="2"/>
  <c r="AA6" i="4"/>
  <c r="AA7" i="8"/>
  <c r="AA10" i="6"/>
  <c r="U19" i="6"/>
  <c r="U20" i="6"/>
  <c r="W7" i="6"/>
  <c r="W12" i="6"/>
  <c r="U7" i="5"/>
  <c r="AA23" i="9"/>
  <c r="AA25" i="9"/>
  <c r="AD122" i="2"/>
  <c r="AC14" i="8"/>
  <c r="AD120" i="2"/>
  <c r="Z18" i="6"/>
  <c r="Z10" i="4"/>
  <c r="AC18" i="9"/>
  <c r="AC21" i="9"/>
  <c r="AC22" i="8"/>
  <c r="AC20" i="8"/>
  <c r="AB23" i="9"/>
  <c r="AB25" i="9"/>
  <c r="AB6" i="4"/>
  <c r="AB7" i="8"/>
  <c r="AB10" i="6"/>
  <c r="X7" i="6"/>
  <c r="X12" i="6"/>
  <c r="V7" i="5"/>
  <c r="AE120" i="2"/>
  <c r="AE122" i="2"/>
  <c r="AD14" i="8"/>
  <c r="AD18" i="9"/>
  <c r="AD21" i="9"/>
  <c r="AG45" i="2"/>
  <c r="AE16" i="9"/>
  <c r="AE17" i="8"/>
  <c r="AF116" i="2"/>
  <c r="AF118" i="2"/>
  <c r="AA18" i="6"/>
  <c r="AA10" i="4"/>
  <c r="AC9" i="6"/>
  <c r="AC7" i="9"/>
  <c r="AC13" i="9"/>
  <c r="V19" i="6"/>
  <c r="V20" i="6"/>
  <c r="AD22" i="8"/>
  <c r="AD20" i="8"/>
  <c r="AC24" i="8"/>
  <c r="AC27" i="8"/>
  <c r="AC6" i="8"/>
  <c r="AC25" i="8"/>
  <c r="W19" i="6"/>
  <c r="W20" i="6"/>
  <c r="AB18" i="6"/>
  <c r="AB10" i="4"/>
  <c r="AD25" i="8"/>
  <c r="AD24" i="8"/>
  <c r="AD27" i="8"/>
  <c r="AD6" i="8"/>
  <c r="AC23" i="9"/>
  <c r="AC25" i="9"/>
  <c r="AE22" i="8"/>
  <c r="AE20" i="8"/>
  <c r="AD7" i="9"/>
  <c r="AD13" i="9"/>
  <c r="AD9" i="6"/>
  <c r="AF120" i="2"/>
  <c r="AF122" i="2"/>
  <c r="AE14" i="8"/>
  <c r="AC7" i="8"/>
  <c r="AC6" i="4"/>
  <c r="AC10" i="6"/>
  <c r="AE18" i="9"/>
  <c r="AE21" i="9"/>
  <c r="AF17" i="8"/>
  <c r="AF16" i="9"/>
  <c r="AG116" i="2"/>
  <c r="AG118" i="2"/>
  <c r="Y7" i="6"/>
  <c r="Y12" i="6"/>
  <c r="W7" i="5"/>
  <c r="X19" i="6"/>
  <c r="X20" i="6"/>
  <c r="X7" i="5"/>
  <c r="Z7" i="6"/>
  <c r="Z12" i="6"/>
  <c r="AD6" i="4"/>
  <c r="AD7" i="8"/>
  <c r="AD10" i="6"/>
  <c r="AD23" i="9"/>
  <c r="AD25" i="9"/>
  <c r="AF18" i="9"/>
  <c r="AF21" i="9"/>
  <c r="AE24" i="8"/>
  <c r="AE27" i="8"/>
  <c r="AE6" i="8"/>
  <c r="AE25" i="8"/>
  <c r="AE9" i="6"/>
  <c r="AE7" i="9"/>
  <c r="AE13" i="9"/>
  <c r="AG120" i="2"/>
  <c r="AG122" i="2"/>
  <c r="AF14" i="8"/>
  <c r="AF22" i="8"/>
  <c r="AF20" i="8"/>
  <c r="AC18" i="6"/>
  <c r="AC10" i="4"/>
  <c r="Y7" i="5"/>
  <c r="AA7" i="6"/>
  <c r="AA12" i="6"/>
  <c r="Y19" i="6"/>
  <c r="Y20" i="6"/>
  <c r="AF9" i="6"/>
  <c r="AF7" i="9"/>
  <c r="AF13" i="9"/>
  <c r="AF25" i="8"/>
  <c r="AF24" i="8"/>
  <c r="AF27" i="8"/>
  <c r="AF6" i="8"/>
  <c r="AE23" i="9"/>
  <c r="AE25" i="9"/>
  <c r="AD18" i="6"/>
  <c r="AD10" i="4"/>
  <c r="AE7" i="8"/>
  <c r="AE6" i="4"/>
  <c r="AE10" i="6"/>
  <c r="AB7" i="6"/>
  <c r="AB12" i="6"/>
  <c r="Z7" i="5"/>
  <c r="AF6" i="4"/>
  <c r="AF7" i="8"/>
  <c r="AF10" i="6"/>
  <c r="AE18" i="6"/>
  <c r="AE10" i="4"/>
  <c r="Z19" i="6"/>
  <c r="Z20" i="6"/>
  <c r="AF23" i="9"/>
  <c r="AF25" i="9"/>
  <c r="AF10" i="4"/>
  <c r="AF18" i="6"/>
  <c r="AC7" i="6"/>
  <c r="AC12" i="6"/>
  <c r="AA7" i="5"/>
  <c r="AA19" i="6"/>
  <c r="AA20" i="6"/>
  <c r="AB19" i="6"/>
  <c r="AB20" i="6"/>
  <c r="AB7" i="5"/>
  <c r="AD7" i="6"/>
  <c r="AD12" i="6"/>
  <c r="AC19" i="6"/>
  <c r="AC20" i="6"/>
  <c r="AC7" i="5"/>
  <c r="AE7" i="6"/>
  <c r="AE12" i="6"/>
  <c r="AD7" i="5"/>
  <c r="AF7" i="6"/>
  <c r="AF12" i="6"/>
  <c r="AE7" i="5"/>
  <c r="AD19" i="6"/>
  <c r="AD20" i="6"/>
  <c r="AE19" i="6"/>
  <c r="AE20" i="6"/>
  <c r="AF19" i="6"/>
  <c r="AF20" i="6"/>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<sst xmlns="http://schemas.openxmlformats.org/spreadsheetml/2006/main" count="277" uniqueCount="205">
  <si>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</si>
  <si>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</si>
  <si>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</si>
  <si>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</si>
  <si>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</si>
  <si>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</si>
  <si>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</si>
  <si>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</si>
  <si>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</si>
  <si>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</si>
  <si>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</si>
  <si>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</si>
  <si>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</si>
  <si>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</si>
  <si>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</si>
  <si>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</si>
  <si>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</si>
  <si>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</si>
  <si>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</si>
  <si>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</si>
  <si>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</si>
  <si>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</si>
  <si>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</si>
  <si>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</si>
  <si>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</si>
  <si>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</si>
  <si>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</si>
  <si>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</si>
  <si>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</si>
  <si>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</si>
  <si>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</si>
  <si>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</si>
  <si>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</si>
  <si>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</si>
  <si>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</si>
  <si>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</si>
  <si>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</si>
  <si>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</si>
  <si>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</si>
  <si>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</si>
  <si>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</si>
  <si>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</si>
  <si>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</si>
  <si>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</si>
  <si>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</si>
  <si>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</si>
  <si>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</si>
  <si>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</si>
  <si>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</si>
  <si>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</si>
  <si>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</si>
  <si>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</si>
  <si>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</si>
  <si>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</si>
  <si>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</si>
  <si>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</si>
  <si>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</si>
  <si>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</si>
  <si>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</si>
  <si>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</si>
  <si>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</si>
  <si>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</si>
  <si>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</si>
  <si>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</si>
  <si>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</si>
  <si>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</si>
  <si>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</si>
  <si>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</si>
  <si>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</si>
  <si>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</si>
  <si>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</si>
  <si>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</si>
  <si>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</si>
  <si>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</si>
  <si>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</si>
  <si>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</si>
  <si>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</si>
  <si>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</si>
  <si>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</si>
  <si>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</si>
  <si>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</si>
  <si>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</si>
  <si>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</si>
  <si>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</si>
  <si>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</si>
  <si>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</si>
  <si>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</si>
  <si>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</si>
  <si>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</si>
  <si>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</si>
  <si>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</si>
  <si>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</si>
  <si>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</si>
  <si>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</si>
  <si>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</si>
  <si>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</si>
  <si>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</si>
  <si>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</si>
  <si>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</si>
  <si>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</si>
  <si>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</si>
  <si>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</si>
  <si>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</si>
  <si>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</si>
  <si>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</si>
  <si>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</si>
  <si>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</si>
  <si>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</si>
  <si>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</si>
  <si>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</si>
  <si>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</si>
  <si>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</si>
  <si>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</si>
  <si>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</si>
  <si>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</si>
  <si>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</si>
  <si>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</si>
  <si>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</si>
  <si>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</si>
  <si>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</si>
  <si>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</si>
  <si>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</si>
  <si>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</si>
  <si>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</si>
  <si>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</si>
  <si>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</si>
  <si>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</si>
  <si>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</si>
  <si>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</si>
  <si>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</si>
  <si>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</si>
  <si>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</si>
  <si>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</si>
  <si>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</si>
  <si>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</si>
  <si>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</si>
  <si>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</si>
  <si>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</si>
  <si>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</si>
  <si>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</si>
  <si>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</si>
  <si>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</si>
  <si>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</si>
  <si>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</si>
  <si>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</si>
  <si>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</si>
  <si>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</si>
  <si>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</si>
  <si>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</si>
  <si>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</si>
  <si>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</si>
  <si>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</si>
  <si>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</si>
  <si>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</si>
  <si>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</si>
  <si>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</si>
  <si>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</si>
  <si>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</si>
  <si>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</si>
  <si>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</si>
  <si>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</si>
  <si>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</si>
  <si>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</si>
  <si>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</si>
  <si>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</si>
  <si>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</si>
  <si>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</si>
  <si>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</si>
  <si>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</si>
  <si>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</si>
  <si>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</si>
  <si>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</si>
  <si>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</si>
  <si>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</si>
  <si>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</si>
  <si>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No reported growth investment</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</si>
  <si>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</si>
  <si>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</si>
  <si>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</si>
  <si>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</si>
  <si>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</si>
  <si>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</si>
  <si>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</si>
  <si>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</si>
  <si>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</si>
  <si>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</si>
  <si>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</si>
  <si>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</si>
  <si>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</si>
  <si>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</si>
  <si>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</si>
  <si>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</si>
  <si>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</si>
  <si>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</si>
  <si>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</si>
  <si>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</si>
  <si>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</si>
  <si>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RFI Table F10; Lines F10.62 + F10.70 - F10.61</t>
  </si>
  <si>
    <t>RFI Table A1; Line A1.43</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</si>
  <si>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</si>
  <si>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</si>
  <si>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</si>
  <si>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</si>
  <si>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</si>
  <si>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Grey Stand-alone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</si>
</sst>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 fontId="10" fillId="0" borderId="9" xfId="0" applyNumberFormat="1" applyFont="1" applyFill="1" applyBorder="1" applyAlignment="1">
      <alignment vertical="top"/>
    </xf>
    <xf numFmtId="0" fontId="18" fillId="0" borderId="0" xfId="0" applyFont="1" applyAlignment="1">
      <alignment horizontal="left" vertical="center" wrapText="1"/>
    </xf>
    <xf numFmtId="0" fontId="0" fillId="0" borderId="0" xfId="0" applyAlignment="1">
      <alignment horizontal="right"/>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5" zoomScaleNormal="85"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204</v>
      </c>
      <c r="C2" s="171"/>
      <c r="D2" s="60"/>
      <c r="E2" s="14"/>
      <c r="F2" s="60"/>
    </row>
    <row r="3" spans="1:6" x14ac:dyDescent="0.35">
      <c r="C3" s="14"/>
      <c r="D3" s="14"/>
    </row>
    <row r="4" spans="1:6" x14ac:dyDescent="0.35">
      <c r="A4" s="14" t="s">
        <v>157</v>
      </c>
      <c r="B4" s="14"/>
      <c r="D4" s="14"/>
    </row>
    <row r="6" spans="1:6" ht="21" x14ac:dyDescent="0.5">
      <c r="A6" s="15" t="s">
        <v>166</v>
      </c>
    </row>
    <row r="7" spans="1:6" ht="241" customHeight="1" x14ac:dyDescent="0.35">
      <c r="A7" s="107">
        <v>1</v>
      </c>
      <c r="B7" s="104" t="s">
        <v>167</v>
      </c>
    </row>
    <row r="8" spans="1:6" ht="408" customHeight="1" x14ac:dyDescent="0.35">
      <c r="A8" s="107">
        <v>2</v>
      </c>
      <c r="B8" s="104" t="s">
        <v>188</v>
      </c>
    </row>
    <row r="9" spans="1:6" ht="195.5" customHeight="1" x14ac:dyDescent="0.35">
      <c r="A9" s="107">
        <f>A8+1</f>
        <v>3</v>
      </c>
      <c r="B9" s="105" t="s">
        <v>171</v>
      </c>
    </row>
    <row r="10" spans="1:6" ht="236" customHeight="1" x14ac:dyDescent="0.35">
      <c r="A10" s="107">
        <v>4</v>
      </c>
      <c r="B10" s="105" t="s">
        <v>172</v>
      </c>
    </row>
    <row r="11" spans="1:6" ht="21" x14ac:dyDescent="0.35">
      <c r="A11" s="107">
        <f>A10+1</f>
        <v>5</v>
      </c>
      <c r="B11" s="63" t="s">
        <v>186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150" zoomScaleNormal="15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163</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189</v>
      </c>
      <c r="B6" s="1">
        <f>Assumptions!C17</f>
        <v>311994499.99999994</v>
      </c>
      <c r="C6" s="12">
        <f ca="1">B6+Depreciation!C18+'Cash Flow'!C13</f>
        <v>316444977.50758028</v>
      </c>
      <c r="D6" s="1">
        <f ca="1">C6+Depreciation!D18</f>
        <v>348244404.89415765</v>
      </c>
      <c r="E6" s="1">
        <f ca="1">D6+Depreciation!E18</f>
        <v>381697823.27125347</v>
      </c>
      <c r="F6" s="1">
        <f ca="1">E6+Depreciation!F18</f>
        <v>416878525.44861704</v>
      </c>
      <c r="G6" s="1">
        <f ca="1">F6+Depreciation!G18</f>
        <v>453862801.28904736</v>
      </c>
      <c r="H6" s="1">
        <f ca="1">G6+Depreciation!H18</f>
        <v>492730054.46795112</v>
      </c>
      <c r="I6" s="1">
        <f ca="1">H6+Depreciation!I18</f>
        <v>533562923.63652998</v>
      </c>
      <c r="J6" s="1">
        <f ca="1">I6+Depreciation!J18</f>
        <v>576447408.15086794</v>
      </c>
      <c r="K6" s="1">
        <f ca="1">J6+Depreciation!K18</f>
        <v>621472998.53506494</v>
      </c>
      <c r="L6" s="1">
        <f ca="1">K6+Depreciation!L18</f>
        <v>668732811.85264933</v>
      </c>
      <c r="M6" s="1">
        <f ca="1">L6+Depreciation!M18</f>
        <v>718323732.16680443</v>
      </c>
      <c r="N6" s="1">
        <f ca="1">M6+Depreciation!N18</f>
        <v>770346556.27647364</v>
      </c>
      <c r="O6" s="1">
        <f ca="1">N6+Depreciation!O18</f>
        <v>824906144.92216814</v>
      </c>
      <c r="P6" s="1">
        <f ca="1">O6+Depreciation!P18</f>
        <v>882111579.66230524</v>
      </c>
      <c r="Q6" s="1">
        <f ca="1">P6+Depreciation!Q18</f>
        <v>942076325.62815595</v>
      </c>
      <c r="R6" s="1">
        <f ca="1">Q6+Depreciation!R18</f>
        <v>1004918400.3729923</v>
      </c>
      <c r="S6" s="1">
        <f ca="1">R6+Depreciation!S18</f>
        <v>1070760549.0388001</v>
      </c>
      <c r="T6" s="1">
        <f ca="1">S6+Depreciation!T18</f>
        <v>1139730426.0719829</v>
      </c>
      <c r="U6" s="1">
        <f ca="1">T6+Depreciation!U18</f>
        <v>1211960783.727819</v>
      </c>
      <c r="V6" s="1">
        <f ca="1">U6+Depreciation!V18</f>
        <v>1287589667.612076</v>
      </c>
      <c r="W6" s="1">
        <f ca="1">V6+Depreciation!W18</f>
        <v>1366760619.5171335</v>
      </c>
      <c r="X6" s="1">
        <f ca="1">W6+Depreciation!X18</f>
        <v>1449622887.8192251</v>
      </c>
      <c r="Y6" s="1">
        <f ca="1">X6+Depreciation!Y18</f>
        <v>1536331645.7130103</v>
      </c>
      <c r="Z6" s="1">
        <f ca="1">Y6+Depreciation!Z18</f>
        <v>1627048217.5696161</v>
      </c>
      <c r="AA6" s="1">
        <f ca="1">Z6+Depreciation!AA18</f>
        <v>1721940313.7145798</v>
      </c>
      <c r="AB6" s="1">
        <f ca="1">AA6+Depreciation!AB18</f>
        <v>1821182273.9327753</v>
      </c>
      <c r="AC6" s="1">
        <f ca="1">AB6+Depreciation!AC18</f>
        <v>1924955320.0184367</v>
      </c>
      <c r="AD6" s="1">
        <f ca="1">AC6+Depreciation!AD18</f>
        <v>2033447817.6998186</v>
      </c>
      <c r="AE6" s="1">
        <f ca="1">AD6+Depreciation!AE18</f>
        <v>2146855548.2798553</v>
      </c>
      <c r="AF6" s="1"/>
      <c r="AG6" s="1"/>
      <c r="AH6" s="1"/>
      <c r="AI6" s="1"/>
      <c r="AJ6" s="1"/>
      <c r="AK6" s="1"/>
      <c r="AL6" s="1"/>
      <c r="AM6" s="1"/>
      <c r="AN6" s="1"/>
      <c r="AO6" s="1"/>
      <c r="AP6" s="1"/>
    </row>
    <row r="7" spans="1:42" x14ac:dyDescent="0.35">
      <c r="A7" t="s">
        <v>12</v>
      </c>
      <c r="B7" s="1">
        <f>Depreciation!C12</f>
        <v>161315012.7852844</v>
      </c>
      <c r="C7" s="1">
        <f>Depreciation!D12</f>
        <v>167419619.67170179</v>
      </c>
      <c r="D7" s="1">
        <f>Depreciation!E12</f>
        <v>174355983.29263249</v>
      </c>
      <c r="E7" s="1">
        <f>Depreciation!F12</f>
        <v>182171084.96163368</v>
      </c>
      <c r="F7" s="1">
        <f>Depreciation!G12</f>
        <v>190914061.07743403</v>
      </c>
      <c r="G7" s="1">
        <f>Depreciation!H12</f>
        <v>200636292.94051963</v>
      </c>
      <c r="H7" s="1">
        <f>Depreciation!I12</f>
        <v>211391500.11117417</v>
      </c>
      <c r="I7" s="1">
        <f>Depreciation!J12</f>
        <v>223235837.44365424</v>
      </c>
      <c r="J7" s="1">
        <f>Depreciation!K12</f>
        <v>236227995.93617392</v>
      </c>
      <c r="K7" s="1">
        <f>Depreciation!L12</f>
        <v>250429307.5415473</v>
      </c>
      <c r="L7" s="1">
        <f>Depreciation!M12</f>
        <v>265903854.08870065</v>
      </c>
      <c r="M7" s="1">
        <f>Depreciation!N12</f>
        <v>282718580.470824</v>
      </c>
      <c r="N7" s="1">
        <f>Depreciation!O12</f>
        <v>300943412.26169121</v>
      </c>
      <c r="O7" s="1">
        <f>Depreciation!P12</f>
        <v>320651377.92764652</v>
      </c>
      <c r="P7" s="1">
        <f>Depreciation!Q12</f>
        <v>341918735.80894172</v>
      </c>
      <c r="Q7" s="1">
        <f>Depreciation!R12</f>
        <v>364825106.05051661</v>
      </c>
      <c r="R7" s="1">
        <f>Depreciation!S12</f>
        <v>389453607.66895866</v>
      </c>
      <c r="S7" s="1">
        <f>Depreciation!T12</f>
        <v>415891000.94926006</v>
      </c>
      <c r="T7" s="1">
        <f>Depreciation!U12</f>
        <v>444227835.37212247</v>
      </c>
      <c r="U7" s="1">
        <f>Depreciation!V12</f>
        <v>474558603.27995074</v>
      </c>
      <c r="V7" s="1">
        <f>Depreciation!W12</f>
        <v>506981899.49733371</v>
      </c>
      <c r="W7" s="1">
        <f>Depreciation!X12</f>
        <v>541600587.12974524</v>
      </c>
      <c r="X7" s="1">
        <f>Depreciation!Y12</f>
        <v>578521969.77242053</v>
      </c>
      <c r="Y7" s="1">
        <f>Depreciation!Z12</f>
        <v>617857970.36988091</v>
      </c>
      <c r="Z7" s="1">
        <f>Depreciation!AA12</f>
        <v>659725316.97540665</v>
      </c>
      <c r="AA7" s="1">
        <f>Depreciation!AB12</f>
        <v>704245735.66890192</v>
      </c>
      <c r="AB7" s="1">
        <f>Depreciation!AC12</f>
        <v>751546150.90107286</v>
      </c>
      <c r="AC7" s="1">
        <f>Depreciation!AD12</f>
        <v>801758893.54165256</v>
      </c>
      <c r="AD7" s="1">
        <f>Depreciation!AE12</f>
        <v>855021916.91958141</v>
      </c>
      <c r="AE7" s="1">
        <f>Depreciation!AF12</f>
        <v>911479021.15358579</v>
      </c>
      <c r="AF7" s="1"/>
      <c r="AG7" s="1"/>
      <c r="AH7" s="1"/>
      <c r="AI7" s="1"/>
      <c r="AJ7" s="1"/>
      <c r="AK7" s="1"/>
      <c r="AL7" s="1"/>
      <c r="AM7" s="1"/>
      <c r="AN7" s="1"/>
      <c r="AO7" s="1"/>
      <c r="AP7" s="1"/>
    </row>
    <row r="8" spans="1:42" x14ac:dyDescent="0.35">
      <c r="A8" t="s">
        <v>190</v>
      </c>
      <c r="B8" s="1">
        <f t="shared" ref="B8:AE8" si="1">B6-B7</f>
        <v>150679487.21471554</v>
      </c>
      <c r="C8" s="1">
        <f t="shared" ca="1" si="1"/>
        <v>149025357.83587849</v>
      </c>
      <c r="D8" s="1">
        <f ca="1">D6-D7</f>
        <v>173888421.60152516</v>
      </c>
      <c r="E8" s="1">
        <f t="shared" ca="1" si="1"/>
        <v>199526738.30961978</v>
      </c>
      <c r="F8" s="1">
        <f t="shared" ca="1" si="1"/>
        <v>225964464.37118301</v>
      </c>
      <c r="G8" s="1">
        <f t="shared" ca="1" si="1"/>
        <v>253226508.34852773</v>
      </c>
      <c r="H8" s="1">
        <f t="shared" ca="1" si="1"/>
        <v>281338554.35677695</v>
      </c>
      <c r="I8" s="1">
        <f t="shared" ca="1" si="1"/>
        <v>310327086.19287574</v>
      </c>
      <c r="J8" s="1">
        <f t="shared" ca="1" si="1"/>
        <v>340219412.21469402</v>
      </c>
      <c r="K8" s="1">
        <f t="shared" ca="1" si="1"/>
        <v>371043690.99351764</v>
      </c>
      <c r="L8" s="1">
        <f t="shared" ca="1" si="1"/>
        <v>402828957.76394868</v>
      </c>
      <c r="M8" s="1">
        <f t="shared" ca="1" si="1"/>
        <v>435605151.69598043</v>
      </c>
      <c r="N8" s="1">
        <f t="shared" ca="1" si="1"/>
        <v>469403144.01478243</v>
      </c>
      <c r="O8" s="1">
        <f t="shared" ca="1" si="1"/>
        <v>504254766.99452162</v>
      </c>
      <c r="P8" s="1">
        <f t="shared" ca="1" si="1"/>
        <v>540192843.85336351</v>
      </c>
      <c r="Q8" s="1">
        <f t="shared" ca="1" si="1"/>
        <v>577251219.57763934</v>
      </c>
      <c r="R8" s="1">
        <f t="shared" ca="1" si="1"/>
        <v>615464792.70403361</v>
      </c>
      <c r="S8" s="1">
        <f t="shared" ca="1" si="1"/>
        <v>654869548.08954</v>
      </c>
      <c r="T8" s="1">
        <f t="shared" ca="1" si="1"/>
        <v>695502590.69986033</v>
      </c>
      <c r="U8" s="1">
        <f t="shared" ca="1" si="1"/>
        <v>737402180.44786823</v>
      </c>
      <c r="V8" s="1">
        <f t="shared" ca="1" si="1"/>
        <v>780607768.11474228</v>
      </c>
      <c r="W8" s="1">
        <f t="shared" ca="1" si="1"/>
        <v>825160032.38738823</v>
      </c>
      <c r="X8" s="1">
        <f t="shared" ca="1" si="1"/>
        <v>871100918.04680455</v>
      </c>
      <c r="Y8" s="1">
        <f t="shared" ca="1" si="1"/>
        <v>918473675.3431294</v>
      </c>
      <c r="Z8" s="1">
        <f t="shared" ca="1" si="1"/>
        <v>967322900.59420943</v>
      </c>
      <c r="AA8" s="1">
        <f t="shared" ca="1" si="1"/>
        <v>1017694578.0456779</v>
      </c>
      <c r="AB8" s="1">
        <f t="shared" ca="1" si="1"/>
        <v>1069636123.0317024</v>
      </c>
      <c r="AC8" s="1">
        <f t="shared" ca="1" si="1"/>
        <v>1123196426.4767842</v>
      </c>
      <c r="AD8" s="1">
        <f t="shared" ca="1" si="1"/>
        <v>1178425900.7802372</v>
      </c>
      <c r="AE8" s="1">
        <f t="shared" ca="1" si="1"/>
        <v>1235376527.1262693</v>
      </c>
      <c r="AF8" s="1"/>
      <c r="AG8" s="1"/>
      <c r="AH8" s="1"/>
      <c r="AI8" s="1"/>
      <c r="AJ8" s="1"/>
      <c r="AK8" s="1"/>
      <c r="AL8" s="1"/>
      <c r="AM8" s="1"/>
      <c r="AN8" s="1"/>
      <c r="AO8" s="1"/>
      <c r="AP8" s="1"/>
    </row>
    <row r="10" spans="1:42" x14ac:dyDescent="0.35">
      <c r="A10" t="s">
        <v>17</v>
      </c>
      <c r="B10" s="1">
        <f>B8-B11</f>
        <v>150679487.21471554</v>
      </c>
      <c r="C10" s="1">
        <f ca="1">C8-C11</f>
        <v>123259990.67817441</v>
      </c>
      <c r="D10" s="1">
        <f ca="1">D8-D11</f>
        <v>123348017.98253545</v>
      </c>
      <c r="E10" s="1">
        <f t="shared" ref="E10:AE10" ca="1" si="2">E8-E11</f>
        <v>127128048.88353027</v>
      </c>
      <c r="F10" s="1">
        <f t="shared" ca="1" si="2"/>
        <v>137516369.96504167</v>
      </c>
      <c r="G10" s="1">
        <f ca="1">G8-G11</f>
        <v>151910240.45193806</v>
      </c>
      <c r="H10" s="1">
        <f t="shared" ca="1" si="2"/>
        <v>169581486.51332071</v>
      </c>
      <c r="I10" s="1">
        <f t="shared" ca="1" si="2"/>
        <v>188901164.48227367</v>
      </c>
      <c r="J10" s="1">
        <f t="shared" ca="1" si="2"/>
        <v>209281280.3324326</v>
      </c>
      <c r="K10" s="1">
        <f t="shared" ca="1" si="2"/>
        <v>230918725.10698611</v>
      </c>
      <c r="L10" s="1">
        <f t="shared" ca="1" si="2"/>
        <v>253489492.57461756</v>
      </c>
      <c r="M10" s="1">
        <f t="shared" ca="1" si="2"/>
        <v>277142967.16870731</v>
      </c>
      <c r="N10" s="1">
        <f t="shared" ca="1" si="2"/>
        <v>302047009.39731967</v>
      </c>
      <c r="O10" s="1">
        <f t="shared" ca="1" si="2"/>
        <v>327719966.34780693</v>
      </c>
      <c r="P10" s="1">
        <f t="shared" ca="1" si="2"/>
        <v>354260773.98111904</v>
      </c>
      <c r="Q10" s="1">
        <f t="shared" ca="1" si="2"/>
        <v>381780094.54887855</v>
      </c>
      <c r="R10" s="1">
        <f t="shared" ca="1" si="2"/>
        <v>410401383.48005515</v>
      </c>
      <c r="S10" s="1">
        <f t="shared" ca="1" si="2"/>
        <v>440262039.08322865</v>
      </c>
      <c r="T10" s="1">
        <f t="shared" ca="1" si="2"/>
        <v>471514640.91540372</v>
      </c>
      <c r="U10" s="1">
        <f t="shared" ca="1" si="2"/>
        <v>504328283.05840302</v>
      </c>
      <c r="V10" s="1">
        <f t="shared" ca="1" si="2"/>
        <v>538386467.10664034</v>
      </c>
      <c r="W10" s="1">
        <f t="shared" ca="1" si="2"/>
        <v>573288322.23038411</v>
      </c>
      <c r="X10" s="1">
        <f t="shared" ca="1" si="2"/>
        <v>609102559.0398742</v>
      </c>
      <c r="Y10" s="1">
        <f t="shared" ca="1" si="2"/>
        <v>645905281.44830728</v>
      </c>
      <c r="Z10" s="1">
        <f t="shared" ca="1" si="2"/>
        <v>683780620.40618181</v>
      </c>
      <c r="AA10" s="1">
        <f t="shared" ca="1" si="2"/>
        <v>722821413.35219419</v>
      </c>
      <c r="AB10" s="1">
        <f t="shared" ca="1" si="2"/>
        <v>762451924.78710175</v>
      </c>
      <c r="AC10" s="1">
        <f t="shared" ca="1" si="2"/>
        <v>799436457.34677386</v>
      </c>
      <c r="AD10" s="1">
        <f t="shared" ca="1" si="2"/>
        <v>833465150.08217549</v>
      </c>
      <c r="AE10" s="1">
        <f t="shared" ca="1" si="2"/>
        <v>864208077.39190805</v>
      </c>
      <c r="AF10" s="1"/>
      <c r="AG10" s="1"/>
      <c r="AH10" s="1"/>
      <c r="AI10" s="1"/>
      <c r="AJ10" s="1"/>
      <c r="AK10" s="1"/>
      <c r="AL10" s="1"/>
      <c r="AM10" s="1"/>
      <c r="AN10" s="1"/>
      <c r="AO10" s="1"/>
    </row>
    <row r="11" spans="1:42" x14ac:dyDescent="0.35">
      <c r="A11" t="s">
        <v>9</v>
      </c>
      <c r="B11" s="1">
        <f>Assumptions!$C$20</f>
        <v>0</v>
      </c>
      <c r="C11" s="1">
        <f ca="1">'Debt worksheet'!D5</f>
        <v>25765367.157704085</v>
      </c>
      <c r="D11" s="1">
        <f ca="1">'Debt worksheet'!E5</f>
        <v>50540403.618989713</v>
      </c>
      <c r="E11" s="1">
        <f ca="1">'Debt worksheet'!F5</f>
        <v>72398689.42608951</v>
      </c>
      <c r="F11" s="1">
        <f ca="1">'Debt worksheet'!G5</f>
        <v>88448094.406141341</v>
      </c>
      <c r="G11" s="1">
        <f ca="1">'Debt worksheet'!H5</f>
        <v>101316267.89658967</v>
      </c>
      <c r="H11" s="1">
        <f ca="1">'Debt worksheet'!I5</f>
        <v>111757067.84345624</v>
      </c>
      <c r="I11" s="1">
        <f ca="1">'Debt worksheet'!J5</f>
        <v>121425921.71060207</v>
      </c>
      <c r="J11" s="1">
        <f ca="1">'Debt worksheet'!K5</f>
        <v>130938131.88226143</v>
      </c>
      <c r="K11" s="1">
        <f ca="1">'Debt worksheet'!L5</f>
        <v>140124965.88653153</v>
      </c>
      <c r="L11" s="1">
        <f ca="1">'Debt worksheet'!M5</f>
        <v>149339465.18933111</v>
      </c>
      <c r="M11" s="1">
        <f ca="1">'Debt worksheet'!N5</f>
        <v>158462184.52727312</v>
      </c>
      <c r="N11" s="1">
        <f ca="1">'Debt worksheet'!O5</f>
        <v>167356134.61746275</v>
      </c>
      <c r="O11" s="1">
        <f ca="1">'Debt worksheet'!P5</f>
        <v>176534800.64671469</v>
      </c>
      <c r="P11" s="1">
        <f ca="1">'Debt worksheet'!Q5</f>
        <v>185932069.87224451</v>
      </c>
      <c r="Q11" s="1">
        <f ca="1">'Debt worksheet'!R5</f>
        <v>195471125.02876082</v>
      </c>
      <c r="R11" s="1">
        <f ca="1">'Debt worksheet'!S5</f>
        <v>205063409.22397846</v>
      </c>
      <c r="S11" s="1">
        <f ca="1">'Debt worksheet'!T5</f>
        <v>214607509.00631136</v>
      </c>
      <c r="T11" s="1">
        <f ca="1">'Debt worksheet'!U5</f>
        <v>223987949.78445664</v>
      </c>
      <c r="U11" s="1">
        <f ca="1">'Debt worksheet'!V5</f>
        <v>233073897.38946521</v>
      </c>
      <c r="V11" s="1">
        <f ca="1">'Debt worksheet'!W5</f>
        <v>242221301.00810188</v>
      </c>
      <c r="W11" s="1">
        <f ca="1">'Debt worksheet'!X5</f>
        <v>251871710.15700412</v>
      </c>
      <c r="X11" s="1">
        <f ca="1">'Debt worksheet'!Y5</f>
        <v>261998359.00693032</v>
      </c>
      <c r="Y11" s="1">
        <f ca="1">'Debt worksheet'!Z5</f>
        <v>272568393.89482218</v>
      </c>
      <c r="Z11" s="1">
        <f ca="1">'Debt worksheet'!AA5</f>
        <v>283542280.18802762</v>
      </c>
      <c r="AA11" s="1">
        <f ca="1">'Debt worksheet'!AB5</f>
        <v>294873164.69348371</v>
      </c>
      <c r="AB11" s="1">
        <f ca="1">'Debt worksheet'!AC5</f>
        <v>307184198.24460071</v>
      </c>
      <c r="AC11" s="1">
        <f ca="1">'Debt worksheet'!AD5</f>
        <v>323759969.13001043</v>
      </c>
      <c r="AD11" s="1">
        <f ca="1">'Debt worksheet'!AE5</f>
        <v>344960750.6980617</v>
      </c>
      <c r="AE11" s="1">
        <f ca="1">'Debt worksheet'!AF5</f>
        <v>371168449.73436129</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150" zoomScaleNormal="15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164</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-867285.27770408697</v>
      </c>
      <c r="D5" s="4">
        <f ca="1">'Profit and Loss'!D9</f>
        <v>919784.03887437494</v>
      </c>
      <c r="E5" s="4">
        <f ca="1">'Profit and Loss'!E9</f>
        <v>4658768.9490653239</v>
      </c>
      <c r="F5" s="4">
        <f ca="1">'Profit and Loss'!F9</f>
        <v>11316195.528310567</v>
      </c>
      <c r="G5" s="4">
        <f ca="1">'Profit and Loss'!G9</f>
        <v>15373126.23418167</v>
      </c>
      <c r="H5" s="4">
        <f ca="1">'Profit and Loss'!H9</f>
        <v>18704221.368951585</v>
      </c>
      <c r="I5" s="4">
        <f ca="1">'Profit and Loss'!I9</f>
        <v>20408808.130778491</v>
      </c>
      <c r="J5" s="4">
        <f ca="1">'Profit and Loss'!J9</f>
        <v>21527937.010198571</v>
      </c>
      <c r="K5" s="4">
        <f ca="1">'Profit and Loss'!K9</f>
        <v>22846597.887407269</v>
      </c>
      <c r="L5" s="4">
        <f ca="1">'Profit and Loss'!L9</f>
        <v>23844002.40941146</v>
      </c>
      <c r="M5" s="4">
        <f ca="1">'Profit and Loss'!M9</f>
        <v>24993654.429059807</v>
      </c>
      <c r="N5" s="4">
        <f ca="1">'Profit and Loss'!N9</f>
        <v>26314147.637356229</v>
      </c>
      <c r="O5" s="4">
        <f ca="1">'Profit and Loss'!O9</f>
        <v>27156090.825575404</v>
      </c>
      <c r="P5" s="4">
        <f ca="1">'Profit and Loss'!P9</f>
        <v>28100199.848651983</v>
      </c>
      <c r="Q5" s="4">
        <f ca="1">'Profit and Loss'!Q9</f>
        <v>29158332.928039286</v>
      </c>
      <c r="R5" s="4">
        <f ca="1">'Profit and Loss'!R9</f>
        <v>30343420.308043748</v>
      </c>
      <c r="S5" s="4">
        <f ca="1">'Profit and Loss'!S9</f>
        <v>31669547.265032865</v>
      </c>
      <c r="T5" s="4">
        <f ca="1">'Profit and Loss'!T9</f>
        <v>33152042.974736184</v>
      </c>
      <c r="U5" s="4">
        <f ca="1">'Profit and Loss'!U9</f>
        <v>34807575.627965093</v>
      </c>
      <c r="V5" s="4">
        <f ca="1">'Profit and Loss'!V9</f>
        <v>36150712.357792169</v>
      </c>
      <c r="W5" s="4">
        <f ca="1">'Profit and Loss'!W9</f>
        <v>37097246.538772307</v>
      </c>
      <c r="X5" s="4">
        <f ca="1">'Profit and Loss'!X9</f>
        <v>38116931.819753915</v>
      </c>
      <c r="Y5" s="4">
        <f ca="1">'Profit and Loss'!Y9</f>
        <v>39217340.363218047</v>
      </c>
      <c r="Z5" s="4">
        <f ca="1">'Profit and Loss'!Z9</f>
        <v>40406684.965939939</v>
      </c>
      <c r="AA5" s="4">
        <f ca="1">'Profit and Loss'!AA9</f>
        <v>41693865.033982001</v>
      </c>
      <c r="AB5" s="4">
        <f ca="1">'Profit and Loss'!AB9</f>
        <v>42410507.973583058</v>
      </c>
      <c r="AC5" s="4">
        <f ca="1">'Profit and Loss'!AC9</f>
        <v>39896859.968080752</v>
      </c>
      <c r="AD5" s="4">
        <f ca="1">'Profit and Loss'!AD9</f>
        <v>37078973.47275091</v>
      </c>
      <c r="AE5" s="4">
        <f ca="1">'Profit and Loss'!AE9</f>
        <v>33937008.16580826</v>
      </c>
      <c r="AF5" s="4">
        <f ca="1">'Profit and Loss'!AF9</f>
        <v>30450070.768919844</v>
      </c>
      <c r="AG5" s="4"/>
      <c r="AH5" s="4"/>
      <c r="AI5" s="4"/>
      <c r="AJ5" s="4"/>
      <c r="AK5" s="4"/>
      <c r="AL5" s="4"/>
      <c r="AM5" s="4"/>
      <c r="AN5" s="4"/>
      <c r="AO5" s="4"/>
      <c r="AP5" s="4"/>
    </row>
    <row r="6" spans="1:42" x14ac:dyDescent="0.35">
      <c r="A6" t="s">
        <v>21</v>
      </c>
      <c r="C6" s="4">
        <f>Depreciation!C8+Depreciation!C9</f>
        <v>5317762.7852844438</v>
      </c>
      <c r="D6" s="4">
        <f>Depreciation!D8+Depreciation!D9</f>
        <v>6104606.8864173852</v>
      </c>
      <c r="E6" s="4">
        <f>Depreciation!E8+Depreciation!E9</f>
        <v>6936363.6209307043</v>
      </c>
      <c r="F6" s="4">
        <f>Depreciation!F8+Depreciation!F9</f>
        <v>7815101.6690011844</v>
      </c>
      <c r="G6" s="4">
        <f>Depreciation!G8+Depreciation!G9</f>
        <v>8742976.1158003435</v>
      </c>
      <c r="H6" s="4">
        <f>Depreciation!H8+Depreciation!H9</f>
        <v>9722231.8630855884</v>
      </c>
      <c r="I6" s="4">
        <f>Depreciation!I8+Depreciation!I9</f>
        <v>10755207.170654511</v>
      </c>
      <c r="J6" s="4">
        <f>Depreciation!J8+Depreciation!J9</f>
        <v>11844337.332480047</v>
      </c>
      <c r="K6" s="4">
        <f>Depreciation!K8+Depreciation!K9</f>
        <v>12992158.492519666</v>
      </c>
      <c r="L6" s="4">
        <f>Depreciation!L8+Depreciation!L9</f>
        <v>14201311.60537336</v>
      </c>
      <c r="M6" s="4">
        <f>Depreciation!M8+Depreciation!M9</f>
        <v>15474546.547153352</v>
      </c>
      <c r="N6" s="4">
        <f>Depreciation!N8+Depreciation!N9</f>
        <v>16814726.382123359</v>
      </c>
      <c r="O6" s="4">
        <f>Depreciation!O8+Depreciation!O9</f>
        <v>18224831.790867165</v>
      </c>
      <c r="P6" s="4">
        <f>Depreciation!P8+Depreciation!P9</f>
        <v>19707965.665955272</v>
      </c>
      <c r="Q6" s="4">
        <f>Depreciation!Q8+Depreciation!Q9</f>
        <v>21267357.881295171</v>
      </c>
      <c r="R6" s="4">
        <f>Depreciation!R8+Depreciation!R9</f>
        <v>22906370.241574895</v>
      </c>
      <c r="S6" s="4">
        <f>Depreciation!S8+Depreciation!S9</f>
        <v>24628501.61844207</v>
      </c>
      <c r="T6" s="4">
        <f>Depreciation!T8+Depreciation!T9</f>
        <v>26437393.28030137</v>
      </c>
      <c r="U6" s="4">
        <f>Depreciation!U8+Depreciation!U9</f>
        <v>28336834.422862377</v>
      </c>
      <c r="V6" s="4">
        <f>Depreciation!V8+Depreciation!V9</f>
        <v>30330767.907828268</v>
      </c>
      <c r="W6" s="4">
        <f>Depreciation!W8+Depreciation!W9</f>
        <v>32423296.217382967</v>
      </c>
      <c r="X6" s="4">
        <f>Depreciation!X8+Depreciation!X9</f>
        <v>34618687.632411532</v>
      </c>
      <c r="Y6" s="4">
        <f>Depreciation!Y8+Depreciation!Y9</f>
        <v>36921382.642675333</v>
      </c>
      <c r="Z6" s="4">
        <f>Depreciation!Z8+Depreciation!Z9</f>
        <v>39336000.597460441</v>
      </c>
      <c r="AA6" s="4">
        <f>Depreciation!AA8+Depreciation!AA9</f>
        <v>41867346.605525695</v>
      </c>
      <c r="AB6" s="4">
        <f>Depreciation!AB8+Depreciation!AB9</f>
        <v>44520418.693495311</v>
      </c>
      <c r="AC6" s="4">
        <f>Depreciation!AC8+Depreciation!AC9</f>
        <v>47300415.232170939</v>
      </c>
      <c r="AD6" s="4">
        <f>Depreciation!AD8+Depreciation!AD9</f>
        <v>50212742.640579671</v>
      </c>
      <c r="AE6" s="4">
        <f>Depreciation!AE8+Depreciation!AE9</f>
        <v>53263023.377928808</v>
      </c>
      <c r="AF6" s="4">
        <f>Depreciation!AF8+Depreciation!AF9</f>
        <v>56457104.234004334</v>
      </c>
      <c r="AG6" s="4"/>
      <c r="AH6" s="4"/>
      <c r="AI6" s="4"/>
      <c r="AJ6" s="4"/>
      <c r="AK6" s="4"/>
      <c r="AL6" s="4"/>
      <c r="AM6" s="4"/>
      <c r="AN6" s="4"/>
      <c r="AO6" s="4"/>
      <c r="AP6" s="4"/>
    </row>
    <row r="7" spans="1:42" x14ac:dyDescent="0.35">
      <c r="A7" t="s">
        <v>23</v>
      </c>
      <c r="C7" s="4">
        <f ca="1">C6+C5</f>
        <v>4450477.5075803567</v>
      </c>
      <c r="D7" s="4">
        <f ca="1">D6+D5</f>
        <v>7024390.9252917599</v>
      </c>
      <c r="E7" s="4">
        <f t="shared" ref="E7:AF7" ca="1" si="1">E6+E5</f>
        <v>11595132.569996029</v>
      </c>
      <c r="F7" s="4">
        <f t="shared" ca="1" si="1"/>
        <v>19131297.197311752</v>
      </c>
      <c r="G7" s="4">
        <f ca="1">G6+G5</f>
        <v>24116102.349982016</v>
      </c>
      <c r="H7" s="4">
        <f t="shared" ca="1" si="1"/>
        <v>28426453.232037172</v>
      </c>
      <c r="I7" s="4">
        <f t="shared" ca="1" si="1"/>
        <v>31164015.301433004</v>
      </c>
      <c r="J7" s="4">
        <f t="shared" ca="1" si="1"/>
        <v>33372274.342678618</v>
      </c>
      <c r="K7" s="4">
        <f t="shared" ca="1" si="1"/>
        <v>35838756.379926935</v>
      </c>
      <c r="L7" s="4">
        <f t="shared" ca="1" si="1"/>
        <v>38045314.01478482</v>
      </c>
      <c r="M7" s="4">
        <f t="shared" ca="1" si="1"/>
        <v>40468200.976213157</v>
      </c>
      <c r="N7" s="4">
        <f t="shared" ca="1" si="1"/>
        <v>43128874.019479588</v>
      </c>
      <c r="O7" s="4">
        <f t="shared" ca="1" si="1"/>
        <v>45380922.616442569</v>
      </c>
      <c r="P7" s="4">
        <f t="shared" ca="1" si="1"/>
        <v>47808165.514607251</v>
      </c>
      <c r="Q7" s="4">
        <f t="shared" ca="1" si="1"/>
        <v>50425690.809334457</v>
      </c>
      <c r="R7" s="4">
        <f t="shared" ca="1" si="1"/>
        <v>53249790.549618647</v>
      </c>
      <c r="S7" s="4">
        <f t="shared" ca="1" si="1"/>
        <v>56298048.883474931</v>
      </c>
      <c r="T7" s="4">
        <f t="shared" ca="1" si="1"/>
        <v>59589436.255037554</v>
      </c>
      <c r="U7" s="4">
        <f t="shared" ca="1" si="1"/>
        <v>63144410.050827473</v>
      </c>
      <c r="V7" s="4">
        <f t="shared" ca="1" si="1"/>
        <v>66481480.26562044</v>
      </c>
      <c r="W7" s="4">
        <f t="shared" ca="1" si="1"/>
        <v>69520542.756155282</v>
      </c>
      <c r="X7" s="4">
        <f t="shared" ca="1" si="1"/>
        <v>72735619.452165455</v>
      </c>
      <c r="Y7" s="4">
        <f t="shared" ca="1" si="1"/>
        <v>76138723.005893379</v>
      </c>
      <c r="Z7" s="4">
        <f t="shared" ca="1" si="1"/>
        <v>79742685.563400388</v>
      </c>
      <c r="AA7" s="4">
        <f t="shared" ca="1" si="1"/>
        <v>83561211.639507696</v>
      </c>
      <c r="AB7" s="4">
        <f t="shared" ca="1" si="1"/>
        <v>86930926.667078376</v>
      </c>
      <c r="AC7" s="4">
        <f t="shared" ca="1" si="1"/>
        <v>87197275.200251698</v>
      </c>
      <c r="AD7" s="4">
        <f t="shared" ca="1" si="1"/>
        <v>87291716.113330573</v>
      </c>
      <c r="AE7" s="4">
        <f t="shared" ca="1" si="1"/>
        <v>87200031.543737069</v>
      </c>
      <c r="AF7" s="4">
        <f t="shared" ca="1" si="1"/>
        <v>86907175.002924174</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30215844.665284444</v>
      </c>
      <c r="D10" s="9">
        <f>Investment!D25</f>
        <v>31799427.386577386</v>
      </c>
      <c r="E10" s="9">
        <f>Investment!E25</f>
        <v>33453418.377095822</v>
      </c>
      <c r="F10" s="9">
        <f>Investment!F25</f>
        <v>35180702.177363582</v>
      </c>
      <c r="G10" s="9">
        <f>Investment!G25</f>
        <v>36984275.840430349</v>
      </c>
      <c r="H10" s="9">
        <f>Investment!H25</f>
        <v>38867253.178903744</v>
      </c>
      <c r="I10" s="9">
        <f>Investment!I25</f>
        <v>40832869.168578841</v>
      </c>
      <c r="J10" s="9">
        <f>Investment!J25</f>
        <v>42884484.514337964</v>
      </c>
      <c r="K10" s="9">
        <f>Investment!K25</f>
        <v>45025590.384197041</v>
      </c>
      <c r="L10" s="9">
        <f>Investment!L25</f>
        <v>47259813.31758441</v>
      </c>
      <c r="M10" s="9">
        <f>Investment!M25</f>
        <v>49590920.314155154</v>
      </c>
      <c r="N10" s="9">
        <f>Investment!N25</f>
        <v>52022824.109669209</v>
      </c>
      <c r="O10" s="9">
        <f>Investment!O25</f>
        <v>54559588.645694487</v>
      </c>
      <c r="P10" s="9">
        <f>Investment!P25</f>
        <v>57205434.740137063</v>
      </c>
      <c r="Q10" s="9">
        <f>Investment!Q25</f>
        <v>59964745.96585077</v>
      </c>
      <c r="R10" s="9">
        <f>Investment!R25</f>
        <v>62842074.744836286</v>
      </c>
      <c r="S10" s="9">
        <f>Investment!S25</f>
        <v>65842148.665807836</v>
      </c>
      <c r="T10" s="9">
        <f>Investment!T25</f>
        <v>68969877.03318283</v>
      </c>
      <c r="U10" s="9">
        <f>Investment!U25</f>
        <v>72230357.655836046</v>
      </c>
      <c r="V10" s="9">
        <f>Investment!V25</f>
        <v>75628883.884257093</v>
      </c>
      <c r="W10" s="9">
        <f>Investment!W25</f>
        <v>79170951.90505752</v>
      </c>
      <c r="X10" s="9">
        <f>Investment!X25</f>
        <v>82862268.302091658</v>
      </c>
      <c r="Y10" s="9">
        <f>Investment!Y25</f>
        <v>86708757.893785223</v>
      </c>
      <c r="Z10" s="9">
        <f>Investment!Z25</f>
        <v>90716571.856605843</v>
      </c>
      <c r="AA10" s="9">
        <f>Investment!AA25</f>
        <v>94892096.144963771</v>
      </c>
      <c r="AB10" s="9">
        <f>Investment!AB25</f>
        <v>99241960.218195394</v>
      </c>
      <c r="AC10" s="9">
        <f>Investment!AC25</f>
        <v>103773046.08566141</v>
      </c>
      <c r="AD10" s="9">
        <f>Investment!AD25</f>
        <v>108492497.68138185</v>
      </c>
      <c r="AE10" s="9">
        <f>Investment!AE25</f>
        <v>113407730.58003667</v>
      </c>
      <c r="AF10" s="9">
        <f>Investment!AF25</f>
        <v>118526442.06657963</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-25765367.157704085</v>
      </c>
      <c r="D12" s="1">
        <f t="shared" ref="D12:AF12" ca="1" si="2">D7-D9-D10</f>
        <v>-24775036.461285628</v>
      </c>
      <c r="E12" s="1">
        <f ca="1">E7-E9-E10</f>
        <v>-21858285.807099793</v>
      </c>
      <c r="F12" s="1">
        <f t="shared" ca="1" si="2"/>
        <v>-16049404.98005183</v>
      </c>
      <c r="G12" s="1">
        <f ca="1">G7-G9-G10</f>
        <v>-12868173.490448333</v>
      </c>
      <c r="H12" s="1">
        <f t="shared" ca="1" si="2"/>
        <v>-10440799.946866572</v>
      </c>
      <c r="I12" s="1">
        <f t="shared" ca="1" si="2"/>
        <v>-9668853.8671458364</v>
      </c>
      <c r="J12" s="1">
        <f t="shared" ca="1" si="2"/>
        <v>-9512210.1716593467</v>
      </c>
      <c r="K12" s="1">
        <f t="shared" ca="1" si="2"/>
        <v>-9186834.0042701066</v>
      </c>
      <c r="L12" s="1">
        <f t="shared" ca="1" si="2"/>
        <v>-9214499.3027995899</v>
      </c>
      <c r="M12" s="1">
        <f t="shared" ca="1" si="2"/>
        <v>-9122719.3379419968</v>
      </c>
      <c r="N12" s="1">
        <f t="shared" ca="1" si="2"/>
        <v>-8893950.0901896209</v>
      </c>
      <c r="O12" s="1">
        <f t="shared" ca="1" si="2"/>
        <v>-9178666.0292519182</v>
      </c>
      <c r="P12" s="1">
        <f t="shared" ca="1" si="2"/>
        <v>-9397269.2255298123</v>
      </c>
      <c r="Q12" s="1">
        <f t="shared" ca="1" si="2"/>
        <v>-9539055.1565163136</v>
      </c>
      <c r="R12" s="1">
        <f t="shared" ca="1" si="2"/>
        <v>-9592284.1952176392</v>
      </c>
      <c r="S12" s="1">
        <f t="shared" ca="1" si="2"/>
        <v>-9544099.7823329046</v>
      </c>
      <c r="T12" s="1">
        <f t="shared" ca="1" si="2"/>
        <v>-9380440.778145276</v>
      </c>
      <c r="U12" s="1">
        <f t="shared" ca="1" si="2"/>
        <v>-9085947.6050085723</v>
      </c>
      <c r="V12" s="1">
        <f t="shared" ca="1" si="2"/>
        <v>-9147403.6186366528</v>
      </c>
      <c r="W12" s="1">
        <f t="shared" ca="1" si="2"/>
        <v>-9650409.1489022374</v>
      </c>
      <c r="X12" s="1">
        <f t="shared" ca="1" si="2"/>
        <v>-10126648.849926203</v>
      </c>
      <c r="Y12" s="1">
        <f t="shared" ca="1" si="2"/>
        <v>-10570034.887891844</v>
      </c>
      <c r="Z12" s="1">
        <f t="shared" ca="1" si="2"/>
        <v>-10973886.293205455</v>
      </c>
      <c r="AA12" s="1">
        <f t="shared" ca="1" si="2"/>
        <v>-11330884.505456075</v>
      </c>
      <c r="AB12" s="1">
        <f t="shared" ca="1" si="2"/>
        <v>-12311033.551117018</v>
      </c>
      <c r="AC12" s="1">
        <f t="shared" ca="1" si="2"/>
        <v>-16575770.885409713</v>
      </c>
      <c r="AD12" s="1">
        <f t="shared" ca="1" si="2"/>
        <v>-21200781.568051279</v>
      </c>
      <c r="AE12" s="1">
        <f t="shared" ca="1" si="2"/>
        <v>-26207699.036299601</v>
      </c>
      <c r="AF12" s="1">
        <f t="shared" ca="1" si="2"/>
        <v>-31619267.063655451</v>
      </c>
      <c r="AG12" s="1"/>
      <c r="AH12" s="1"/>
      <c r="AI12" s="1"/>
      <c r="AJ12" s="1"/>
      <c r="AK12" s="1"/>
      <c r="AL12" s="1"/>
      <c r="AM12" s="1"/>
      <c r="AN12" s="1"/>
      <c r="AO12" s="1"/>
      <c r="AP12" s="1"/>
    </row>
    <row r="13" spans="1:42" x14ac:dyDescent="0.35">
      <c r="A13" t="s">
        <v>19</v>
      </c>
      <c r="C13" s="1">
        <f ca="1">C12</f>
        <v>-25765367.157704085</v>
      </c>
      <c r="D13" s="1">
        <f ca="1">D12</f>
        <v>-24775036.461285628</v>
      </c>
      <c r="E13" s="1">
        <f ca="1">E12</f>
        <v>-21858285.807099793</v>
      </c>
      <c r="F13" s="1">
        <f t="shared" ref="F13:AF13" ca="1" si="3">F12</f>
        <v>-16049404.98005183</v>
      </c>
      <c r="G13" s="1">
        <f ca="1">G12</f>
        <v>-12868173.490448333</v>
      </c>
      <c r="H13" s="1">
        <f t="shared" ca="1" si="3"/>
        <v>-10440799.946866572</v>
      </c>
      <c r="I13" s="1">
        <f t="shared" ca="1" si="3"/>
        <v>-9668853.8671458364</v>
      </c>
      <c r="J13" s="1">
        <f t="shared" ca="1" si="3"/>
        <v>-9512210.1716593467</v>
      </c>
      <c r="K13" s="1">
        <f t="shared" ca="1" si="3"/>
        <v>-9186834.0042701066</v>
      </c>
      <c r="L13" s="1">
        <f t="shared" ca="1" si="3"/>
        <v>-9214499.3027995899</v>
      </c>
      <c r="M13" s="1">
        <f t="shared" ca="1" si="3"/>
        <v>-9122719.3379419968</v>
      </c>
      <c r="N13" s="1">
        <f t="shared" ca="1" si="3"/>
        <v>-8893950.0901896209</v>
      </c>
      <c r="O13" s="1">
        <f t="shared" ca="1" si="3"/>
        <v>-9178666.0292519182</v>
      </c>
      <c r="P13" s="1">
        <f t="shared" ca="1" si="3"/>
        <v>-9397269.2255298123</v>
      </c>
      <c r="Q13" s="1">
        <f t="shared" ca="1" si="3"/>
        <v>-9539055.1565163136</v>
      </c>
      <c r="R13" s="1">
        <f t="shared" ca="1" si="3"/>
        <v>-9592284.1952176392</v>
      </c>
      <c r="S13" s="1">
        <f t="shared" ca="1" si="3"/>
        <v>-9544099.7823329046</v>
      </c>
      <c r="T13" s="1">
        <f t="shared" ca="1" si="3"/>
        <v>-9380440.778145276</v>
      </c>
      <c r="U13" s="1">
        <f t="shared" ca="1" si="3"/>
        <v>-9085947.6050085723</v>
      </c>
      <c r="V13" s="1">
        <f t="shared" ca="1" si="3"/>
        <v>-9147403.6186366528</v>
      </c>
      <c r="W13" s="1">
        <f t="shared" ca="1" si="3"/>
        <v>-9650409.1489022374</v>
      </c>
      <c r="X13" s="1">
        <f t="shared" ca="1" si="3"/>
        <v>-10126648.849926203</v>
      </c>
      <c r="Y13" s="1">
        <f t="shared" ca="1" si="3"/>
        <v>-10570034.887891844</v>
      </c>
      <c r="Z13" s="1">
        <f t="shared" ca="1" si="3"/>
        <v>-10973886.293205455</v>
      </c>
      <c r="AA13" s="1">
        <f t="shared" ca="1" si="3"/>
        <v>-11330884.505456075</v>
      </c>
      <c r="AB13" s="1">
        <f t="shared" ca="1" si="3"/>
        <v>-12311033.551117018</v>
      </c>
      <c r="AC13" s="1">
        <f t="shared" ca="1" si="3"/>
        <v>-16575770.885409713</v>
      </c>
      <c r="AD13" s="1">
        <f t="shared" ca="1" si="3"/>
        <v>-21200781.568051279</v>
      </c>
      <c r="AE13" s="1">
        <f t="shared" ca="1" si="3"/>
        <v>-26207699.036299601</v>
      </c>
      <c r="AF13" s="1">
        <f t="shared" ca="1" si="3"/>
        <v>-31619267.063655451</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120" zoomScaleNormal="12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138</v>
      </c>
      <c r="C6" s="9">
        <f>Assumptions!C17</f>
        <v>311994499.99999994</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155997249.99999997</v>
      </c>
      <c r="D7" s="9">
        <f>C12</f>
        <v>161315012.7852844</v>
      </c>
      <c r="E7" s="9">
        <f>D12</f>
        <v>167419619.67170179</v>
      </c>
      <c r="F7" s="9">
        <f t="shared" ref="F7:H7" si="1">E12</f>
        <v>174355983.29263249</v>
      </c>
      <c r="G7" s="9">
        <f t="shared" si="1"/>
        <v>182171084.96163368</v>
      </c>
      <c r="H7" s="9">
        <f t="shared" si="1"/>
        <v>190914061.07743403</v>
      </c>
      <c r="I7" s="9">
        <f t="shared" ref="I7" si="2">H12</f>
        <v>200636292.94051963</v>
      </c>
      <c r="J7" s="9">
        <f t="shared" ref="J7" si="3">I12</f>
        <v>211391500.11117417</v>
      </c>
      <c r="K7" s="9">
        <f t="shared" ref="K7" si="4">J12</f>
        <v>223235837.44365424</v>
      </c>
      <c r="L7" s="9">
        <f t="shared" ref="L7" si="5">K12</f>
        <v>236227995.93617392</v>
      </c>
      <c r="M7" s="9">
        <f t="shared" ref="M7" si="6">L12</f>
        <v>250429307.5415473</v>
      </c>
      <c r="N7" s="9">
        <f t="shared" ref="N7" si="7">M12</f>
        <v>265903854.08870065</v>
      </c>
      <c r="O7" s="9">
        <f t="shared" ref="O7" si="8">N12</f>
        <v>282718580.470824</v>
      </c>
      <c r="P7" s="9">
        <f t="shared" ref="P7" si="9">O12</f>
        <v>300943412.26169121</v>
      </c>
      <c r="Q7" s="9">
        <f t="shared" ref="Q7" si="10">P12</f>
        <v>320651377.92764652</v>
      </c>
      <c r="R7" s="9">
        <f t="shared" ref="R7" si="11">Q12</f>
        <v>341918735.80894172</v>
      </c>
      <c r="S7" s="9">
        <f t="shared" ref="S7" si="12">R12</f>
        <v>364825106.05051661</v>
      </c>
      <c r="T7" s="9">
        <f t="shared" ref="T7" si="13">S12</f>
        <v>389453607.66895866</v>
      </c>
      <c r="U7" s="9">
        <f t="shared" ref="U7" si="14">T12</f>
        <v>415891000.94926006</v>
      </c>
      <c r="V7" s="9">
        <f t="shared" ref="V7" si="15">U12</f>
        <v>444227835.37212247</v>
      </c>
      <c r="W7" s="9">
        <f t="shared" ref="W7" si="16">V12</f>
        <v>474558603.27995074</v>
      </c>
      <c r="X7" s="9">
        <f t="shared" ref="X7" si="17">W12</f>
        <v>506981899.49733371</v>
      </c>
      <c r="Y7" s="9">
        <f t="shared" ref="Y7" si="18">X12</f>
        <v>541600587.12974524</v>
      </c>
      <c r="Z7" s="9">
        <f t="shared" ref="Z7" si="19">Y12</f>
        <v>578521969.77242053</v>
      </c>
      <c r="AA7" s="9">
        <f t="shared" ref="AA7" si="20">Z12</f>
        <v>617857970.36988091</v>
      </c>
      <c r="AB7" s="9">
        <f t="shared" ref="AB7" si="21">AA12</f>
        <v>659725316.97540665</v>
      </c>
      <c r="AC7" s="9">
        <f t="shared" ref="AC7" si="22">AB12</f>
        <v>704245735.66890192</v>
      </c>
      <c r="AD7" s="9">
        <f t="shared" ref="AD7" si="23">AC12</f>
        <v>751546150.90107286</v>
      </c>
      <c r="AE7" s="9">
        <f t="shared" ref="AE7" si="24">AD12</f>
        <v>801758893.54165256</v>
      </c>
      <c r="AF7" s="9">
        <f t="shared" ref="AF7" si="25">AE12</f>
        <v>855021916.91958141</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139</v>
      </c>
      <c r="C8" s="9">
        <f>Assumptions!D111*Assumptions!D11</f>
        <v>4720208.8201644439</v>
      </c>
      <c r="D8" s="9">
        <f>Assumptions!E111*Assumptions!E11</f>
        <v>4871255.5024097059</v>
      </c>
      <c r="E8" s="9">
        <f>Assumptions!F111*Assumptions!F11</f>
        <v>5027135.6784868157</v>
      </c>
      <c r="F8" s="9">
        <f>Assumptions!G111*Assumptions!G11</f>
        <v>5188004.0201983945</v>
      </c>
      <c r="G8" s="9">
        <f>Assumptions!H111*Assumptions!H11</f>
        <v>5354020.1488447431</v>
      </c>
      <c r="H8" s="9">
        <f>Assumptions!I111*Assumptions!I11</f>
        <v>5525348.7936077742</v>
      </c>
      <c r="I8" s="9">
        <f>Assumptions!J111*Assumptions!J11</f>
        <v>5702159.9550032225</v>
      </c>
      <c r="J8" s="9">
        <f>Assumptions!K111*Assumptions!K11</f>
        <v>5884629.0735633262</v>
      </c>
      <c r="K8" s="9">
        <f>Assumptions!L111*Assumptions!L11</f>
        <v>6072937.2039173534</v>
      </c>
      <c r="L8" s="9">
        <f>Assumptions!M111*Assumptions!M11</f>
        <v>6267271.194442708</v>
      </c>
      <c r="M8" s="9">
        <f>Assumptions!N111*Assumptions!N11</f>
        <v>6467823.8726648744</v>
      </c>
      <c r="N8" s="9">
        <f>Assumptions!O111*Assumptions!O11</f>
        <v>6674794.2365901507</v>
      </c>
      <c r="O8" s="9">
        <f>Assumptions!P111*Assumptions!P11</f>
        <v>6888387.6521610357</v>
      </c>
      <c r="P8" s="9">
        <f>Assumptions!Q111*Assumptions!Q11</f>
        <v>7108816.0570301879</v>
      </c>
      <c r="Q8" s="9">
        <f>Assumptions!R111*Assumptions!R11</f>
        <v>7336298.1708551524</v>
      </c>
      <c r="R8" s="9">
        <f>Assumptions!S111*Assumptions!S11</f>
        <v>7571059.7123225192</v>
      </c>
      <c r="S8" s="9">
        <f>Assumptions!T111*Assumptions!T11</f>
        <v>7813333.6231168406</v>
      </c>
      <c r="T8" s="9">
        <f>Assumptions!U111*Assumptions!U11</f>
        <v>8063360.2990565784</v>
      </c>
      <c r="U8" s="9">
        <f>Assumptions!V111*Assumptions!V11</f>
        <v>8321387.8286263878</v>
      </c>
      <c r="V8" s="9">
        <f>Assumptions!W111*Assumptions!W11</f>
        <v>8587672.2391424328</v>
      </c>
      <c r="W8" s="9">
        <f>Assumptions!X111*Assumptions!X11</f>
        <v>8862477.7507949919</v>
      </c>
      <c r="X8" s="9">
        <f>Assumptions!Y111*Assumptions!Y11</f>
        <v>9146077.0388204306</v>
      </c>
      <c r="Y8" s="9">
        <f>Assumptions!Z111*Assumptions!Z11</f>
        <v>9438751.5040626843</v>
      </c>
      <c r="Z8" s="9">
        <f>Assumptions!AA111*Assumptions!AA11</f>
        <v>9740791.5521926899</v>
      </c>
      <c r="AA8" s="9">
        <f>Assumptions!AB111*Assumptions!AB11</f>
        <v>10052496.881862858</v>
      </c>
      <c r="AB8" s="9">
        <f>Assumptions!AC111*Assumptions!AC11</f>
        <v>10374176.782082468</v>
      </c>
      <c r="AC8" s="9">
        <f>Assumptions!AD111*Assumptions!AD11</f>
        <v>10706150.439109106</v>
      </c>
      <c r="AD8" s="9">
        <f>Assumptions!AE111*Assumptions!AE11</f>
        <v>11048747.2531606</v>
      </c>
      <c r="AE8" s="9">
        <f>Assumptions!AF111*Assumptions!AF11</f>
        <v>11402307.165261738</v>
      </c>
      <c r="AF8" s="9">
        <f>Assumptions!AG111*Assumptions!AG11</f>
        <v>11767180.994550111</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597553.96511999995</v>
      </c>
      <c r="D9" s="9">
        <f>Assumptions!E120*Assumptions!E11</f>
        <v>1233351.3840076798</v>
      </c>
      <c r="E9" s="9">
        <f>Assumptions!F120*Assumptions!F11</f>
        <v>1909227.9424438884</v>
      </c>
      <c r="F9" s="9">
        <f>Assumptions!G120*Assumptions!G11</f>
        <v>2627097.6488027903</v>
      </c>
      <c r="G9" s="9">
        <f>Assumptions!H120*Assumptions!H11</f>
        <v>3388955.9669555998</v>
      </c>
      <c r="H9" s="9">
        <f>Assumptions!I120*Assumptions!I11</f>
        <v>4196883.0694778142</v>
      </c>
      <c r="I9" s="9">
        <f>Assumptions!J120*Assumptions!J11</f>
        <v>5053047.2156512886</v>
      </c>
      <c r="J9" s="9">
        <f>Assumptions!K120*Assumptions!K11</f>
        <v>5959708.2589167207</v>
      </c>
      <c r="K9" s="9">
        <f>Assumptions!L120*Assumptions!L11</f>
        <v>6919221.288602313</v>
      </c>
      <c r="L9" s="9">
        <f>Assumptions!M120*Assumptions!M11</f>
        <v>7934040.4109306531</v>
      </c>
      <c r="M9" s="9">
        <f>Assumptions!N120*Assumptions!N11</f>
        <v>9006722.6744884774</v>
      </c>
      <c r="N9" s="9">
        <f>Assumptions!O120*Assumptions!O11</f>
        <v>10139932.145533208</v>
      </c>
      <c r="O9" s="9">
        <f>Assumptions!P120*Assumptions!P11</f>
        <v>11336444.138706127</v>
      </c>
      <c r="P9" s="9">
        <f>Assumptions!Q120*Assumptions!Q11</f>
        <v>12599149.608925084</v>
      </c>
      <c r="Q9" s="9">
        <f>Assumptions!R120*Assumptions!R11</f>
        <v>13931059.710440019</v>
      </c>
      <c r="R9" s="9">
        <f>Assumptions!S120*Assumptions!S11</f>
        <v>15335310.529252375</v>
      </c>
      <c r="S9" s="9">
        <f>Assumptions!T120*Assumptions!T11</f>
        <v>16815167.99532523</v>
      </c>
      <c r="T9" s="9">
        <f>Assumptions!U120*Assumptions!U11</f>
        <v>18374032.981244791</v>
      </c>
      <c r="U9" s="9">
        <f>Assumptions!V120*Assumptions!V11</f>
        <v>20015446.59423599</v>
      </c>
      <c r="V9" s="9">
        <f>Assumptions!W120*Assumptions!W11</f>
        <v>21743095.668685835</v>
      </c>
      <c r="W9" s="9">
        <f>Assumptions!X120*Assumptions!X11</f>
        <v>23560818.466587976</v>
      </c>
      <c r="X9" s="9">
        <f>Assumptions!Y120*Assumptions!Y11</f>
        <v>25472610.593591101</v>
      </c>
      <c r="Y9" s="9">
        <f>Assumptions!Z120*Assumptions!Z11</f>
        <v>27482631.13861265</v>
      </c>
      <c r="Z9" s="9">
        <f>Assumptions!AA120*Assumptions!AA11</f>
        <v>29595209.04526775</v>
      </c>
      <c r="AA9" s="9">
        <f>Assumptions!AB120*Assumptions!AB11</f>
        <v>31814849.723662838</v>
      </c>
      <c r="AB9" s="9">
        <f>Assumptions!AC120*Assumptions!AC11</f>
        <v>34146241.911412843</v>
      </c>
      <c r="AC9" s="9">
        <f>Assumptions!AD120*Assumptions!AD11</f>
        <v>36594264.79306183</v>
      </c>
      <c r="AD9" s="9">
        <f>Assumptions!AE120*Assumptions!AE11</f>
        <v>39163995.387419067</v>
      </c>
      <c r="AE9" s="9">
        <f>Assumptions!AF120*Assumptions!AF11</f>
        <v>41860716.21266707</v>
      </c>
      <c r="AF9" s="9">
        <f>Assumptions!AG120*Assumptions!AG11</f>
        <v>44689923.239454225</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5317762.7852844438</v>
      </c>
      <c r="D10" s="9">
        <f>SUM($C$8:D9)</f>
        <v>11422369.67170183</v>
      </c>
      <c r="E10" s="9">
        <f>SUM($C$8:E9)</f>
        <v>18358733.292632535</v>
      </c>
      <c r="F10" s="9">
        <f>SUM($C$8:F9)</f>
        <v>26173834.96163372</v>
      </c>
      <c r="G10" s="9">
        <f>SUM($C$8:G9)</f>
        <v>34916811.077434063</v>
      </c>
      <c r="H10" s="9">
        <f>SUM($C$8:H9)</f>
        <v>44639042.940519646</v>
      </c>
      <c r="I10" s="9">
        <f>SUM($C$8:I9)</f>
        <v>55394250.111174151</v>
      </c>
      <c r="J10" s="9">
        <f>SUM($C$8:J9)</f>
        <v>67238587.443654209</v>
      </c>
      <c r="K10" s="9">
        <f>SUM($C$8:K9)</f>
        <v>80230745.936173856</v>
      </c>
      <c r="L10" s="9">
        <f>SUM($C$8:L9)</f>
        <v>94432057.541547224</v>
      </c>
      <c r="M10" s="9">
        <f>SUM($C$8:M9)</f>
        <v>109906604.08870056</v>
      </c>
      <c r="N10" s="9">
        <f>SUM($C$8:N9)</f>
        <v>126721330.47082394</v>
      </c>
      <c r="O10" s="9">
        <f>SUM($C$8:O9)</f>
        <v>144946162.26169109</v>
      </c>
      <c r="P10" s="9">
        <f>SUM($C$8:P9)</f>
        <v>164654127.92764634</v>
      </c>
      <c r="Q10" s="9">
        <f>SUM($C$8:Q9)</f>
        <v>185921485.80894151</v>
      </c>
      <c r="R10" s="9">
        <f>SUM($C$8:R9)</f>
        <v>208827856.05051643</v>
      </c>
      <c r="S10" s="9">
        <f>SUM($C$8:S9)</f>
        <v>233456357.66895851</v>
      </c>
      <c r="T10" s="9">
        <f>SUM($C$8:T9)</f>
        <v>259893750.94925991</v>
      </c>
      <c r="U10" s="9">
        <f>SUM($C$8:U9)</f>
        <v>288230585.37212229</v>
      </c>
      <c r="V10" s="9">
        <f>SUM($C$8:V9)</f>
        <v>318561353.27995062</v>
      </c>
      <c r="W10" s="9">
        <f>SUM($C$8:W9)</f>
        <v>350984649.49733353</v>
      </c>
      <c r="X10" s="9">
        <f>SUM($C$8:X9)</f>
        <v>385603337.12974507</v>
      </c>
      <c r="Y10" s="9">
        <f>SUM($C$8:Y9)</f>
        <v>422524719.77242041</v>
      </c>
      <c r="Z10" s="9">
        <f>SUM($C$8:Z9)</f>
        <v>461860720.36988086</v>
      </c>
      <c r="AA10" s="9">
        <f>SUM($C$8:AA9)</f>
        <v>503728066.97540653</v>
      </c>
      <c r="AB10" s="9">
        <f>SUM($C$8:AB9)</f>
        <v>548248485.66890192</v>
      </c>
      <c r="AC10" s="9">
        <f>SUM($C$8:AC9)</f>
        <v>595548900.90107286</v>
      </c>
      <c r="AD10" s="9">
        <f>SUM($C$8:AD9)</f>
        <v>645761643.54165256</v>
      </c>
      <c r="AE10" s="9">
        <f>SUM($C$8:AE9)</f>
        <v>699024666.91958141</v>
      </c>
      <c r="AF10" s="9">
        <f>SUM($C$8:AF9)</f>
        <v>755481771.15358579</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161315012.7852844</v>
      </c>
      <c r="D12" s="9">
        <f>D7+D8+D9</f>
        <v>167419619.67170179</v>
      </c>
      <c r="E12" s="9">
        <f>E7+E8+E9</f>
        <v>174355983.29263249</v>
      </c>
      <c r="F12" s="9">
        <f t="shared" ref="F12:H12" si="26">F7+F8+F9</f>
        <v>182171084.96163368</v>
      </c>
      <c r="G12" s="9">
        <f t="shared" si="26"/>
        <v>190914061.07743403</v>
      </c>
      <c r="H12" s="9">
        <f t="shared" si="26"/>
        <v>200636292.94051963</v>
      </c>
      <c r="I12" s="9">
        <f t="shared" ref="I12:AF12" si="27">I7+I8+I9</f>
        <v>211391500.11117417</v>
      </c>
      <c r="J12" s="9">
        <f t="shared" si="27"/>
        <v>223235837.44365424</v>
      </c>
      <c r="K12" s="9">
        <f t="shared" si="27"/>
        <v>236227995.93617392</v>
      </c>
      <c r="L12" s="9">
        <f t="shared" si="27"/>
        <v>250429307.5415473</v>
      </c>
      <c r="M12" s="9">
        <f t="shared" si="27"/>
        <v>265903854.08870065</v>
      </c>
      <c r="N12" s="9">
        <f t="shared" si="27"/>
        <v>282718580.470824</v>
      </c>
      <c r="O12" s="9">
        <f t="shared" si="27"/>
        <v>300943412.26169121</v>
      </c>
      <c r="P12" s="9">
        <f t="shared" si="27"/>
        <v>320651377.92764652</v>
      </c>
      <c r="Q12" s="9">
        <f t="shared" si="27"/>
        <v>341918735.80894172</v>
      </c>
      <c r="R12" s="9">
        <f t="shared" si="27"/>
        <v>364825106.05051661</v>
      </c>
      <c r="S12" s="9">
        <f t="shared" si="27"/>
        <v>389453607.66895866</v>
      </c>
      <c r="T12" s="9">
        <f t="shared" si="27"/>
        <v>415891000.94926006</v>
      </c>
      <c r="U12" s="9">
        <f t="shared" si="27"/>
        <v>444227835.37212247</v>
      </c>
      <c r="V12" s="9">
        <f t="shared" si="27"/>
        <v>474558603.27995074</v>
      </c>
      <c r="W12" s="9">
        <f t="shared" si="27"/>
        <v>506981899.49733371</v>
      </c>
      <c r="X12" s="9">
        <f t="shared" si="27"/>
        <v>541600587.12974524</v>
      </c>
      <c r="Y12" s="9">
        <f t="shared" si="27"/>
        <v>578521969.77242053</v>
      </c>
      <c r="Z12" s="9">
        <f t="shared" si="27"/>
        <v>617857970.36988091</v>
      </c>
      <c r="AA12" s="9">
        <f t="shared" si="27"/>
        <v>659725316.97540665</v>
      </c>
      <c r="AB12" s="9">
        <f t="shared" si="27"/>
        <v>704245735.66890192</v>
      </c>
      <c r="AC12" s="9">
        <f t="shared" si="27"/>
        <v>751546150.90107286</v>
      </c>
      <c r="AD12" s="9">
        <f t="shared" si="27"/>
        <v>801758893.54165256</v>
      </c>
      <c r="AE12" s="9">
        <f t="shared" si="27"/>
        <v>855021916.91958141</v>
      </c>
      <c r="AF12" s="9">
        <f t="shared" si="27"/>
        <v>911479021.15358579</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30215844.665284444</v>
      </c>
      <c r="D18" s="9">
        <f>Investment!D25</f>
        <v>31799427.386577386</v>
      </c>
      <c r="E18" s="9">
        <f>Investment!E25</f>
        <v>33453418.377095822</v>
      </c>
      <c r="F18" s="9">
        <f>Investment!F25</f>
        <v>35180702.177363582</v>
      </c>
      <c r="G18" s="9">
        <f>Investment!G25</f>
        <v>36984275.840430349</v>
      </c>
      <c r="H18" s="9">
        <f>Investment!H25</f>
        <v>38867253.178903744</v>
      </c>
      <c r="I18" s="9">
        <f>Investment!I25</f>
        <v>40832869.168578841</v>
      </c>
      <c r="J18" s="9">
        <f>Investment!J25</f>
        <v>42884484.514337964</v>
      </c>
      <c r="K18" s="9">
        <f>Investment!K25</f>
        <v>45025590.384197041</v>
      </c>
      <c r="L18" s="9">
        <f>Investment!L25</f>
        <v>47259813.31758441</v>
      </c>
      <c r="M18" s="9">
        <f>Investment!M25</f>
        <v>49590920.314155154</v>
      </c>
      <c r="N18" s="9">
        <f>Investment!N25</f>
        <v>52022824.109669209</v>
      </c>
      <c r="O18" s="9">
        <f>Investment!O25</f>
        <v>54559588.645694487</v>
      </c>
      <c r="P18" s="9">
        <f>Investment!P25</f>
        <v>57205434.740137063</v>
      </c>
      <c r="Q18" s="9">
        <f>Investment!Q25</f>
        <v>59964745.96585077</v>
      </c>
      <c r="R18" s="9">
        <f>Investment!R25</f>
        <v>62842074.744836286</v>
      </c>
      <c r="S18" s="9">
        <f>Investment!S25</f>
        <v>65842148.665807836</v>
      </c>
      <c r="T18" s="9">
        <f>Investment!T25</f>
        <v>68969877.03318283</v>
      </c>
      <c r="U18" s="9">
        <f>Investment!U25</f>
        <v>72230357.655836046</v>
      </c>
      <c r="V18" s="9">
        <f>Investment!V25</f>
        <v>75628883.884257093</v>
      </c>
      <c r="W18" s="9">
        <f>Investment!W25</f>
        <v>79170951.90505752</v>
      </c>
      <c r="X18" s="9">
        <f>Investment!X25</f>
        <v>82862268.302091658</v>
      </c>
      <c r="Y18" s="9">
        <f>Investment!Y25</f>
        <v>86708757.893785223</v>
      </c>
      <c r="Z18" s="9">
        <f>Investment!Z25</f>
        <v>90716571.856605843</v>
      </c>
      <c r="AA18" s="9">
        <f>Investment!AA25</f>
        <v>94892096.144963771</v>
      </c>
      <c r="AB18" s="9">
        <f>Investment!AB25</f>
        <v>99241960.218195394</v>
      </c>
      <c r="AC18" s="9">
        <f>Investment!AC25</f>
        <v>103773046.08566141</v>
      </c>
      <c r="AD18" s="9">
        <f>Investment!AD25</f>
        <v>108492497.68138185</v>
      </c>
      <c r="AE18" s="9">
        <f>Investment!AE25</f>
        <v>113407730.58003667</v>
      </c>
      <c r="AF18" s="9">
        <f>Investment!AF25</f>
        <v>118526442.06657963</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186213094.66528443</v>
      </c>
      <c r="D19" s="9">
        <f>D18+C20</f>
        <v>212694759.26657739</v>
      </c>
      <c r="E19" s="9">
        <f>E18+D20</f>
        <v>240043570.75725582</v>
      </c>
      <c r="F19" s="9">
        <f t="shared" ref="F19:AF19" si="28">F18+E20</f>
        <v>268287909.3136887</v>
      </c>
      <c r="G19" s="9">
        <f t="shared" si="28"/>
        <v>297457083.48511785</v>
      </c>
      <c r="H19" s="9">
        <f t="shared" si="28"/>
        <v>327581360.54822129</v>
      </c>
      <c r="I19" s="9">
        <f t="shared" si="28"/>
        <v>358691997.85371459</v>
      </c>
      <c r="J19" s="9">
        <f t="shared" si="28"/>
        <v>390821275.19739807</v>
      </c>
      <c r="K19" s="9">
        <f t="shared" si="28"/>
        <v>424002528.24911505</v>
      </c>
      <c r="L19" s="9">
        <f t="shared" si="28"/>
        <v>458270183.07417983</v>
      </c>
      <c r="M19" s="9">
        <f t="shared" si="28"/>
        <v>493659791.78296167</v>
      </c>
      <c r="N19" s="9">
        <f t="shared" si="28"/>
        <v>530208069.34547752</v>
      </c>
      <c r="O19" s="9">
        <f t="shared" si="28"/>
        <v>567952931.6090486</v>
      </c>
      <c r="P19" s="9">
        <f t="shared" si="28"/>
        <v>606933534.55831861</v>
      </c>
      <c r="Q19" s="9">
        <f t="shared" si="28"/>
        <v>647190314.85821414</v>
      </c>
      <c r="R19" s="9">
        <f t="shared" si="28"/>
        <v>688765031.72175527</v>
      </c>
      <c r="S19" s="9">
        <f t="shared" si="28"/>
        <v>731700810.14598823</v>
      </c>
      <c r="T19" s="9">
        <f t="shared" si="28"/>
        <v>776042185.56072903</v>
      </c>
      <c r="U19" s="9">
        <f t="shared" si="28"/>
        <v>821835149.9362638</v>
      </c>
      <c r="V19" s="9">
        <f t="shared" si="28"/>
        <v>869127199.39765847</v>
      </c>
      <c r="W19" s="9">
        <f t="shared" si="28"/>
        <v>917967383.3948878</v>
      </c>
      <c r="X19" s="9">
        <f t="shared" si="28"/>
        <v>968406355.47959638</v>
      </c>
      <c r="Y19" s="9">
        <f t="shared" si="28"/>
        <v>1020496425.7409701</v>
      </c>
      <c r="Z19" s="9">
        <f t="shared" si="28"/>
        <v>1074291614.9549007</v>
      </c>
      <c r="AA19" s="9">
        <f t="shared" si="28"/>
        <v>1129847710.5024042</v>
      </c>
      <c r="AB19" s="9">
        <f t="shared" si="28"/>
        <v>1187222324.1150739</v>
      </c>
      <c r="AC19" s="9">
        <f t="shared" si="28"/>
        <v>1246474951.5072398</v>
      </c>
      <c r="AD19" s="9">
        <f t="shared" si="28"/>
        <v>1307667033.9564509</v>
      </c>
      <c r="AE19" s="9">
        <f t="shared" si="28"/>
        <v>1370862021.8959079</v>
      </c>
      <c r="AF19" s="9">
        <f t="shared" si="28"/>
        <v>1436125440.5845587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180895331.88</v>
      </c>
      <c r="D20" s="9">
        <f>D19-D8-D9</f>
        <v>206590152.38016</v>
      </c>
      <c r="E20" s="9">
        <f t="shared" ref="E20:AF20" si="29">E19-E8-E9</f>
        <v>233107207.13632512</v>
      </c>
      <c r="F20" s="9">
        <f t="shared" si="29"/>
        <v>260472807.6446875</v>
      </c>
      <c r="G20" s="9">
        <f t="shared" si="29"/>
        <v>288714107.36931753</v>
      </c>
      <c r="H20" s="9">
        <f t="shared" si="29"/>
        <v>317859128.68513572</v>
      </c>
      <c r="I20" s="9">
        <f t="shared" si="29"/>
        <v>347936790.68306011</v>
      </c>
      <c r="J20" s="9">
        <f t="shared" si="29"/>
        <v>378976937.86491799</v>
      </c>
      <c r="K20" s="9">
        <f t="shared" si="29"/>
        <v>411010369.75659543</v>
      </c>
      <c r="L20" s="9">
        <f t="shared" si="29"/>
        <v>444068871.46880651</v>
      </c>
      <c r="M20" s="9">
        <f t="shared" si="29"/>
        <v>478185245.23580831</v>
      </c>
      <c r="N20" s="9">
        <f t="shared" si="29"/>
        <v>513393342.96335417</v>
      </c>
      <c r="O20" s="9">
        <f t="shared" si="29"/>
        <v>549728099.81818151</v>
      </c>
      <c r="P20" s="9">
        <f t="shared" si="29"/>
        <v>587225568.89236331</v>
      </c>
      <c r="Q20" s="9">
        <f t="shared" si="29"/>
        <v>625922956.97691894</v>
      </c>
      <c r="R20" s="9">
        <f t="shared" si="29"/>
        <v>665858661.48018038</v>
      </c>
      <c r="S20" s="9">
        <f t="shared" si="29"/>
        <v>707072308.52754617</v>
      </c>
      <c r="T20" s="9">
        <f t="shared" si="29"/>
        <v>749604792.28042769</v>
      </c>
      <c r="U20" s="9">
        <f t="shared" si="29"/>
        <v>793498315.51340139</v>
      </c>
      <c r="V20" s="9">
        <f t="shared" si="29"/>
        <v>838796431.48983026</v>
      </c>
      <c r="W20" s="9">
        <f t="shared" si="29"/>
        <v>885544087.17750478</v>
      </c>
      <c r="X20" s="9">
        <f t="shared" si="29"/>
        <v>933787667.8471849</v>
      </c>
      <c r="Y20" s="9">
        <f t="shared" si="29"/>
        <v>983575043.09829485</v>
      </c>
      <c r="Z20" s="9">
        <f t="shared" si="29"/>
        <v>1034955614.3574404</v>
      </c>
      <c r="AA20" s="9">
        <f t="shared" si="29"/>
        <v>1087980363.8968785</v>
      </c>
      <c r="AB20" s="9">
        <f t="shared" si="29"/>
        <v>1142701905.4215784</v>
      </c>
      <c r="AC20" s="9">
        <f t="shared" si="29"/>
        <v>1199174536.275069</v>
      </c>
      <c r="AD20" s="9">
        <f t="shared" si="29"/>
        <v>1257454291.3158712</v>
      </c>
      <c r="AE20" s="9">
        <f t="shared" si="29"/>
        <v>1317598998.5179791</v>
      </c>
      <c r="AF20" s="9">
        <f t="shared" si="29"/>
        <v>1379668336.3505542</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0</v>
      </c>
      <c r="D22" s="9">
        <f ca="1">'Balance Sheet'!C11</f>
        <v>25765367.157704085</v>
      </c>
      <c r="E22" s="9">
        <f ca="1">'Balance Sheet'!D11</f>
        <v>50540403.618989713</v>
      </c>
      <c r="F22" s="9">
        <f ca="1">'Balance Sheet'!E11</f>
        <v>72398689.42608951</v>
      </c>
      <c r="G22" s="9">
        <f ca="1">'Balance Sheet'!F11</f>
        <v>88448094.406141341</v>
      </c>
      <c r="H22" s="9">
        <f ca="1">'Balance Sheet'!G11</f>
        <v>101316267.89658967</v>
      </c>
      <c r="I22" s="9">
        <f ca="1">'Balance Sheet'!H11</f>
        <v>111757067.84345624</v>
      </c>
      <c r="J22" s="9">
        <f ca="1">'Balance Sheet'!I11</f>
        <v>121425921.71060207</v>
      </c>
      <c r="K22" s="9">
        <f ca="1">'Balance Sheet'!J11</f>
        <v>130938131.88226143</v>
      </c>
      <c r="L22" s="9">
        <f ca="1">'Balance Sheet'!K11</f>
        <v>140124965.88653153</v>
      </c>
      <c r="M22" s="9">
        <f ca="1">'Balance Sheet'!L11</f>
        <v>149339465.18933111</v>
      </c>
      <c r="N22" s="9">
        <f ca="1">'Balance Sheet'!M11</f>
        <v>158462184.52727312</v>
      </c>
      <c r="O22" s="9">
        <f ca="1">'Balance Sheet'!N11</f>
        <v>167356134.61746275</v>
      </c>
      <c r="P22" s="9">
        <f ca="1">'Balance Sheet'!O11</f>
        <v>176534800.64671469</v>
      </c>
      <c r="Q22" s="9">
        <f ca="1">'Balance Sheet'!P11</f>
        <v>185932069.87224451</v>
      </c>
      <c r="R22" s="9">
        <f ca="1">'Balance Sheet'!Q11</f>
        <v>195471125.02876082</v>
      </c>
      <c r="S22" s="9">
        <f ca="1">'Balance Sheet'!R11</f>
        <v>205063409.22397846</v>
      </c>
      <c r="T22" s="9">
        <f ca="1">'Balance Sheet'!S11</f>
        <v>214607509.00631136</v>
      </c>
      <c r="U22" s="9">
        <f ca="1">'Balance Sheet'!T11</f>
        <v>223987949.78445664</v>
      </c>
      <c r="V22" s="9">
        <f ca="1">'Balance Sheet'!U11</f>
        <v>233073897.38946521</v>
      </c>
      <c r="W22" s="9">
        <f ca="1">'Balance Sheet'!V11</f>
        <v>242221301.00810188</v>
      </c>
      <c r="X22" s="9">
        <f ca="1">'Balance Sheet'!W11</f>
        <v>251871710.15700412</v>
      </c>
      <c r="Y22" s="9">
        <f ca="1">'Balance Sheet'!X11</f>
        <v>261998359.00693032</v>
      </c>
      <c r="Z22" s="9">
        <f ca="1">'Balance Sheet'!Y11</f>
        <v>272568393.89482218</v>
      </c>
      <c r="AA22" s="9">
        <f ca="1">'Balance Sheet'!Z11</f>
        <v>283542280.18802762</v>
      </c>
      <c r="AB22" s="9">
        <f ca="1">'Balance Sheet'!AA11</f>
        <v>294873164.69348371</v>
      </c>
      <c r="AC22" s="9">
        <f ca="1">'Balance Sheet'!AB11</f>
        <v>307184198.24460071</v>
      </c>
      <c r="AD22" s="9">
        <f ca="1">'Balance Sheet'!AC11</f>
        <v>323759969.13001043</v>
      </c>
      <c r="AE22" s="9">
        <f ca="1">'Balance Sheet'!AD11</f>
        <v>344960750.6980617</v>
      </c>
      <c r="AF22" s="9">
        <f ca="1">'Balance Sheet'!AE11</f>
        <v>371168449.73436129</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180895331.88</v>
      </c>
      <c r="D23" s="9">
        <f t="shared" ref="D23:AF23" ca="1" si="30">D20-D22</f>
        <v>180824785.22245592</v>
      </c>
      <c r="E23" s="9">
        <f t="shared" ca="1" si="30"/>
        <v>182566803.51733541</v>
      </c>
      <c r="F23" s="9">
        <f t="shared" ca="1" si="30"/>
        <v>188074118.21859801</v>
      </c>
      <c r="G23" s="9">
        <f t="shared" ca="1" si="30"/>
        <v>200266012.96317619</v>
      </c>
      <c r="H23" s="9">
        <f t="shared" ca="1" si="30"/>
        <v>216542860.78854606</v>
      </c>
      <c r="I23" s="9">
        <f t="shared" ca="1" si="30"/>
        <v>236179722.83960387</v>
      </c>
      <c r="J23" s="9">
        <f ca="1">J20-J22</f>
        <v>257551016.15431592</v>
      </c>
      <c r="K23" s="9">
        <f t="shared" ca="1" si="30"/>
        <v>280072237.87433398</v>
      </c>
      <c r="L23" s="9">
        <f t="shared" ca="1" si="30"/>
        <v>303943905.58227497</v>
      </c>
      <c r="M23" s="9">
        <f t="shared" ca="1" si="30"/>
        <v>328845780.0464772</v>
      </c>
      <c r="N23" s="9">
        <f t="shared" ca="1" si="30"/>
        <v>354931158.43608105</v>
      </c>
      <c r="O23" s="9">
        <f t="shared" ca="1" si="30"/>
        <v>382371965.20071876</v>
      </c>
      <c r="P23" s="9">
        <f t="shared" ca="1" si="30"/>
        <v>410690768.24564862</v>
      </c>
      <c r="Q23" s="9">
        <f t="shared" ca="1" si="30"/>
        <v>439990887.10467446</v>
      </c>
      <c r="R23" s="9">
        <f t="shared" ca="1" si="30"/>
        <v>470387536.45141959</v>
      </c>
      <c r="S23" s="9">
        <f t="shared" ca="1" si="30"/>
        <v>502008899.30356771</v>
      </c>
      <c r="T23" s="9">
        <f t="shared" ca="1" si="30"/>
        <v>534997283.27411634</v>
      </c>
      <c r="U23" s="9">
        <f t="shared" ca="1" si="30"/>
        <v>569510365.72894478</v>
      </c>
      <c r="V23" s="9">
        <f t="shared" ca="1" si="30"/>
        <v>605722534.10036504</v>
      </c>
      <c r="W23" s="9">
        <f t="shared" ca="1" si="30"/>
        <v>643322786.16940284</v>
      </c>
      <c r="X23" s="9">
        <f t="shared" ca="1" si="30"/>
        <v>681915957.69018078</v>
      </c>
      <c r="Y23" s="9">
        <f t="shared" ca="1" si="30"/>
        <v>721576684.0913645</v>
      </c>
      <c r="Z23" s="9">
        <f t="shared" ca="1" si="30"/>
        <v>762387220.46261811</v>
      </c>
      <c r="AA23" s="9">
        <f t="shared" ca="1" si="30"/>
        <v>804438083.70885086</v>
      </c>
      <c r="AB23" s="9">
        <f t="shared" ca="1" si="30"/>
        <v>847828740.7280947</v>
      </c>
      <c r="AC23" s="9">
        <f t="shared" ca="1" si="30"/>
        <v>891990338.03046823</v>
      </c>
      <c r="AD23" s="9">
        <f t="shared" ca="1" si="30"/>
        <v>933694322.18586087</v>
      </c>
      <c r="AE23" s="9">
        <f t="shared" ca="1" si="30"/>
        <v>972638247.81991744</v>
      </c>
      <c r="AF23" s="9">
        <f t="shared" ca="1" si="30"/>
        <v>1008499886.6161929</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145" zoomScaleNormal="145"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165</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0</v>
      </c>
      <c r="D5" s="1">
        <f ca="1">C5+C6</f>
        <v>25765367.157704085</v>
      </c>
      <c r="E5" s="1">
        <f t="shared" ref="E5:AF5" ca="1" si="1">D5+D6</f>
        <v>50540403.618989713</v>
      </c>
      <c r="F5" s="1">
        <f t="shared" ca="1" si="1"/>
        <v>72398689.42608951</v>
      </c>
      <c r="G5" s="1">
        <f t="shared" ca="1" si="1"/>
        <v>88448094.406141341</v>
      </c>
      <c r="H5" s="1">
        <f t="shared" ca="1" si="1"/>
        <v>101316267.89658967</v>
      </c>
      <c r="I5" s="1">
        <f t="shared" ca="1" si="1"/>
        <v>111757067.84345624</v>
      </c>
      <c r="J5" s="1">
        <f t="shared" ca="1" si="1"/>
        <v>121425921.71060207</v>
      </c>
      <c r="K5" s="1">
        <f t="shared" ca="1" si="1"/>
        <v>130938131.88226143</v>
      </c>
      <c r="L5" s="1">
        <f t="shared" ca="1" si="1"/>
        <v>140124965.88653153</v>
      </c>
      <c r="M5" s="1">
        <f t="shared" ca="1" si="1"/>
        <v>149339465.18933111</v>
      </c>
      <c r="N5" s="1">
        <f t="shared" ca="1" si="1"/>
        <v>158462184.52727312</v>
      </c>
      <c r="O5" s="1">
        <f t="shared" ca="1" si="1"/>
        <v>167356134.61746275</v>
      </c>
      <c r="P5" s="1">
        <f t="shared" ca="1" si="1"/>
        <v>176534800.64671469</v>
      </c>
      <c r="Q5" s="1">
        <f t="shared" ca="1" si="1"/>
        <v>185932069.87224451</v>
      </c>
      <c r="R5" s="1">
        <f t="shared" ca="1" si="1"/>
        <v>195471125.02876082</v>
      </c>
      <c r="S5" s="1">
        <f t="shared" ca="1" si="1"/>
        <v>205063409.22397846</v>
      </c>
      <c r="T5" s="1">
        <f t="shared" ca="1" si="1"/>
        <v>214607509.00631136</v>
      </c>
      <c r="U5" s="1">
        <f t="shared" ca="1" si="1"/>
        <v>223987949.78445664</v>
      </c>
      <c r="V5" s="1">
        <f t="shared" ca="1" si="1"/>
        <v>233073897.38946521</v>
      </c>
      <c r="W5" s="1">
        <f t="shared" ca="1" si="1"/>
        <v>242221301.00810188</v>
      </c>
      <c r="X5" s="1">
        <f t="shared" ca="1" si="1"/>
        <v>251871710.15700412</v>
      </c>
      <c r="Y5" s="1">
        <f t="shared" ca="1" si="1"/>
        <v>261998359.00693032</v>
      </c>
      <c r="Z5" s="1">
        <f t="shared" ca="1" si="1"/>
        <v>272568393.89482218</v>
      </c>
      <c r="AA5" s="1">
        <f t="shared" ca="1" si="1"/>
        <v>283542280.18802762</v>
      </c>
      <c r="AB5" s="1">
        <f t="shared" ca="1" si="1"/>
        <v>294873164.69348371</v>
      </c>
      <c r="AC5" s="1">
        <f t="shared" ca="1" si="1"/>
        <v>307184198.24460071</v>
      </c>
      <c r="AD5" s="1">
        <f t="shared" ca="1" si="1"/>
        <v>323759969.13001043</v>
      </c>
      <c r="AE5" s="1">
        <f t="shared" ca="1" si="1"/>
        <v>344960750.6980617</v>
      </c>
      <c r="AF5" s="1">
        <f t="shared" ca="1" si="1"/>
        <v>371168449.73436129</v>
      </c>
      <c r="AG5" s="1"/>
      <c r="AH5" s="1"/>
      <c r="AI5" s="1"/>
      <c r="AJ5" s="1"/>
      <c r="AK5" s="1"/>
      <c r="AL5" s="1"/>
      <c r="AM5" s="1"/>
      <c r="AN5" s="1"/>
      <c r="AO5" s="1"/>
      <c r="AP5" s="1"/>
    </row>
    <row r="6" spans="1:42" x14ac:dyDescent="0.35">
      <c r="A6" s="63" t="s">
        <v>3</v>
      </c>
      <c r="C6" s="1">
        <f ca="1">-'Cash Flow'!C13</f>
        <v>25765367.157704085</v>
      </c>
      <c r="D6" s="1">
        <f ca="1">-'Cash Flow'!D13</f>
        <v>24775036.461285628</v>
      </c>
      <c r="E6" s="1">
        <f ca="1">-'Cash Flow'!E13</f>
        <v>21858285.807099793</v>
      </c>
      <c r="F6" s="1">
        <f ca="1">-'Cash Flow'!F13</f>
        <v>16049404.98005183</v>
      </c>
      <c r="G6" s="1">
        <f ca="1">-'Cash Flow'!G13</f>
        <v>12868173.490448333</v>
      </c>
      <c r="H6" s="1">
        <f ca="1">-'Cash Flow'!H13</f>
        <v>10440799.946866572</v>
      </c>
      <c r="I6" s="1">
        <f ca="1">-'Cash Flow'!I13</f>
        <v>9668853.8671458364</v>
      </c>
      <c r="J6" s="1">
        <f ca="1">-'Cash Flow'!J13</f>
        <v>9512210.1716593467</v>
      </c>
      <c r="K6" s="1">
        <f ca="1">-'Cash Flow'!K13</f>
        <v>9186834.0042701066</v>
      </c>
      <c r="L6" s="1">
        <f ca="1">-'Cash Flow'!L13</f>
        <v>9214499.3027995899</v>
      </c>
      <c r="M6" s="1">
        <f ca="1">-'Cash Flow'!M13</f>
        <v>9122719.3379419968</v>
      </c>
      <c r="N6" s="1">
        <f ca="1">-'Cash Flow'!N13</f>
        <v>8893950.0901896209</v>
      </c>
      <c r="O6" s="1">
        <f ca="1">-'Cash Flow'!O13</f>
        <v>9178666.0292519182</v>
      </c>
      <c r="P6" s="1">
        <f ca="1">-'Cash Flow'!P13</f>
        <v>9397269.2255298123</v>
      </c>
      <c r="Q6" s="1">
        <f ca="1">-'Cash Flow'!Q13</f>
        <v>9539055.1565163136</v>
      </c>
      <c r="R6" s="1">
        <f ca="1">-'Cash Flow'!R13</f>
        <v>9592284.1952176392</v>
      </c>
      <c r="S6" s="1">
        <f ca="1">-'Cash Flow'!S13</f>
        <v>9544099.7823329046</v>
      </c>
      <c r="T6" s="1">
        <f ca="1">-'Cash Flow'!T13</f>
        <v>9380440.778145276</v>
      </c>
      <c r="U6" s="1">
        <f ca="1">-'Cash Flow'!U13</f>
        <v>9085947.6050085723</v>
      </c>
      <c r="V6" s="1">
        <f ca="1">-'Cash Flow'!V13</f>
        <v>9147403.6186366528</v>
      </c>
      <c r="W6" s="1">
        <f ca="1">-'Cash Flow'!W13</f>
        <v>9650409.1489022374</v>
      </c>
      <c r="X6" s="1">
        <f ca="1">-'Cash Flow'!X13</f>
        <v>10126648.849926203</v>
      </c>
      <c r="Y6" s="1">
        <f ca="1">-'Cash Flow'!Y13</f>
        <v>10570034.887891844</v>
      </c>
      <c r="Z6" s="1">
        <f ca="1">-'Cash Flow'!Z13</f>
        <v>10973886.293205455</v>
      </c>
      <c r="AA6" s="1">
        <f ca="1">-'Cash Flow'!AA13</f>
        <v>11330884.505456075</v>
      </c>
      <c r="AB6" s="1">
        <f ca="1">-'Cash Flow'!AB13</f>
        <v>12311033.551117018</v>
      </c>
      <c r="AC6" s="1">
        <f ca="1">-'Cash Flow'!AC13</f>
        <v>16575770.885409713</v>
      </c>
      <c r="AD6" s="1">
        <f ca="1">-'Cash Flow'!AD13</f>
        <v>21200781.568051279</v>
      </c>
      <c r="AE6" s="1">
        <f ca="1">-'Cash Flow'!AE13</f>
        <v>26207699.036299601</v>
      </c>
      <c r="AF6" s="1">
        <f ca="1">-'Cash Flow'!AF13</f>
        <v>31619267.063655451</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901787.85051964305</v>
      </c>
      <c r="D8" s="1">
        <f ca="1">IF(SUM(D5:D6)&gt;0,Assumptions!$C$26*SUM(D5:D6),Assumptions!$C$27*(SUM(D5:D6)))</f>
        <v>1768914.1266646401</v>
      </c>
      <c r="E8" s="1">
        <f ca="1">IF(SUM(E5:E6)&gt;0,Assumptions!$C$26*SUM(E5:E6),Assumptions!$C$27*(SUM(E5:E6)))</f>
        <v>2533954.1299131331</v>
      </c>
      <c r="F8" s="1">
        <f ca="1">IF(SUM(F5:F6)&gt;0,Assumptions!$C$26*SUM(F5:F6),Assumptions!$C$27*(SUM(F5:F6)))</f>
        <v>3095683.3042149474</v>
      </c>
      <c r="G8" s="1">
        <f ca="1">IF(SUM(G5:G6)&gt;0,Assumptions!$C$26*SUM(G5:G6),Assumptions!$C$27*(SUM(G5:G6)))</f>
        <v>3546069.3763806387</v>
      </c>
      <c r="H8" s="1">
        <f ca="1">IF(SUM(H5:H6)&gt;0,Assumptions!$C$26*SUM(H5:H6),Assumptions!$C$27*(SUM(H5:H6)))</f>
        <v>3911497.3745209686</v>
      </c>
      <c r="I8" s="1">
        <f ca="1">IF(SUM(I5:I6)&gt;0,Assumptions!$C$26*SUM(I5:I6),Assumptions!$C$27*(SUM(I5:I6)))</f>
        <v>4249907.2598710731</v>
      </c>
      <c r="J8" s="1">
        <f ca="1">IF(SUM(J5:J6)&gt;0,Assumptions!$C$26*SUM(J5:J6),Assumptions!$C$27*(SUM(J5:J6)))</f>
        <v>4582834.6158791501</v>
      </c>
      <c r="K8" s="1">
        <f ca="1">IF(SUM(K5:K6)&gt;0,Assumptions!$C$26*SUM(K5:K6),Assumptions!$C$27*(SUM(K5:K6)))</f>
        <v>4904373.8060286045</v>
      </c>
      <c r="L8" s="1">
        <f ca="1">IF(SUM(L5:L6)&gt;0,Assumptions!$C$26*SUM(L5:L6),Assumptions!$C$27*(SUM(L5:L6)))</f>
        <v>5226881.2816265896</v>
      </c>
      <c r="M8" s="1">
        <f ca="1">IF(SUM(M5:M6)&gt;0,Assumptions!$C$26*SUM(M5:M6),Assumptions!$C$27*(SUM(M5:M6)))</f>
        <v>5546176.4584545596</v>
      </c>
      <c r="N8" s="1">
        <f ca="1">IF(SUM(N5:N6)&gt;0,Assumptions!$C$26*SUM(N5:N6),Assumptions!$C$27*(SUM(N5:N6)))</f>
        <v>5857464.7116111973</v>
      </c>
      <c r="O8" s="1">
        <f ca="1">IF(SUM(O5:O6)&gt;0,Assumptions!$C$26*SUM(O5:O6),Assumptions!$C$27*(SUM(O5:O6)))</f>
        <v>6178718.0226350147</v>
      </c>
      <c r="P8" s="1">
        <f ca="1">IF(SUM(P5:P6)&gt;0,Assumptions!$C$26*SUM(P5:P6),Assumptions!$C$27*(SUM(P5:P6)))</f>
        <v>6507622.4455285585</v>
      </c>
      <c r="Q8" s="1">
        <f ca="1">IF(SUM(Q5:Q6)&gt;0,Assumptions!$C$26*SUM(Q5:Q6),Assumptions!$C$27*(SUM(Q5:Q6)))</f>
        <v>6841489.3760066293</v>
      </c>
      <c r="R8" s="1">
        <f ca="1">IF(SUM(R5:R6)&gt;0,Assumptions!$C$26*SUM(R5:R6),Assumptions!$C$27*(SUM(R5:R6)))</f>
        <v>7177219.3228392471</v>
      </c>
      <c r="S8" s="1">
        <f ca="1">IF(SUM(S5:S6)&gt;0,Assumptions!$C$26*SUM(S5:S6),Assumptions!$C$27*(SUM(S5:S6)))</f>
        <v>7511262.815220898</v>
      </c>
      <c r="T8" s="1">
        <f ca="1">IF(SUM(T5:T6)&gt;0,Assumptions!$C$26*SUM(T5:T6),Assumptions!$C$27*(SUM(T5:T6)))</f>
        <v>7839578.2424559835</v>
      </c>
      <c r="U8" s="1">
        <f ca="1">IF(SUM(U5:U6)&gt;0,Assumptions!$C$26*SUM(U5:U6),Assumptions!$C$27*(SUM(U5:U6)))</f>
        <v>8157586.4086312829</v>
      </c>
      <c r="V8" s="1">
        <f ca="1">IF(SUM(V5:V6)&gt;0,Assumptions!$C$26*SUM(V5:V6),Assumptions!$C$27*(SUM(V5:V6)))</f>
        <v>8477745.5352835674</v>
      </c>
      <c r="W8" s="1">
        <f ca="1">IF(SUM(W5:W6)&gt;0,Assumptions!$C$26*SUM(W5:W6),Assumptions!$C$27*(SUM(W5:W6)))</f>
        <v>8815509.8554951455</v>
      </c>
      <c r="X8" s="1">
        <f ca="1">IF(SUM(X5:X6)&gt;0,Assumptions!$C$26*SUM(X5:X6),Assumptions!$C$27*(SUM(X5:X6)))</f>
        <v>9169942.5652425624</v>
      </c>
      <c r="Y8" s="1">
        <f ca="1">IF(SUM(Y5:Y6)&gt;0,Assumptions!$C$26*SUM(Y5:Y6),Assumptions!$C$27*(SUM(Y5:Y6)))</f>
        <v>9539893.7863187771</v>
      </c>
      <c r="Z8" s="1">
        <f ca="1">IF(SUM(Z5:Z6)&gt;0,Assumptions!$C$26*SUM(Z5:Z6),Assumptions!$C$27*(SUM(Z5:Z6)))</f>
        <v>9923979.8065809682</v>
      </c>
      <c r="AA8" s="1">
        <f ca="1">IF(SUM(AA5:AA6)&gt;0,Assumptions!$C$26*SUM(AA5:AA6),Assumptions!$C$27*(SUM(AA5:AA6)))</f>
        <v>10320560.764271932</v>
      </c>
      <c r="AB8" s="1">
        <f ca="1">IF(SUM(AB5:AB6)&gt;0,Assumptions!$C$26*SUM(AB5:AB6),Assumptions!$C$27*(SUM(AB5:AB6)))</f>
        <v>10751446.938561026</v>
      </c>
      <c r="AC8" s="1">
        <f ca="1">IF(SUM(AC5:AC6)&gt;0,Assumptions!$C$26*SUM(AC5:AC6),Assumptions!$C$27*(SUM(AC5:AC6)))</f>
        <v>11331598.919550367</v>
      </c>
      <c r="AD8" s="1">
        <f ca="1">IF(SUM(AD5:AD6)&gt;0,Assumptions!$C$26*SUM(AD5:AD6),Assumptions!$C$27*(SUM(AD5:AD6)))</f>
        <v>12073626.27443216</v>
      </c>
      <c r="AE8" s="1">
        <f ca="1">IF(SUM(AE5:AE6)&gt;0,Assumptions!$C$26*SUM(AE5:AE6),Assumptions!$C$27*(SUM(AE5:AE6)))</f>
        <v>12990895.740702646</v>
      </c>
      <c r="AF8" s="1">
        <f ca="1">IF(SUM(AF5:AF6)&gt;0,Assumptions!$C$26*SUM(AF5:AF6),Assumptions!$C$27*(SUM(AF5:AF6)))</f>
        <v>14097570.087930586</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70" zoomScaleNormal="70" workbookViewId="0">
      <selection sqref="A1:XFD1048576"/>
    </sheetView>
  </sheetViews>
  <sheetFormatPr defaultRowHeight="15.5" x14ac:dyDescent="0.35"/>
  <cols>
    <col min="1" max="1" width="107.9140625" style="63" customWidth="1"/>
    <col min="2" max="2" width="18.1640625" style="181" bestFit="1" customWidth="1"/>
    <col min="3" max="3" width="62.4140625" style="63" customWidth="1"/>
    <col min="4" max="16384" width="8.6640625" style="63"/>
  </cols>
  <sheetData>
    <row r="1" spans="1:3" ht="26" x14ac:dyDescent="0.6">
      <c r="A1" s="13" t="s">
        <v>184</v>
      </c>
    </row>
    <row r="2" spans="1:3" ht="26" x14ac:dyDescent="0.6">
      <c r="A2" s="13"/>
    </row>
    <row r="3" spans="1:3" ht="186" x14ac:dyDescent="0.35">
      <c r="A3" s="173" t="s">
        <v>187</v>
      </c>
    </row>
    <row r="4" spans="1:3" ht="26" x14ac:dyDescent="0.6">
      <c r="A4" s="13"/>
    </row>
    <row r="5" spans="1:3" ht="18.5" x14ac:dyDescent="0.45">
      <c r="A5" s="89" t="s">
        <v>176</v>
      </c>
      <c r="B5" s="182"/>
    </row>
    <row r="6" spans="1:3" ht="18.5" x14ac:dyDescent="0.45">
      <c r="A6" s="90"/>
      <c r="B6" s="182"/>
    </row>
    <row r="7" spans="1:3" ht="18.5" x14ac:dyDescent="0.45">
      <c r="A7" s="90" t="s">
        <v>96</v>
      </c>
      <c r="B7" s="183">
        <f>Assumptions!C24</f>
        <v>6354000</v>
      </c>
      <c r="C7" s="180" t="s">
        <v>197</v>
      </c>
    </row>
    <row r="8" spans="1:3" ht="34" x14ac:dyDescent="0.45">
      <c r="A8" s="90" t="s">
        <v>173</v>
      </c>
      <c r="B8" s="184">
        <f>Assumptions!$C$133</f>
        <v>0.7</v>
      </c>
      <c r="C8" s="180" t="s">
        <v>199</v>
      </c>
    </row>
    <row r="9" spans="1:3" ht="18.5" x14ac:dyDescent="0.45">
      <c r="A9" s="90"/>
      <c r="B9" s="185"/>
      <c r="C9" s="180"/>
    </row>
    <row r="10" spans="1:3" ht="51" x14ac:dyDescent="0.45">
      <c r="A10" s="94" t="s">
        <v>102</v>
      </c>
      <c r="B10" s="186">
        <f>Assumptions!C135</f>
        <v>3829.5314814814815</v>
      </c>
      <c r="C10" s="180" t="s">
        <v>200</v>
      </c>
    </row>
    <row r="11" spans="1:3" ht="18.5" x14ac:dyDescent="0.45">
      <c r="A11" s="94"/>
      <c r="B11" s="187"/>
      <c r="C11" s="180"/>
    </row>
    <row r="12" spans="1:3" ht="18.5" x14ac:dyDescent="0.45">
      <c r="A12" s="94" t="s">
        <v>183</v>
      </c>
      <c r="B12" s="183">
        <f>(B7*B8)/B10</f>
        <v>1161.4475612769572</v>
      </c>
      <c r="C12" s="180"/>
    </row>
    <row r="13" spans="1:3" ht="18.5" x14ac:dyDescent="0.45">
      <c r="A13" s="96"/>
      <c r="B13" s="188"/>
      <c r="C13" s="180"/>
    </row>
    <row r="14" spans="1:3" ht="18.5" x14ac:dyDescent="0.45">
      <c r="A14" s="94" t="s">
        <v>103</v>
      </c>
      <c r="B14" s="103">
        <v>1</v>
      </c>
      <c r="C14" s="180"/>
    </row>
    <row r="15" spans="1:3" ht="18.5" x14ac:dyDescent="0.45">
      <c r="A15" s="96"/>
      <c r="B15" s="99"/>
      <c r="C15" s="180"/>
    </row>
    <row r="16" spans="1:3" ht="18.5" x14ac:dyDescent="0.45">
      <c r="A16" s="96" t="s">
        <v>178</v>
      </c>
      <c r="B16" s="189">
        <f>B12/B14</f>
        <v>1161.4475612769572</v>
      </c>
      <c r="C16" s="180"/>
    </row>
    <row r="17" spans="1:3" ht="18.5" x14ac:dyDescent="0.45">
      <c r="A17" s="94"/>
      <c r="B17" s="190"/>
      <c r="C17" s="180"/>
    </row>
    <row r="18" spans="1:3" ht="18.5" x14ac:dyDescent="0.45">
      <c r="A18" s="102" t="s">
        <v>177</v>
      </c>
      <c r="B18" s="190"/>
      <c r="C18" s="180"/>
    </row>
    <row r="19" spans="1:3" ht="18.5" x14ac:dyDescent="0.45">
      <c r="A19" s="94"/>
      <c r="B19" s="190"/>
      <c r="C19" s="180"/>
    </row>
    <row r="20" spans="1:3" ht="34" x14ac:dyDescent="0.45">
      <c r="A20" s="94" t="s">
        <v>65</v>
      </c>
      <c r="B20" s="183">
        <f>'Profit and Loss'!L5</f>
        <v>56452641.756476454</v>
      </c>
      <c r="C20" s="180" t="s">
        <v>201</v>
      </c>
    </row>
    <row r="21" spans="1:3" ht="34" x14ac:dyDescent="0.45">
      <c r="A21" s="94" t="str">
        <f>A8</f>
        <v>Assumed revenue from households</v>
      </c>
      <c r="B21" s="184">
        <f>B8</f>
        <v>0.7</v>
      </c>
      <c r="C21" s="180" t="s">
        <v>199</v>
      </c>
    </row>
    <row r="22" spans="1:3" ht="18.5" x14ac:dyDescent="0.45">
      <c r="A22" s="94"/>
      <c r="B22" s="187"/>
      <c r="C22" s="180"/>
    </row>
    <row r="23" spans="1:3" ht="34" x14ac:dyDescent="0.45">
      <c r="A23" s="94" t="s">
        <v>101</v>
      </c>
      <c r="B23" s="186">
        <f>Assumptions!M135</f>
        <v>3829.5314814814815</v>
      </c>
      <c r="C23" s="180" t="s">
        <v>202</v>
      </c>
    </row>
    <row r="24" spans="1:3" ht="18.5" x14ac:dyDescent="0.45">
      <c r="A24" s="94"/>
      <c r="B24" s="187"/>
      <c r="C24" s="180"/>
    </row>
    <row r="25" spans="1:3" ht="18.5" x14ac:dyDescent="0.45">
      <c r="A25" s="94" t="s">
        <v>182</v>
      </c>
      <c r="B25" s="183">
        <f>(B20*B21)/B23</f>
        <v>10318.977509553242</v>
      </c>
      <c r="C25" s="180"/>
    </row>
    <row r="26" spans="1:3" ht="18.5" x14ac:dyDescent="0.45">
      <c r="A26" s="94"/>
      <c r="B26" s="183"/>
      <c r="C26" s="180"/>
    </row>
    <row r="27" spans="1:3" ht="34" x14ac:dyDescent="0.45">
      <c r="A27" s="94" t="s">
        <v>103</v>
      </c>
      <c r="B27" s="103">
        <f>1.022^11</f>
        <v>1.2704566586717592</v>
      </c>
      <c r="C27" s="180" t="s">
        <v>203</v>
      </c>
    </row>
    <row r="28" spans="1:3" ht="18.5" x14ac:dyDescent="0.45">
      <c r="A28" s="96"/>
      <c r="B28" s="188"/>
      <c r="C28" s="180"/>
    </row>
    <row r="29" spans="1:3" ht="18.5" x14ac:dyDescent="0.45">
      <c r="A29" s="96" t="s">
        <v>179</v>
      </c>
      <c r="B29" s="183">
        <f>B25/B27</f>
        <v>8122.2585903414902</v>
      </c>
      <c r="C29" s="180"/>
    </row>
    <row r="30" spans="1:3" ht="18.5" x14ac:dyDescent="0.45">
      <c r="A30" s="96"/>
      <c r="B30" s="188"/>
      <c r="C30" s="180"/>
    </row>
    <row r="31" spans="1:3" ht="18.5" x14ac:dyDescent="0.45">
      <c r="A31" s="102" t="s">
        <v>185</v>
      </c>
      <c r="B31" s="191"/>
      <c r="C31" s="180"/>
    </row>
    <row r="32" spans="1:3" ht="18.5" x14ac:dyDescent="0.45">
      <c r="A32" s="94"/>
      <c r="B32" s="183"/>
      <c r="C32" s="180"/>
    </row>
    <row r="33" spans="1:3" ht="34" x14ac:dyDescent="0.45">
      <c r="A33" s="94" t="s">
        <v>66</v>
      </c>
      <c r="B33" s="183">
        <f>'Profit and Loss'!AF5</f>
        <v>149180380.59942612</v>
      </c>
      <c r="C33" s="180" t="s">
        <v>201</v>
      </c>
    </row>
    <row r="34" spans="1:3" ht="34" x14ac:dyDescent="0.45">
      <c r="A34" s="94" t="str">
        <f>A21</f>
        <v>Assumed revenue from households</v>
      </c>
      <c r="B34" s="184">
        <f>B21</f>
        <v>0.7</v>
      </c>
      <c r="C34" s="180" t="s">
        <v>199</v>
      </c>
    </row>
    <row r="35" spans="1:3" ht="18.5" x14ac:dyDescent="0.45">
      <c r="A35" s="94"/>
      <c r="B35" s="187"/>
      <c r="C35" s="180"/>
    </row>
    <row r="36" spans="1:3" ht="34" x14ac:dyDescent="0.45">
      <c r="A36" s="94" t="s">
        <v>100</v>
      </c>
      <c r="B36" s="186">
        <f>Assumptions!AG135</f>
        <v>3829.5314814814815</v>
      </c>
      <c r="C36" s="180" t="s">
        <v>202</v>
      </c>
    </row>
    <row r="37" spans="1:3" ht="18.5" x14ac:dyDescent="0.45">
      <c r="A37" s="94"/>
      <c r="B37" s="187"/>
      <c r="C37" s="180"/>
    </row>
    <row r="38" spans="1:3" ht="18.5" x14ac:dyDescent="0.45">
      <c r="A38" s="94" t="s">
        <v>181</v>
      </c>
      <c r="B38" s="183">
        <f>(B33*B34)/B36</f>
        <v>27268.679451931348</v>
      </c>
      <c r="C38" s="180"/>
    </row>
    <row r="39" spans="1:3" ht="18.5" x14ac:dyDescent="0.45">
      <c r="A39" s="94"/>
      <c r="B39" s="187"/>
      <c r="C39" s="180"/>
    </row>
    <row r="40" spans="1:3" ht="34" x14ac:dyDescent="0.45">
      <c r="A40" s="94" t="s">
        <v>103</v>
      </c>
      <c r="B40" s="103">
        <f>1.022^31</f>
        <v>1.9632597808456462</v>
      </c>
      <c r="C40" s="180" t="s">
        <v>203</v>
      </c>
    </row>
    <row r="41" spans="1:3" ht="18.5" x14ac:dyDescent="0.45">
      <c r="A41" s="96"/>
      <c r="B41" s="188"/>
    </row>
    <row r="42" spans="1:3" ht="18.5" x14ac:dyDescent="0.45">
      <c r="A42" s="96" t="s">
        <v>180</v>
      </c>
      <c r="B42" s="183">
        <f>B38/B40</f>
        <v>13889.49120130488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70" zoomScaleNormal="7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160</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195</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137</v>
      </c>
      <c r="C13" s="127">
        <v>0</v>
      </c>
      <c r="D13" s="128">
        <f t="shared" ref="D13:AG13" si="3">(1+$C$13)^D8</f>
        <v>1</v>
      </c>
      <c r="E13" s="128">
        <f t="shared" si="3"/>
        <v>1</v>
      </c>
      <c r="F13" s="128">
        <f t="shared" si="3"/>
        <v>1</v>
      </c>
      <c r="G13" s="128">
        <f t="shared" si="3"/>
        <v>1</v>
      </c>
      <c r="H13" s="128">
        <f t="shared" si="3"/>
        <v>1</v>
      </c>
      <c r="I13" s="128">
        <f t="shared" si="3"/>
        <v>1</v>
      </c>
      <c r="J13" s="128">
        <f t="shared" si="3"/>
        <v>1</v>
      </c>
      <c r="K13" s="128">
        <f t="shared" si="3"/>
        <v>1</v>
      </c>
      <c r="L13" s="128">
        <f t="shared" si="3"/>
        <v>1</v>
      </c>
      <c r="M13" s="128">
        <f t="shared" si="3"/>
        <v>1</v>
      </c>
      <c r="N13" s="128">
        <f t="shared" si="3"/>
        <v>1</v>
      </c>
      <c r="O13" s="128">
        <f t="shared" si="3"/>
        <v>1</v>
      </c>
      <c r="P13" s="128">
        <f t="shared" si="3"/>
        <v>1</v>
      </c>
      <c r="Q13" s="128">
        <f t="shared" si="3"/>
        <v>1</v>
      </c>
      <c r="R13" s="128">
        <f t="shared" si="3"/>
        <v>1</v>
      </c>
      <c r="S13" s="128">
        <f t="shared" si="3"/>
        <v>1</v>
      </c>
      <c r="T13" s="128">
        <f t="shared" si="3"/>
        <v>1</v>
      </c>
      <c r="U13" s="128">
        <f t="shared" si="3"/>
        <v>1</v>
      </c>
      <c r="V13" s="128">
        <f t="shared" si="3"/>
        <v>1</v>
      </c>
      <c r="W13" s="128">
        <f t="shared" si="3"/>
        <v>1</v>
      </c>
      <c r="X13" s="128">
        <f t="shared" si="3"/>
        <v>1</v>
      </c>
      <c r="Y13" s="128">
        <f t="shared" si="3"/>
        <v>1</v>
      </c>
      <c r="Z13" s="128">
        <f t="shared" si="3"/>
        <v>1</v>
      </c>
      <c r="AA13" s="128">
        <f t="shared" si="3"/>
        <v>1</v>
      </c>
      <c r="AB13" s="128">
        <f t="shared" si="3"/>
        <v>1</v>
      </c>
      <c r="AC13" s="128">
        <f t="shared" si="3"/>
        <v>1</v>
      </c>
      <c r="AD13" s="128">
        <f t="shared" si="3"/>
        <v>1</v>
      </c>
      <c r="AE13" s="128">
        <f t="shared" si="3"/>
        <v>1</v>
      </c>
      <c r="AF13" s="128">
        <f t="shared" si="3"/>
        <v>1</v>
      </c>
      <c r="AG13" s="128">
        <f t="shared" si="3"/>
        <v>1</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191</v>
      </c>
      <c r="B15" s="178" t="s">
        <v>192</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169</v>
      </c>
      <c r="C17" s="136">
        <f>AVERAGE(C49:C50)</f>
        <v>311994499.99999994</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155997249.99999997</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136</v>
      </c>
      <c r="C20" s="137">
        <v>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158</v>
      </c>
      <c r="B22" s="178" t="s">
        <v>192</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197</v>
      </c>
      <c r="C24" s="136">
        <v>6354000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194</v>
      </c>
      <c r="C25" s="136">
        <v>3365000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159</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249594999.99999997</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374393999.99999994</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170</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170</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737189.79221991904</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1563905.0780679723</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1150547.4351439457</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2009373.6030860236</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4010507.7527246284</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3009940.6779053258</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4573845.7559732981</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140</v>
      </c>
      <c r="B77" s="70" t="s">
        <v>175</v>
      </c>
      <c r="C77" s="87">
        <v>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141</v>
      </c>
      <c r="B79" s="69" t="s">
        <v>154</v>
      </c>
      <c r="C79" s="87">
        <v>1838996947.6628835</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142</v>
      </c>
      <c r="B80" s="69" t="s">
        <v>154</v>
      </c>
      <c r="C80" s="87">
        <v>831086718.4496181</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143</v>
      </c>
      <c r="B82" s="69" t="s">
        <v>86</v>
      </c>
      <c r="C82" s="87">
        <f>C79+$C$77</f>
        <v>1838996947.6628835</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144</v>
      </c>
      <c r="B83" s="69" t="s">
        <v>86</v>
      </c>
      <c r="C83" s="87">
        <f>C80+$C$77</f>
        <v>831086718.4496181</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149</v>
      </c>
      <c r="B85" s="69" t="s">
        <v>198</v>
      </c>
      <c r="C85" s="150">
        <v>9797.06</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150</v>
      </c>
      <c r="B86" s="69" t="s">
        <v>133</v>
      </c>
      <c r="C86" s="150">
        <v>10882.41</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10339.735000000001</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145</v>
      </c>
      <c r="B89" s="69" t="s">
        <v>86</v>
      </c>
      <c r="C89" s="150">
        <f>C82/$C$87</f>
        <v>177857.26110610025</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145</v>
      </c>
      <c r="B90" s="69" t="s">
        <v>86</v>
      </c>
      <c r="C90" s="150">
        <f>C83/$C$87</f>
        <v>80377.951509358609</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146</v>
      </c>
      <c r="B92" s="69" t="s">
        <v>153</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147</v>
      </c>
      <c r="B94" s="69" t="s">
        <v>86</v>
      </c>
      <c r="C94" s="87">
        <f>IF(C89&lt;$C$92,C89*$C$87,$C$92*$C$87)</f>
        <v>723781450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148</v>
      </c>
      <c r="B95" s="69" t="s">
        <v>86</v>
      </c>
      <c r="C95" s="87">
        <f>IF(C90&lt;$C$92,C90*$C$87,$C$92*$C$87)</f>
        <v>723781450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152</v>
      </c>
      <c r="B96" s="69" t="s">
        <v>86</v>
      </c>
      <c r="C96" s="87">
        <f>AVERAGE(C94:C95)</f>
        <v>723781450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723781450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24126048.333333332</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168</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168</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4573845.7559732981</v>
      </c>
      <c r="E111" s="149">
        <f t="shared" si="9"/>
        <v>4573845.7559732981</v>
      </c>
      <c r="F111" s="149">
        <f t="shared" si="9"/>
        <v>4573845.7559732981</v>
      </c>
      <c r="G111" s="149">
        <f t="shared" si="9"/>
        <v>4573845.7559732981</v>
      </c>
      <c r="H111" s="149">
        <f t="shared" si="9"/>
        <v>4573845.7559732981</v>
      </c>
      <c r="I111" s="149">
        <f t="shared" si="9"/>
        <v>4573845.7559732981</v>
      </c>
      <c r="J111" s="149">
        <f t="shared" si="9"/>
        <v>4573845.7559732981</v>
      </c>
      <c r="K111" s="149">
        <f t="shared" si="9"/>
        <v>4573845.7559732981</v>
      </c>
      <c r="L111" s="149">
        <f t="shared" si="9"/>
        <v>4573845.7559732981</v>
      </c>
      <c r="M111" s="149">
        <f t="shared" si="9"/>
        <v>4573845.7559732981</v>
      </c>
      <c r="N111" s="149">
        <f t="shared" si="9"/>
        <v>4573845.7559732981</v>
      </c>
      <c r="O111" s="149">
        <f t="shared" si="9"/>
        <v>4573845.7559732981</v>
      </c>
      <c r="P111" s="149">
        <f t="shared" si="9"/>
        <v>4573845.7559732981</v>
      </c>
      <c r="Q111" s="149">
        <f t="shared" si="9"/>
        <v>4573845.7559732981</v>
      </c>
      <c r="R111" s="149">
        <f t="shared" si="9"/>
        <v>4573845.7559732981</v>
      </c>
      <c r="S111" s="149">
        <f t="shared" si="9"/>
        <v>4573845.7559732981</v>
      </c>
      <c r="T111" s="149">
        <f t="shared" si="9"/>
        <v>4573845.7559732981</v>
      </c>
      <c r="U111" s="149">
        <f t="shared" si="9"/>
        <v>4573845.7559732981</v>
      </c>
      <c r="V111" s="149">
        <f t="shared" si="9"/>
        <v>4573845.7559732981</v>
      </c>
      <c r="W111" s="149">
        <f t="shared" si="9"/>
        <v>4573845.7559732981</v>
      </c>
      <c r="X111" s="149">
        <f t="shared" si="9"/>
        <v>4573845.7559732981</v>
      </c>
      <c r="Y111" s="149">
        <f t="shared" si="9"/>
        <v>4573845.7559732981</v>
      </c>
      <c r="Z111" s="149">
        <f t="shared" si="9"/>
        <v>4573845.7559732981</v>
      </c>
      <c r="AA111" s="149">
        <f t="shared" si="9"/>
        <v>4573845.7559732981</v>
      </c>
      <c r="AB111" s="149">
        <f t="shared" si="9"/>
        <v>4573845.7559732981</v>
      </c>
      <c r="AC111" s="149">
        <f t="shared" si="9"/>
        <v>4573845.7559732981</v>
      </c>
      <c r="AD111" s="149">
        <f t="shared" si="9"/>
        <v>4573845.7559732981</v>
      </c>
      <c r="AE111" s="149">
        <f t="shared" si="9"/>
        <v>4573845.7559732981</v>
      </c>
      <c r="AF111" s="149">
        <f t="shared" si="9"/>
        <v>4573845.7559732981</v>
      </c>
      <c r="AG111" s="149">
        <f t="shared" si="9"/>
        <v>4573845.7559732981</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723781450.00000012</v>
      </c>
      <c r="D113" s="149">
        <f t="shared" ref="D113:AG113" si="10">$C$102</f>
        <v>24126048.333333332</v>
      </c>
      <c r="E113" s="149">
        <f t="shared" si="10"/>
        <v>24126048.333333332</v>
      </c>
      <c r="F113" s="149">
        <f t="shared" si="10"/>
        <v>24126048.333333332</v>
      </c>
      <c r="G113" s="149">
        <f t="shared" si="10"/>
        <v>24126048.333333332</v>
      </c>
      <c r="H113" s="149">
        <f t="shared" si="10"/>
        <v>24126048.333333332</v>
      </c>
      <c r="I113" s="149">
        <f t="shared" si="10"/>
        <v>24126048.333333332</v>
      </c>
      <c r="J113" s="149">
        <f t="shared" si="10"/>
        <v>24126048.333333332</v>
      </c>
      <c r="K113" s="149">
        <f t="shared" si="10"/>
        <v>24126048.333333332</v>
      </c>
      <c r="L113" s="149">
        <f t="shared" si="10"/>
        <v>24126048.333333332</v>
      </c>
      <c r="M113" s="149">
        <f t="shared" si="10"/>
        <v>24126048.333333332</v>
      </c>
      <c r="N113" s="149">
        <f t="shared" si="10"/>
        <v>24126048.333333332</v>
      </c>
      <c r="O113" s="149">
        <f t="shared" si="10"/>
        <v>24126048.333333332</v>
      </c>
      <c r="P113" s="149">
        <f t="shared" si="10"/>
        <v>24126048.333333332</v>
      </c>
      <c r="Q113" s="149">
        <f t="shared" si="10"/>
        <v>24126048.333333332</v>
      </c>
      <c r="R113" s="149">
        <f t="shared" si="10"/>
        <v>24126048.333333332</v>
      </c>
      <c r="S113" s="149">
        <f t="shared" si="10"/>
        <v>24126048.333333332</v>
      </c>
      <c r="T113" s="149">
        <f t="shared" si="10"/>
        <v>24126048.333333332</v>
      </c>
      <c r="U113" s="149">
        <f t="shared" si="10"/>
        <v>24126048.333333332</v>
      </c>
      <c r="V113" s="149">
        <f t="shared" si="10"/>
        <v>24126048.333333332</v>
      </c>
      <c r="W113" s="149">
        <f t="shared" si="10"/>
        <v>24126048.333333332</v>
      </c>
      <c r="X113" s="149">
        <f t="shared" si="10"/>
        <v>24126048.333333332</v>
      </c>
      <c r="Y113" s="149">
        <f t="shared" si="10"/>
        <v>24126048.333333332</v>
      </c>
      <c r="Z113" s="149">
        <f t="shared" si="10"/>
        <v>24126048.333333332</v>
      </c>
      <c r="AA113" s="149">
        <f t="shared" si="10"/>
        <v>24126048.333333332</v>
      </c>
      <c r="AB113" s="149">
        <f t="shared" si="10"/>
        <v>24126048.333333332</v>
      </c>
      <c r="AC113" s="149">
        <f t="shared" si="10"/>
        <v>24126048.333333332</v>
      </c>
      <c r="AD113" s="149">
        <f t="shared" si="10"/>
        <v>24126048.333333332</v>
      </c>
      <c r="AE113" s="149">
        <f t="shared" si="10"/>
        <v>24126048.333333332</v>
      </c>
      <c r="AF113" s="149">
        <f t="shared" si="10"/>
        <v>24126048.333333332</v>
      </c>
      <c r="AG113" s="149">
        <f t="shared" si="10"/>
        <v>24126048.333333332</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24126048.333333332</v>
      </c>
      <c r="E118" s="149">
        <f t="shared" ref="E118:AG118" si="13">E113+E115+E116</f>
        <v>24126048.333333332</v>
      </c>
      <c r="F118" s="149">
        <f>F113+F115+F116</f>
        <v>24126048.333333332</v>
      </c>
      <c r="G118" s="149">
        <f t="shared" si="13"/>
        <v>24126048.333333332</v>
      </c>
      <c r="H118" s="149">
        <f t="shared" si="13"/>
        <v>24126048.333333332</v>
      </c>
      <c r="I118" s="149">
        <f t="shared" si="13"/>
        <v>24126048.333333332</v>
      </c>
      <c r="J118" s="149">
        <f t="shared" si="13"/>
        <v>24126048.333333332</v>
      </c>
      <c r="K118" s="149">
        <f t="shared" si="13"/>
        <v>24126048.333333332</v>
      </c>
      <c r="L118" s="149">
        <f t="shared" si="13"/>
        <v>24126048.333333332</v>
      </c>
      <c r="M118" s="149">
        <f t="shared" si="13"/>
        <v>24126048.333333332</v>
      </c>
      <c r="N118" s="149">
        <f t="shared" si="13"/>
        <v>24126048.333333332</v>
      </c>
      <c r="O118" s="149">
        <f t="shared" si="13"/>
        <v>24126048.333333332</v>
      </c>
      <c r="P118" s="149">
        <f t="shared" si="13"/>
        <v>24126048.333333332</v>
      </c>
      <c r="Q118" s="149">
        <f t="shared" si="13"/>
        <v>24126048.333333332</v>
      </c>
      <c r="R118" s="149">
        <f t="shared" si="13"/>
        <v>24126048.333333332</v>
      </c>
      <c r="S118" s="149">
        <f t="shared" si="13"/>
        <v>24126048.333333332</v>
      </c>
      <c r="T118" s="149">
        <f t="shared" si="13"/>
        <v>24126048.333333332</v>
      </c>
      <c r="U118" s="149">
        <f t="shared" si="13"/>
        <v>24126048.333333332</v>
      </c>
      <c r="V118" s="149">
        <f t="shared" si="13"/>
        <v>24126048.333333332</v>
      </c>
      <c r="W118" s="149">
        <f t="shared" si="13"/>
        <v>24126048.333333332</v>
      </c>
      <c r="X118" s="149">
        <f t="shared" si="13"/>
        <v>24126048.333333332</v>
      </c>
      <c r="Y118" s="149">
        <f t="shared" si="13"/>
        <v>24126048.333333332</v>
      </c>
      <c r="Z118" s="149">
        <f t="shared" si="13"/>
        <v>24126048.333333332</v>
      </c>
      <c r="AA118" s="149">
        <f t="shared" si="13"/>
        <v>24126048.333333332</v>
      </c>
      <c r="AB118" s="149">
        <f t="shared" si="13"/>
        <v>24126048.333333332</v>
      </c>
      <c r="AC118" s="149">
        <f t="shared" si="13"/>
        <v>24126048.333333332</v>
      </c>
      <c r="AD118" s="149">
        <f t="shared" si="13"/>
        <v>24126048.333333332</v>
      </c>
      <c r="AE118" s="149">
        <f t="shared" si="13"/>
        <v>24126048.333333332</v>
      </c>
      <c r="AF118" s="149">
        <f t="shared" si="13"/>
        <v>24126048.333333332</v>
      </c>
      <c r="AG118" s="149">
        <f t="shared" si="13"/>
        <v>24126048.333333332</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579025.15999999992</v>
      </c>
      <c r="E120" s="149">
        <f>(SUM($D$118:E118)*$C$104/$C$106)+(SUM($D$118:E118)*$C$105/$C$107)</f>
        <v>1158050.3199999998</v>
      </c>
      <c r="F120" s="149">
        <f>(SUM($D$118:F118)*$C$104/$C$106)+(SUM($D$118:F118)*$C$105/$C$107)</f>
        <v>1737075.48</v>
      </c>
      <c r="G120" s="149">
        <f>(SUM($D$118:G118)*$C$104/$C$106)+(SUM($D$118:G118)*$C$105/$C$107)</f>
        <v>2316100.6399999997</v>
      </c>
      <c r="H120" s="149">
        <f>(SUM($D$118:H118)*$C$104/$C$106)+(SUM($D$118:H118)*$C$105/$C$107)</f>
        <v>2895125.8</v>
      </c>
      <c r="I120" s="149">
        <f>(SUM($D$118:I118)*$C$104/$C$106)+(SUM($D$118:I118)*$C$105/$C$107)</f>
        <v>3474150.96</v>
      </c>
      <c r="J120" s="149">
        <f>(SUM($D$118:J118)*$C$104/$C$106)+(SUM($D$118:J118)*$C$105/$C$107)</f>
        <v>4053176.12</v>
      </c>
      <c r="K120" s="149">
        <f>(SUM($D$118:K118)*$C$104/$C$106)+(SUM($D$118:K118)*$C$105/$C$107)</f>
        <v>4632201.28</v>
      </c>
      <c r="L120" s="149">
        <f>(SUM($D$118:L118)*$C$104/$C$106)+(SUM($D$118:L118)*$C$105/$C$107)</f>
        <v>5211226.4400000004</v>
      </c>
      <c r="M120" s="149">
        <f>(SUM($D$118:M118)*$C$104/$C$106)+(SUM($D$118:M118)*$C$105/$C$107)</f>
        <v>5790251.6000000015</v>
      </c>
      <c r="N120" s="149">
        <f>(SUM($D$118:N118)*$C$104/$C$106)+(SUM($D$118:N118)*$C$105/$C$107)</f>
        <v>6369276.7600000016</v>
      </c>
      <c r="O120" s="149">
        <f>(SUM($D$118:O118)*$C$104/$C$106)+(SUM($D$118:O118)*$C$105/$C$107)</f>
        <v>6948301.9200000009</v>
      </c>
      <c r="P120" s="149">
        <f>(SUM($D$118:P118)*$C$104/$C$106)+(SUM($D$118:P118)*$C$105/$C$107)</f>
        <v>7527327.080000001</v>
      </c>
      <c r="Q120" s="149">
        <f>(SUM($D$118:Q118)*$C$104/$C$106)+(SUM($D$118:Q118)*$C$105/$C$107)</f>
        <v>8106352.2400000002</v>
      </c>
      <c r="R120" s="149">
        <f>(SUM($D$118:R118)*$C$104/$C$106)+(SUM($D$118:R118)*$C$105/$C$107)</f>
        <v>8685377.4000000004</v>
      </c>
      <c r="S120" s="149">
        <f>(SUM($D$118:S118)*$C$104/$C$106)+(SUM($D$118:S118)*$C$105/$C$107)</f>
        <v>9264402.5599999987</v>
      </c>
      <c r="T120" s="149">
        <f>(SUM($D$118:T118)*$C$104/$C$106)+(SUM($D$118:T118)*$C$105/$C$107)</f>
        <v>9843427.7199999988</v>
      </c>
      <c r="U120" s="149">
        <f>(SUM($D$118:U118)*$C$104/$C$106)+(SUM($D$118:U118)*$C$105/$C$107)</f>
        <v>10422452.879999999</v>
      </c>
      <c r="V120" s="149">
        <f>(SUM($D$118:V118)*$C$104/$C$106)+(SUM($D$118:V118)*$C$105/$C$107)</f>
        <v>11001478.039999999</v>
      </c>
      <c r="W120" s="149">
        <f>(SUM($D$118:W118)*$C$104/$C$106)+(SUM($D$118:W118)*$C$105/$C$107)</f>
        <v>11580503.199999999</v>
      </c>
      <c r="X120" s="149">
        <f>(SUM($D$118:X118)*$C$104/$C$106)+(SUM($D$118:X118)*$C$105/$C$107)</f>
        <v>12159528.359999999</v>
      </c>
      <c r="Y120" s="149">
        <f>(SUM($D$118:Y118)*$C$104/$C$106)+(SUM($D$118:Y118)*$C$105/$C$107)</f>
        <v>12738553.519999996</v>
      </c>
      <c r="Z120" s="149">
        <f>(SUM($D$118:Z118)*$C$104/$C$106)+(SUM($D$118:Z118)*$C$105/$C$107)</f>
        <v>13317578.679999996</v>
      </c>
      <c r="AA120" s="149">
        <f>(SUM($D$118:AA118)*$C$104/$C$106)+(SUM($D$118:AA118)*$C$105/$C$107)</f>
        <v>13896603.839999996</v>
      </c>
      <c r="AB120" s="149">
        <f>(SUM($D$118:AB118)*$C$104/$C$106)+(SUM($D$118:AB118)*$C$105/$C$107)</f>
        <v>14475628.999999996</v>
      </c>
      <c r="AC120" s="149">
        <f>(SUM($D$118:AC118)*$C$104/$C$106)+(SUM($D$118:AC118)*$C$105/$C$107)</f>
        <v>15054654.159999996</v>
      </c>
      <c r="AD120" s="149">
        <f>(SUM($D$118:AD118)*$C$104/$C$106)+(SUM($D$118:AD118)*$C$105/$C$107)</f>
        <v>15633679.32</v>
      </c>
      <c r="AE120" s="149">
        <f>(SUM($D$118:AE118)*$C$104/$C$106)+(SUM($D$118:AE118)*$C$105/$C$107)</f>
        <v>16212704.48</v>
      </c>
      <c r="AF120" s="149">
        <f>(SUM($D$118:AF118)*$C$104/$C$106)+(SUM($D$118:AF118)*$C$105/$C$107)</f>
        <v>16791729.640000001</v>
      </c>
      <c r="AG120" s="149">
        <f>(SUM($D$118:AG118)*$C$104/$C$106)+(SUM($D$118:AG118)*$C$105/$C$107)</f>
        <v>17370754.800000004</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723781.45</v>
      </c>
      <c r="E122" s="72">
        <f>(SUM($D$118:E118)*$C$109)</f>
        <v>1447562.9</v>
      </c>
      <c r="F122" s="72">
        <f>(SUM($D$118:F118)*$C$109)</f>
        <v>2171344.35</v>
      </c>
      <c r="G122" s="72">
        <f>(SUM($D$118:G118)*$C$109)</f>
        <v>2895125.8</v>
      </c>
      <c r="H122" s="72">
        <f>(SUM($D$118:H118)*$C$109)</f>
        <v>3618907.2499999995</v>
      </c>
      <c r="I122" s="72">
        <f>(SUM($D$118:I118)*$C$109)</f>
        <v>4342688.7</v>
      </c>
      <c r="J122" s="72">
        <f>(SUM($D$118:J118)*$C$109)</f>
        <v>5066470.1500000004</v>
      </c>
      <c r="K122" s="72">
        <f>(SUM($D$118:K118)*$C$109)</f>
        <v>5790251.6000000006</v>
      </c>
      <c r="L122" s="72">
        <f>(SUM($D$118:L118)*$C$109)</f>
        <v>6514033.0500000007</v>
      </c>
      <c r="M122" s="72">
        <f>(SUM($D$118:M118)*$C$109)</f>
        <v>7237814.5000000009</v>
      </c>
      <c r="N122" s="72">
        <f>(SUM($D$118:N118)*$C$109)</f>
        <v>7961595.9500000011</v>
      </c>
      <c r="O122" s="72">
        <f>(SUM($D$118:O118)*$C$109)</f>
        <v>8685377.4000000022</v>
      </c>
      <c r="P122" s="72">
        <f>(SUM($D$118:P118)*$C$109)</f>
        <v>9409158.8500000015</v>
      </c>
      <c r="Q122" s="72">
        <f>(SUM($D$118:Q118)*$C$109)</f>
        <v>10132940.300000001</v>
      </c>
      <c r="R122" s="72">
        <f>(SUM($D$118:R118)*$C$109)</f>
        <v>10856721.75</v>
      </c>
      <c r="S122" s="72">
        <f>(SUM($D$118:S118)*$C$109)</f>
        <v>11580503.199999999</v>
      </c>
      <c r="T122" s="72">
        <f>(SUM($D$118:T118)*$C$109)</f>
        <v>12304284.649999999</v>
      </c>
      <c r="U122" s="72">
        <f>(SUM($D$118:U118)*$C$109)</f>
        <v>13028066.099999998</v>
      </c>
      <c r="V122" s="72">
        <f>(SUM($D$118:V118)*$C$109)</f>
        <v>13751847.549999997</v>
      </c>
      <c r="W122" s="72">
        <f>(SUM($D$118:W118)*$C$109)</f>
        <v>14475628.999999996</v>
      </c>
      <c r="X122" s="72">
        <f>(SUM($D$118:X118)*$C$109)</f>
        <v>15199410.449999996</v>
      </c>
      <c r="Y122" s="72">
        <f>(SUM($D$118:Y118)*$C$109)</f>
        <v>15923191.899999995</v>
      </c>
      <c r="Z122" s="72">
        <f>(SUM($D$118:Z118)*$C$109)</f>
        <v>16646973.349999994</v>
      </c>
      <c r="AA122" s="72">
        <f>(SUM($D$118:AA118)*$C$109)</f>
        <v>17370754.799999997</v>
      </c>
      <c r="AB122" s="72">
        <f>(SUM($D$118:AB118)*$C$109)</f>
        <v>18094536.249999996</v>
      </c>
      <c r="AC122" s="72">
        <f>(SUM($D$118:AC118)*$C$109)</f>
        <v>18818317.699999999</v>
      </c>
      <c r="AD122" s="72">
        <f>(SUM($D$118:AD118)*$C$109)</f>
        <v>19542099.149999999</v>
      </c>
      <c r="AE122" s="72">
        <f>(SUM($D$118:AE118)*$C$109)</f>
        <v>20265880.600000001</v>
      </c>
      <c r="AF122" s="72">
        <f>(SUM($D$118:AF118)*$C$109)</f>
        <v>20989662.050000001</v>
      </c>
      <c r="AG122" s="72">
        <f>(SUM($D$118:AG118)*$C$109)</f>
        <v>21713443.500000004</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151</v>
      </c>
      <c r="B126" s="77" t="s">
        <v>196</v>
      </c>
      <c r="C126" s="179">
        <v>9797.06</v>
      </c>
      <c r="D126" s="140"/>
    </row>
    <row r="127" spans="1:33" x14ac:dyDescent="0.35">
      <c r="A127" s="77" t="s">
        <v>150</v>
      </c>
      <c r="B127" s="77" t="s">
        <v>133</v>
      </c>
      <c r="C127" s="179">
        <v>10882.41</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10339.735000000001</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155</v>
      </c>
      <c r="B133" s="77" t="s">
        <v>156</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3829.5314814814815</v>
      </c>
      <c r="D135" s="157">
        <f t="shared" ref="D135:AG135" si="14">$C$135*D13</f>
        <v>3829.5314814814815</v>
      </c>
      <c r="E135" s="157">
        <f t="shared" si="14"/>
        <v>3829.5314814814815</v>
      </c>
      <c r="F135" s="157">
        <f t="shared" si="14"/>
        <v>3829.5314814814815</v>
      </c>
      <c r="G135" s="157">
        <f t="shared" si="14"/>
        <v>3829.5314814814815</v>
      </c>
      <c r="H135" s="157">
        <f t="shared" si="14"/>
        <v>3829.5314814814815</v>
      </c>
      <c r="I135" s="157">
        <f t="shared" si="14"/>
        <v>3829.5314814814815</v>
      </c>
      <c r="J135" s="157">
        <f t="shared" si="14"/>
        <v>3829.5314814814815</v>
      </c>
      <c r="K135" s="157">
        <f t="shared" si="14"/>
        <v>3829.5314814814815</v>
      </c>
      <c r="L135" s="157">
        <f t="shared" si="14"/>
        <v>3829.5314814814815</v>
      </c>
      <c r="M135" s="157">
        <f t="shared" si="14"/>
        <v>3829.5314814814815</v>
      </c>
      <c r="N135" s="157">
        <f t="shared" si="14"/>
        <v>3829.5314814814815</v>
      </c>
      <c r="O135" s="157">
        <f t="shared" si="14"/>
        <v>3829.5314814814815</v>
      </c>
      <c r="P135" s="157">
        <f t="shared" si="14"/>
        <v>3829.5314814814815</v>
      </c>
      <c r="Q135" s="157">
        <f t="shared" si="14"/>
        <v>3829.5314814814815</v>
      </c>
      <c r="R135" s="157">
        <f t="shared" si="14"/>
        <v>3829.5314814814815</v>
      </c>
      <c r="S135" s="157">
        <f t="shared" si="14"/>
        <v>3829.5314814814815</v>
      </c>
      <c r="T135" s="157">
        <f t="shared" si="14"/>
        <v>3829.5314814814815</v>
      </c>
      <c r="U135" s="157">
        <f t="shared" si="14"/>
        <v>3829.5314814814815</v>
      </c>
      <c r="V135" s="157">
        <f t="shared" si="14"/>
        <v>3829.5314814814815</v>
      </c>
      <c r="W135" s="157">
        <f t="shared" si="14"/>
        <v>3829.5314814814815</v>
      </c>
      <c r="X135" s="157">
        <f t="shared" si="14"/>
        <v>3829.5314814814815</v>
      </c>
      <c r="Y135" s="157">
        <f t="shared" si="14"/>
        <v>3829.5314814814815</v>
      </c>
      <c r="Z135" s="157">
        <f t="shared" si="14"/>
        <v>3829.5314814814815</v>
      </c>
      <c r="AA135" s="157">
        <f t="shared" si="14"/>
        <v>3829.5314814814815</v>
      </c>
      <c r="AB135" s="157">
        <f t="shared" si="14"/>
        <v>3829.5314814814815</v>
      </c>
      <c r="AC135" s="157">
        <f t="shared" si="14"/>
        <v>3829.5314814814815</v>
      </c>
      <c r="AD135" s="157">
        <f t="shared" si="14"/>
        <v>3829.5314814814815</v>
      </c>
      <c r="AE135" s="157">
        <f t="shared" si="14"/>
        <v>3829.5314814814815</v>
      </c>
      <c r="AF135" s="157">
        <f t="shared" si="14"/>
        <v>3829.5314814814815</v>
      </c>
      <c r="AG135" s="157">
        <f t="shared" si="14"/>
        <v>3829.5314814814815</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90" zoomScaleNormal="9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0.5</v>
      </c>
      <c r="F4" s="65">
        <v>0.45</v>
      </c>
      <c r="G4" s="65">
        <v>0.45</v>
      </c>
      <c r="H4" s="65">
        <v>0.45</v>
      </c>
      <c r="I4" s="65">
        <v>0.22</v>
      </c>
      <c r="J4" s="65">
        <v>0.16</v>
      </c>
      <c r="K4" s="65">
        <v>0.1</v>
      </c>
      <c r="L4" s="65">
        <v>0.08</v>
      </c>
      <c r="M4" s="65">
        <v>0.08</v>
      </c>
      <c r="N4" s="65">
        <v>7.0000000000000007E-2</v>
      </c>
      <c r="O4" s="65">
        <v>7.0000000000000007E-2</v>
      </c>
      <c r="P4" s="65">
        <v>7.0000000000000007E-2</v>
      </c>
      <c r="Q4" s="65">
        <v>0.06</v>
      </c>
      <c r="R4" s="65">
        <v>0.06</v>
      </c>
      <c r="S4" s="65">
        <v>0.06</v>
      </c>
      <c r="T4" s="65">
        <v>0.06</v>
      </c>
      <c r="U4" s="65">
        <v>0.06</v>
      </c>
      <c r="V4" s="65">
        <v>0.06</v>
      </c>
      <c r="W4" s="65">
        <v>0.06</v>
      </c>
      <c r="X4" s="65">
        <v>5.5E-2</v>
      </c>
      <c r="Y4" s="65">
        <v>0.05</v>
      </c>
      <c r="Z4" s="65">
        <v>0.05</v>
      </c>
      <c r="AA4" s="65">
        <v>0.05</v>
      </c>
      <c r="AB4" s="65">
        <v>0.05</v>
      </c>
      <c r="AC4" s="65">
        <v>0.05</v>
      </c>
      <c r="AD4" s="65">
        <v>4.4999999999999998E-2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2.5221112067494489</v>
      </c>
      <c r="C6" s="25"/>
      <c r="D6" s="25"/>
      <c r="E6" s="27">
        <f>'Debt worksheet'!C5/'Profit and Loss'!C5</f>
        <v>0</v>
      </c>
      <c r="F6" s="28">
        <f ca="1">'Debt worksheet'!D5/'Profit and Loss'!D5</f>
        <v>1.86436037450961</v>
      </c>
      <c r="G6" s="28">
        <f ca="1">'Debt worksheet'!E5/'Profit and Loss'!E5</f>
        <v>2.5221112067494489</v>
      </c>
      <c r="H6" s="28">
        <f ca="1">'Debt worksheet'!F5/'Profit and Loss'!F5</f>
        <v>2.4916568333650799</v>
      </c>
      <c r="I6" s="28">
        <f ca="1">'Debt worksheet'!G5/'Profit and Loss'!G5</f>
        <v>2.4950897589057086</v>
      </c>
      <c r="J6" s="28">
        <f ca="1">'Debt worksheet'!H5/'Profit and Loss'!H5</f>
        <v>2.4638762286341733</v>
      </c>
      <c r="K6" s="28">
        <f ca="1">'Debt worksheet'!I5/'Profit and Loss'!I5</f>
        <v>2.4707113904353011</v>
      </c>
      <c r="L6" s="28">
        <f ca="1">'Debt worksheet'!J5/'Profit and Loss'!J5</f>
        <v>2.4856196408678035</v>
      </c>
      <c r="M6" s="28">
        <f ca="1">'Debt worksheet'!K5/'Profit and Loss'!K5</f>
        <v>2.4817935309102963</v>
      </c>
      <c r="N6" s="28">
        <f ca="1">'Debt worksheet'!L5/'Profit and Loss'!L5</f>
        <v>2.4821684429047268</v>
      </c>
      <c r="O6" s="28">
        <f ca="1">'Debt worksheet'!M5/'Profit and Loss'!M5</f>
        <v>2.4723305994599794</v>
      </c>
      <c r="P6" s="28">
        <f ca="1">'Debt worksheet'!N5/'Profit and Loss'!N5</f>
        <v>2.4517366172154</v>
      </c>
      <c r="Q6" s="28">
        <f ca="1">'Debt worksheet'!O5/'Profit and Loss'!O5</f>
        <v>2.4427776956025755</v>
      </c>
      <c r="R6" s="28">
        <f ca="1">'Debt worksheet'!P5/'Profit and Loss'!P5</f>
        <v>2.4308982199149418</v>
      </c>
      <c r="S6" s="28">
        <f ca="1">'Debt worksheet'!Q5/'Profit and Loss'!Q5</f>
        <v>2.4153767577311314</v>
      </c>
      <c r="T6" s="28">
        <f ca="1">'Debt worksheet'!R5/'Profit and Loss'!R5</f>
        <v>2.3955615076549082</v>
      </c>
      <c r="U6" s="28">
        <f ca="1">'Debt worksheet'!S5/'Profit and Loss'!S5</f>
        <v>2.3708660714011014</v>
      </c>
      <c r="V6" s="28">
        <f ca="1">'Debt worksheet'!T5/'Profit and Loss'!T5</f>
        <v>2.3407654398698052</v>
      </c>
      <c r="W6" s="28">
        <f ca="1">'Debt worksheet'!U5/'Profit and Loss'!U5</f>
        <v>2.3047921833589271</v>
      </c>
      <c r="X6" s="28">
        <f ca="1">'Debt worksheet'!V5/'Profit and Loss'!V5</f>
        <v>2.2732557409321892</v>
      </c>
      <c r="Y6" s="28">
        <f ca="1">'Debt worksheet'!W5/'Profit and Loss'!W5</f>
        <v>2.2499749946876704</v>
      </c>
      <c r="Z6" s="28">
        <f ca="1">'Debt worksheet'!X5/'Profit and Loss'!X5</f>
        <v>2.2282065727808869</v>
      </c>
      <c r="AA6" s="28">
        <f ca="1">'Debt worksheet'!Y5/'Profit and Loss'!Y5</f>
        <v>2.2074218249673727</v>
      </c>
      <c r="AB6" s="28">
        <f ca="1">'Debt worksheet'!Z5/'Profit and Loss'!Z5</f>
        <v>2.1871217374915615</v>
      </c>
      <c r="AC6" s="28">
        <f ca="1">'Debt worksheet'!AA5/'Profit and Loss'!AA5</f>
        <v>2.1668357404793017</v>
      </c>
      <c r="AD6" s="28">
        <f ca="1">'Debt worksheet'!AB5/'Profit and Loss'!AB5</f>
        <v>2.1563890766186744</v>
      </c>
      <c r="AE6" s="28">
        <f ca="1">'Debt worksheet'!AC5/'Profit and Loss'!AC5</f>
        <v>2.1980615437791684</v>
      </c>
      <c r="AF6" s="28">
        <f ca="1">'Debt worksheet'!AD5/'Profit and Loss'!AD5</f>
        <v>2.2668001397905715</v>
      </c>
      <c r="AG6" s="28">
        <f ca="1">'Debt worksheet'!AE5/'Profit and Loss'!AE5</f>
        <v>2.3632456613720105</v>
      </c>
      <c r="AH6" s="28">
        <f ca="1">'Debt worksheet'!AF5/'Profit and Loss'!AF5</f>
        <v>2.4880513660238588</v>
      </c>
      <c r="AI6" s="31"/>
    </row>
    <row r="7" spans="1:35" ht="21" x14ac:dyDescent="0.5">
      <c r="A7" s="19" t="s">
        <v>38</v>
      </c>
      <c r="B7" s="26" t="e">
        <f ca="1">MIN('Price and Financial ratios'!E7:AH7)</f>
        <v>#DIV/0!</v>
      </c>
      <c r="C7" s="26"/>
      <c r="D7" s="26"/>
      <c r="E7" s="56" t="e">
        <f ca="1">'Cash Flow'!C7/'Debt worksheet'!C5</f>
        <v>#DIV/0!</v>
      </c>
      <c r="F7" s="32">
        <f ca="1">'Cash Flow'!D7/'Debt worksheet'!D5</f>
        <v>0.27262918018194832</v>
      </c>
      <c r="G7" s="32">
        <f ca="1">'Cash Flow'!E7/'Debt worksheet'!E5</f>
        <v>0.22942303067875286</v>
      </c>
      <c r="H7" s="32">
        <f ca="1">'Cash Flow'!F7/'Debt worksheet'!F5</f>
        <v>0.26424921982659011</v>
      </c>
      <c r="I7" s="32">
        <f ca="1">'Cash Flow'!G7/'Debt worksheet'!G5</f>
        <v>0.27265824675932793</v>
      </c>
      <c r="J7" s="32">
        <f ca="1">'Cash Flow'!H7/'Debt worksheet'!H5</f>
        <v>0.28057146026195084</v>
      </c>
      <c r="K7" s="32">
        <f ca="1">'Cash Flow'!I7/'Debt worksheet'!I5</f>
        <v>0.27885498342785814</v>
      </c>
      <c r="L7" s="32">
        <f ca="1">'Cash Flow'!J7/'Debt worksheet'!J5</f>
        <v>0.2748364918506917</v>
      </c>
      <c r="M7" s="17">
        <f ca="1">'Cash Flow'!K7/'Debt worksheet'!K5</f>
        <v>0.27370755840745364</v>
      </c>
      <c r="N7" s="17">
        <f ca="1">'Cash Flow'!L7/'Debt worksheet'!L5</f>
        <v>0.27150988957665567</v>
      </c>
      <c r="O7" s="17">
        <f ca="1">'Cash Flow'!M7/'Debt worksheet'!M5</f>
        <v>0.2709812903435001</v>
      </c>
      <c r="P7" s="17">
        <f ca="1">'Cash Flow'!N7/'Debt worksheet'!N5</f>
        <v>0.27217139627440023</v>
      </c>
      <c r="Q7" s="17">
        <f ca="1">'Cash Flow'!O7/'Debt worksheet'!O5</f>
        <v>0.27116378327076457</v>
      </c>
      <c r="R7" s="17">
        <f ca="1">'Cash Flow'!P7/'Debt worksheet'!P5</f>
        <v>0.27081439659187651</v>
      </c>
      <c r="S7" s="17">
        <f ca="1">'Cash Flow'!Q7/'Debt worksheet'!Q5</f>
        <v>0.27120491286942794</v>
      </c>
      <c r="T7" s="17">
        <f ca="1">'Cash Flow'!R7/'Debt worksheet'!R5</f>
        <v>0.2724176808302694</v>
      </c>
      <c r="U7" s="17">
        <f ca="1">'Cash Flow'!S7/'Debt worksheet'!S5</f>
        <v>0.27453970991959831</v>
      </c>
      <c r="V7" s="17">
        <f ca="1">'Cash Flow'!T7/'Debt worksheet'!T5</f>
        <v>0.27766706081698705</v>
      </c>
      <c r="W7" s="17">
        <f ca="1">'Cash Flow'!U7/'Debt worksheet'!U5</f>
        <v>0.28190985323804818</v>
      </c>
      <c r="X7" s="17">
        <f ca="1">'Cash Flow'!V7/'Debt worksheet'!V5</f>
        <v>0.28523777656032517</v>
      </c>
      <c r="Y7" s="17">
        <f ca="1">'Cash Flow'!W7/'Debt worksheet'!W5</f>
        <v>0.28701250660787236</v>
      </c>
      <c r="Z7" s="17">
        <f ca="1">'Cash Flow'!X7/'Debt worksheet'!X5</f>
        <v>0.28878042479175503</v>
      </c>
      <c r="AA7" s="17">
        <f ca="1">'Cash Flow'!Y7/'Debt worksheet'!Y5</f>
        <v>0.29060763317177635</v>
      </c>
      <c r="AB7" s="17">
        <f ca="1">'Cash Flow'!Z7/'Debt worksheet'!Z5</f>
        <v>0.292560279729906</v>
      </c>
      <c r="AC7" s="17">
        <f ca="1">'Cash Flow'!AA7/'Debt worksheet'!AA5</f>
        <v>0.29470459073720889</v>
      </c>
      <c r="AD7" s="17">
        <f ca="1">'Cash Flow'!AB7/'Debt worksheet'!AB5</f>
        <v>0.29480786004193288</v>
      </c>
      <c r="AE7" s="17">
        <f ca="1">'Cash Flow'!AC7/'Debt worksheet'!AC5</f>
        <v>0.28385989806291845</v>
      </c>
      <c r="AF7" s="17">
        <f ca="1">'Cash Flow'!AD7/'Debt worksheet'!AD5</f>
        <v>0.26961862007800397</v>
      </c>
      <c r="AG7" s="17">
        <f ca="1">'Cash Flow'!AE7/'Debt worksheet'!AE5</f>
        <v>0.25278247269371751</v>
      </c>
      <c r="AH7" s="17">
        <f ca="1">'Cash Flow'!AF7/'Debt worksheet'!AF5</f>
        <v>0.23414483387562199</v>
      </c>
      <c r="AI7" s="29"/>
    </row>
    <row r="8" spans="1:35" ht="21" x14ac:dyDescent="0.5">
      <c r="A8" s="19" t="s">
        <v>33</v>
      </c>
      <c r="B8" s="26">
        <f ca="1">MAX('Price and Financial ratios'!E8:AH8)</f>
        <v>0.40010135019965309</v>
      </c>
      <c r="C8" s="26"/>
      <c r="D8" s="176"/>
      <c r="E8" s="17">
        <f>'Balance Sheet'!B11/'Balance Sheet'!B8</f>
        <v>0</v>
      </c>
      <c r="F8" s="17">
        <f ca="1">'Balance Sheet'!C11/'Balance Sheet'!C8</f>
        <v>0.17289250320794039</v>
      </c>
      <c r="G8" s="17">
        <f ca="1">'Balance Sheet'!D11/'Balance Sheet'!D8</f>
        <v>0.29064846959624385</v>
      </c>
      <c r="H8" s="17">
        <f ca="1">'Balance Sheet'!E11/'Balance Sheet'!E8</f>
        <v>0.36285206704348233</v>
      </c>
      <c r="I8" s="17">
        <f ca="1">'Balance Sheet'!F11/'Balance Sheet'!F8</f>
        <v>0.3914247961610951</v>
      </c>
      <c r="J8" s="17">
        <f ca="1">'Balance Sheet'!G11/'Balance Sheet'!G8</f>
        <v>0.40010135019965309</v>
      </c>
      <c r="K8" s="17">
        <f ca="1">'Balance Sheet'!H11/'Balance Sheet'!H8</f>
        <v>0.39723339056378504</v>
      </c>
      <c r="L8" s="17">
        <f ca="1">'Balance Sheet'!I11/'Balance Sheet'!I8</f>
        <v>0.39128367169062694</v>
      </c>
      <c r="M8" s="17">
        <f ca="1">'Balance Sheet'!J11/'Balance Sheet'!J8</f>
        <v>0.38486378842966629</v>
      </c>
      <c r="N8" s="17">
        <f ca="1">'Balance Sheet'!K11/'Balance Sheet'!K8</f>
        <v>0.37765085160545042</v>
      </c>
      <c r="O8" s="17">
        <f ca="1">'Balance Sheet'!L11/'Balance Sheet'!L8</f>
        <v>0.37072673726907601</v>
      </c>
      <c r="P8" s="17">
        <f ca="1">'Balance Sheet'!M11/'Balance Sheet'!M8</f>
        <v>0.36377481742426171</v>
      </c>
      <c r="Q8" s="17">
        <f ca="1">'Balance Sheet'!N11/'Balance Sheet'!N8</f>
        <v>0.35652964142096238</v>
      </c>
      <c r="R8" s="17">
        <f ca="1">'Balance Sheet'!O11/'Balance Sheet'!O8</f>
        <v>0.35009049433266459</v>
      </c>
      <c r="S8" s="17">
        <f ca="1">'Balance Sheet'!P11/'Balance Sheet'!P8</f>
        <v>0.344195729336089</v>
      </c>
      <c r="T8" s="17">
        <f ca="1">'Balance Sheet'!Q11/'Balance Sheet'!Q8</f>
        <v>0.33862401394627156</v>
      </c>
      <c r="U8" s="17">
        <f ca="1">'Balance Sheet'!R11/'Balance Sheet'!R8</f>
        <v>0.33318462998189713</v>
      </c>
      <c r="V8" s="17">
        <f ca="1">'Balance Sheet'!S11/'Balance Sheet'!S8</f>
        <v>0.32771031976122389</v>
      </c>
      <c r="W8" s="17">
        <f ca="1">'Balance Sheet'!T11/'Balance Sheet'!T8</f>
        <v>0.32205192731067367</v>
      </c>
      <c r="X8" s="17">
        <f ca="1">'Balance Sheet'!U11/'Balance Sheet'!U8</f>
        <v>0.31607432628949589</v>
      </c>
      <c r="Y8" s="17">
        <f ca="1">'Balance Sheet'!V11/'Balance Sheet'!V8</f>
        <v>0.31029834816157958</v>
      </c>
      <c r="Z8" s="17">
        <f ca="1">'Balance Sheet'!W11/'Balance Sheet'!W8</f>
        <v>0.30523983260347465</v>
      </c>
      <c r="AA8" s="17">
        <f ca="1">'Balance Sheet'!X11/'Balance Sheet'!X8</f>
        <v>0.30076694167007301</v>
      </c>
      <c r="AB8" s="17">
        <f ca="1">'Balance Sheet'!Y11/'Balance Sheet'!Y8</f>
        <v>0.29676233648503242</v>
      </c>
      <c r="AC8" s="17">
        <f ca="1">'Balance Sheet'!Z11/'Balance Sheet'!Z8</f>
        <v>0.2931206115495173</v>
      </c>
      <c r="AD8" s="17">
        <f ca="1">'Balance Sheet'!AA11/'Balance Sheet'!AA8</f>
        <v>0.28974622745828238</v>
      </c>
      <c r="AE8" s="17">
        <f ca="1">'Balance Sheet'!AB11/'Balance Sheet'!AB8</f>
        <v>0.28718569953858619</v>
      </c>
      <c r="AF8" s="17">
        <f ca="1">'Balance Sheet'!AC11/'Balance Sheet'!AC8</f>
        <v>0.28824875284332319</v>
      </c>
      <c r="AG8" s="17">
        <f ca="1">'Balance Sheet'!AD11/'Balance Sheet'!AD8</f>
        <v>0.29273011605537758</v>
      </c>
      <c r="AH8" s="17">
        <f ca="1">'Balance Sheet'!AE11/'Balance Sheet'!AE8</f>
        <v>0.30044965367584947</v>
      </c>
      <c r="AI8" s="29"/>
    </row>
    <row r="9" spans="1:35" ht="21.5" thickBot="1" x14ac:dyDescent="0.55000000000000004">
      <c r="A9" s="20" t="s">
        <v>32</v>
      </c>
      <c r="B9" s="21">
        <f ca="1">MIN('Price and Financial ratios'!E9:AH9)</f>
        <v>4.971018614983044</v>
      </c>
      <c r="C9" s="21"/>
      <c r="D9" s="177"/>
      <c r="E9" s="21">
        <f ca="1">('Cash Flow'!C7+'Profit and Loss'!C8)/('Profit and Loss'!C8)</f>
        <v>5.9351712878099097</v>
      </c>
      <c r="F9" s="21">
        <f ca="1">('Cash Flow'!D7+'Profit and Loss'!D8)/('Profit and Loss'!D8)</f>
        <v>4.971018614983044</v>
      </c>
      <c r="G9" s="21">
        <f ca="1">('Cash Flow'!E7+'Profit and Loss'!E8)/('Profit and Loss'!E8)</f>
        <v>5.5759046831654855</v>
      </c>
      <c r="H9" s="21">
        <f ca="1">('Cash Flow'!F7+'Profit and Loss'!F8)/('Profit and Loss'!F8)</f>
        <v>7.1799917230756165</v>
      </c>
      <c r="I9" s="21">
        <f ca="1">('Cash Flow'!G7+'Profit and Loss'!G8)/('Profit and Loss'!G8)</f>
        <v>7.8007982332812</v>
      </c>
      <c r="J9" s="21">
        <f ca="1">('Cash Flow'!H7+'Profit and Loss'!H8)/('Profit and Loss'!H8)</f>
        <v>8.2674095136056405</v>
      </c>
      <c r="K9" s="21">
        <f ca="1">('Cash Flow'!I7+'Profit and Loss'!I8)/('Profit and Loss'!I8)</f>
        <v>8.3328694947518471</v>
      </c>
      <c r="L9" s="21">
        <f ca="1">('Cash Flow'!J7+'Profit and Loss'!J8)/('Profit and Loss'!J8)</f>
        <v>8.2820158569646818</v>
      </c>
      <c r="M9" s="21">
        <f ca="1">('Cash Flow'!K7+'Profit and Loss'!K8)/('Profit and Loss'!K8)</f>
        <v>8.3075091331482227</v>
      </c>
      <c r="N9" s="21">
        <f ca="1">('Cash Flow'!L7+'Profit and Loss'!L8)/('Profit and Loss'!L8)</f>
        <v>8.2787790586560313</v>
      </c>
      <c r="O9" s="21">
        <f ca="1">('Cash Flow'!M7+'Profit and Loss'!M8)/('Profit and Loss'!M8)</f>
        <v>8.2965945601178372</v>
      </c>
      <c r="P9" s="21">
        <f ca="1">('Cash Flow'!N7+'Profit and Loss'!N8)/('Profit and Loss'!N8)</f>
        <v>8.3630616901516497</v>
      </c>
      <c r="Q9" s="21">
        <f ca="1">('Cash Flow'!O7+'Profit and Loss'!O8)/('Profit and Loss'!O8)</f>
        <v>8.3447149473717417</v>
      </c>
      <c r="R9" s="21">
        <f ca="1">('Cash Flow'!P7+'Profit and Loss'!P8)/('Profit and Loss'!P8)</f>
        <v>8.3464872793068441</v>
      </c>
      <c r="S9" s="21">
        <f ca="1">('Cash Flow'!Q7+'Profit and Loss'!Q8)/('Profit and Loss'!Q8)</f>
        <v>8.3705721134610442</v>
      </c>
      <c r="T9" s="21">
        <f ca="1">('Cash Flow'!R7+'Profit and Loss'!R8)/('Profit and Loss'!R8)</f>
        <v>8.4192787142741903</v>
      </c>
      <c r="U9" s="21">
        <f ca="1">('Cash Flow'!S7+'Profit and Loss'!S8)/('Profit and Loss'!S8)</f>
        <v>8.4951509843846775</v>
      </c>
      <c r="V9" s="21">
        <f ca="1">('Cash Flow'!T7+'Profit and Loss'!T8)/('Profit and Loss'!T8)</f>
        <v>8.6011023057752372</v>
      </c>
      <c r="W9" s="21">
        <f ca="1">('Cash Flow'!U7+'Profit and Loss'!U8)/('Profit and Loss'!U8)</f>
        <v>8.7405750779441789</v>
      </c>
      <c r="X9" s="21">
        <f ca="1">('Cash Flow'!V7+'Profit and Loss'!V8)/('Profit and Loss'!V8)</f>
        <v>8.8418820179174844</v>
      </c>
      <c r="Y9" s="21">
        <f ca="1">('Cash Flow'!W7+'Profit and Loss'!W8)/('Profit and Loss'!W8)</f>
        <v>8.8861624450251924</v>
      </c>
      <c r="Z9" s="21">
        <f ca="1">('Cash Flow'!X7+'Profit and Loss'!X8)/('Profit and Loss'!X8)</f>
        <v>8.9319601987323303</v>
      </c>
      <c r="AA9" s="21">
        <f ca="1">('Cash Flow'!Y7+'Profit and Loss'!Y8)/('Profit and Loss'!Y8)</f>
        <v>8.981087076156383</v>
      </c>
      <c r="AB9" s="21">
        <f ca="1">('Cash Flow'!Z7+'Profit and Loss'!Z8)/('Profit and Loss'!Z8)</f>
        <v>9.0353534688291059</v>
      </c>
      <c r="AC9" s="21">
        <f ca="1">('Cash Flow'!AA7+'Profit and Loss'!AA8)/('Profit and Loss'!AA8)</f>
        <v>9.0965766830018318</v>
      </c>
      <c r="AD9" s="21">
        <f ca="1">('Cash Flow'!AB7+'Profit and Loss'!AB8)/('Profit and Loss'!AB8)</f>
        <v>9.0855095285168392</v>
      </c>
      <c r="AE9" s="21">
        <f ca="1">('Cash Flow'!AC7+'Profit and Loss'!AC8)/('Profit and Loss'!AC8)</f>
        <v>8.6950548478918144</v>
      </c>
      <c r="AF9" s="21">
        <f ca="1">('Cash Flow'!AD7+'Profit and Loss'!AD8)/('Profit and Loss'!AD8)</f>
        <v>8.2299501516114315</v>
      </c>
      <c r="AG9" s="21">
        <f ca="1">('Cash Flow'!AE7+'Profit and Loss'!AE8)/('Profit and Loss'!AE8)</f>
        <v>7.7123956102984339</v>
      </c>
      <c r="AH9" s="21">
        <f ca="1">('Cash Flow'!AF7+'Profit and Loss'!AF8)/('Profit and Loss'!AF8)</f>
        <v>7.1646918199987102</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4573845.7559732981</v>
      </c>
      <c r="D5" s="1">
        <f>Assumptions!E111</f>
        <v>4573845.7559732981</v>
      </c>
      <c r="E5" s="1">
        <f>Assumptions!F111</f>
        <v>4573845.7559732981</v>
      </c>
      <c r="F5" s="1">
        <f>Assumptions!G111</f>
        <v>4573845.7559732981</v>
      </c>
      <c r="G5" s="1">
        <f>Assumptions!H111</f>
        <v>4573845.7559732981</v>
      </c>
      <c r="H5" s="1">
        <f>Assumptions!I111</f>
        <v>4573845.7559732981</v>
      </c>
      <c r="I5" s="1">
        <f>Assumptions!J111</f>
        <v>4573845.7559732981</v>
      </c>
      <c r="J5" s="1">
        <f>Assumptions!K111</f>
        <v>4573845.7559732981</v>
      </c>
      <c r="K5" s="1">
        <f>Assumptions!L111</f>
        <v>4573845.7559732981</v>
      </c>
      <c r="L5" s="1">
        <f>Assumptions!M111</f>
        <v>4573845.7559732981</v>
      </c>
      <c r="M5" s="1">
        <f>Assumptions!N111</f>
        <v>4573845.7559732981</v>
      </c>
      <c r="N5" s="1">
        <f>Assumptions!O111</f>
        <v>4573845.7559732981</v>
      </c>
      <c r="O5" s="1">
        <f>Assumptions!P111</f>
        <v>4573845.7559732981</v>
      </c>
      <c r="P5" s="1">
        <f>Assumptions!Q111</f>
        <v>4573845.7559732981</v>
      </c>
      <c r="Q5" s="1">
        <f>Assumptions!R111</f>
        <v>4573845.7559732981</v>
      </c>
      <c r="R5" s="1">
        <f>Assumptions!S111</f>
        <v>4573845.7559732981</v>
      </c>
      <c r="S5" s="1">
        <f>Assumptions!T111</f>
        <v>4573845.7559732981</v>
      </c>
      <c r="T5" s="1">
        <f>Assumptions!U111</f>
        <v>4573845.7559732981</v>
      </c>
      <c r="U5" s="1">
        <f>Assumptions!V111</f>
        <v>4573845.7559732981</v>
      </c>
      <c r="V5" s="1">
        <f>Assumptions!W111</f>
        <v>4573845.7559732981</v>
      </c>
      <c r="W5" s="1">
        <f>Assumptions!X111</f>
        <v>4573845.7559732981</v>
      </c>
      <c r="X5" s="1">
        <f>Assumptions!Y111</f>
        <v>4573845.7559732981</v>
      </c>
      <c r="Y5" s="1">
        <f>Assumptions!Z111</f>
        <v>4573845.7559732981</v>
      </c>
      <c r="Z5" s="1">
        <f>Assumptions!AA111</f>
        <v>4573845.7559732981</v>
      </c>
      <c r="AA5" s="1">
        <f>Assumptions!AB111</f>
        <v>4573845.7559732981</v>
      </c>
      <c r="AB5" s="1">
        <f>Assumptions!AC111</f>
        <v>4573845.7559732981</v>
      </c>
      <c r="AC5" s="1">
        <f>Assumptions!AD111</f>
        <v>4573845.7559732981</v>
      </c>
      <c r="AD5" s="1">
        <f>Assumptions!AE111</f>
        <v>4573845.7559732981</v>
      </c>
      <c r="AE5" s="1">
        <f>Assumptions!AF111</f>
        <v>4573845.7559732981</v>
      </c>
      <c r="AF5" s="1">
        <f>Assumptions!AG111</f>
        <v>4573845.7559732981</v>
      </c>
    </row>
    <row r="6" spans="1:32" x14ac:dyDescent="0.35">
      <c r="A6" t="s">
        <v>68</v>
      </c>
      <c r="C6" s="1">
        <f>Assumptions!D113</f>
        <v>24126048.333333332</v>
      </c>
      <c r="D6" s="1">
        <f>Assumptions!E113</f>
        <v>24126048.333333332</v>
      </c>
      <c r="E6" s="1">
        <f>Assumptions!F113</f>
        <v>24126048.333333332</v>
      </c>
      <c r="F6" s="1">
        <f>Assumptions!G113</f>
        <v>24126048.333333332</v>
      </c>
      <c r="G6" s="1">
        <f>Assumptions!H113</f>
        <v>24126048.333333332</v>
      </c>
      <c r="H6" s="1">
        <f>Assumptions!I113</f>
        <v>24126048.333333332</v>
      </c>
      <c r="I6" s="1">
        <f>Assumptions!J113</f>
        <v>24126048.333333332</v>
      </c>
      <c r="J6" s="1">
        <f>Assumptions!K113</f>
        <v>24126048.333333332</v>
      </c>
      <c r="K6" s="1">
        <f>Assumptions!L113</f>
        <v>24126048.333333332</v>
      </c>
      <c r="L6" s="1">
        <f>Assumptions!M113</f>
        <v>24126048.333333332</v>
      </c>
      <c r="M6" s="1">
        <f>Assumptions!N113</f>
        <v>24126048.333333332</v>
      </c>
      <c r="N6" s="1">
        <f>Assumptions!O113</f>
        <v>24126048.333333332</v>
      </c>
      <c r="O6" s="1">
        <f>Assumptions!P113</f>
        <v>24126048.333333332</v>
      </c>
      <c r="P6" s="1">
        <f>Assumptions!Q113</f>
        <v>24126048.333333332</v>
      </c>
      <c r="Q6" s="1">
        <f>Assumptions!R113</f>
        <v>24126048.333333332</v>
      </c>
      <c r="R6" s="1">
        <f>Assumptions!S113</f>
        <v>24126048.333333332</v>
      </c>
      <c r="S6" s="1">
        <f>Assumptions!T113</f>
        <v>24126048.333333332</v>
      </c>
      <c r="T6" s="1">
        <f>Assumptions!U113</f>
        <v>24126048.333333332</v>
      </c>
      <c r="U6" s="1">
        <f>Assumptions!V113</f>
        <v>24126048.333333332</v>
      </c>
      <c r="V6" s="1">
        <f>Assumptions!W113</f>
        <v>24126048.333333332</v>
      </c>
      <c r="W6" s="1">
        <f>Assumptions!X113</f>
        <v>24126048.333333332</v>
      </c>
      <c r="X6" s="1">
        <f>Assumptions!Y113</f>
        <v>24126048.333333332</v>
      </c>
      <c r="Y6" s="1">
        <f>Assumptions!Z113</f>
        <v>24126048.333333332</v>
      </c>
      <c r="Z6" s="1">
        <f>Assumptions!AA113</f>
        <v>24126048.333333332</v>
      </c>
      <c r="AA6" s="1">
        <f>Assumptions!AB113</f>
        <v>24126048.333333332</v>
      </c>
      <c r="AB6" s="1">
        <f>Assumptions!AC113</f>
        <v>24126048.333333332</v>
      </c>
      <c r="AC6" s="1">
        <f>Assumptions!AD113</f>
        <v>24126048.333333332</v>
      </c>
      <c r="AD6" s="1">
        <f>Assumptions!AE113</f>
        <v>24126048.333333332</v>
      </c>
      <c r="AE6" s="1">
        <f>Assumptions!AF113</f>
        <v>24126048.333333332</v>
      </c>
      <c r="AF6" s="1">
        <f>Assumptions!AG113</f>
        <v>24126048.333333332</v>
      </c>
    </row>
    <row r="7" spans="1:32" x14ac:dyDescent="0.35">
      <c r="A7" t="s">
        <v>73</v>
      </c>
      <c r="C7" s="1">
        <f>Assumptions!D120</f>
        <v>579025.15999999992</v>
      </c>
      <c r="D7" s="1">
        <f>Assumptions!E120</f>
        <v>1158050.3199999998</v>
      </c>
      <c r="E7" s="1">
        <f>Assumptions!F120</f>
        <v>1737075.48</v>
      </c>
      <c r="F7" s="1">
        <f>Assumptions!G120</f>
        <v>2316100.6399999997</v>
      </c>
      <c r="G7" s="1">
        <f>Assumptions!H120</f>
        <v>2895125.8</v>
      </c>
      <c r="H7" s="1">
        <f>Assumptions!I120</f>
        <v>3474150.96</v>
      </c>
      <c r="I7" s="1">
        <f>Assumptions!J120</f>
        <v>4053176.12</v>
      </c>
      <c r="J7" s="1">
        <f>Assumptions!K120</f>
        <v>4632201.28</v>
      </c>
      <c r="K7" s="1">
        <f>Assumptions!L120</f>
        <v>5211226.4400000004</v>
      </c>
      <c r="L7" s="1">
        <f>Assumptions!M120</f>
        <v>5790251.6000000015</v>
      </c>
      <c r="M7" s="1">
        <f>Assumptions!N120</f>
        <v>6369276.7600000016</v>
      </c>
      <c r="N7" s="1">
        <f>Assumptions!O120</f>
        <v>6948301.9200000009</v>
      </c>
      <c r="O7" s="1">
        <f>Assumptions!P120</f>
        <v>7527327.080000001</v>
      </c>
      <c r="P7" s="1">
        <f>Assumptions!Q120</f>
        <v>8106352.2400000002</v>
      </c>
      <c r="Q7" s="1">
        <f>Assumptions!R120</f>
        <v>8685377.4000000004</v>
      </c>
      <c r="R7" s="1">
        <f>Assumptions!S120</f>
        <v>9264402.5599999987</v>
      </c>
      <c r="S7" s="1">
        <f>Assumptions!T120</f>
        <v>9843427.7199999988</v>
      </c>
      <c r="T7" s="1">
        <f>Assumptions!U120</f>
        <v>10422452.879999999</v>
      </c>
      <c r="U7" s="1">
        <f>Assumptions!V120</f>
        <v>11001478.039999999</v>
      </c>
      <c r="V7" s="1">
        <f>Assumptions!W120</f>
        <v>11580503.199999999</v>
      </c>
      <c r="W7" s="1">
        <f>Assumptions!X120</f>
        <v>12159528.359999999</v>
      </c>
      <c r="X7" s="1">
        <f>Assumptions!Y120</f>
        <v>12738553.519999996</v>
      </c>
      <c r="Y7" s="1">
        <f>Assumptions!Z120</f>
        <v>13317578.679999996</v>
      </c>
      <c r="Z7" s="1">
        <f>Assumptions!AA120</f>
        <v>13896603.839999996</v>
      </c>
      <c r="AA7" s="1">
        <f>Assumptions!AB120</f>
        <v>14475628.999999996</v>
      </c>
      <c r="AB7" s="1">
        <f>Assumptions!AC120</f>
        <v>15054654.159999996</v>
      </c>
      <c r="AC7" s="1">
        <f>Assumptions!AD120</f>
        <v>15633679.32</v>
      </c>
      <c r="AD7" s="1">
        <f>Assumptions!AE120</f>
        <v>16212704.48</v>
      </c>
      <c r="AE7" s="1">
        <f>Assumptions!AF120</f>
        <v>16791729.640000001</v>
      </c>
      <c r="AF7" s="1">
        <f>Assumptions!AG120</f>
        <v>17370754.800000004</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4720208.8201644439</v>
      </c>
      <c r="D11" s="1">
        <f>D5*D$9</f>
        <v>4871255.5024097059</v>
      </c>
      <c r="E11" s="1">
        <f t="shared" ref="D11:AF13" si="1">E5*E$9</f>
        <v>5027135.6784868157</v>
      </c>
      <c r="F11" s="1">
        <f t="shared" si="1"/>
        <v>5188004.0201983945</v>
      </c>
      <c r="G11" s="1">
        <f t="shared" si="1"/>
        <v>5354020.1488447431</v>
      </c>
      <c r="H11" s="1">
        <f t="shared" si="1"/>
        <v>5525348.7936077742</v>
      </c>
      <c r="I11" s="1">
        <f t="shared" si="1"/>
        <v>5702159.9550032225</v>
      </c>
      <c r="J11" s="1">
        <f t="shared" si="1"/>
        <v>5884629.0735633262</v>
      </c>
      <c r="K11" s="1">
        <f t="shared" si="1"/>
        <v>6072937.2039173534</v>
      </c>
      <c r="L11" s="1">
        <f t="shared" si="1"/>
        <v>6267271.194442708</v>
      </c>
      <c r="M11" s="1">
        <f t="shared" si="1"/>
        <v>6467823.8726648744</v>
      </c>
      <c r="N11" s="1">
        <f t="shared" si="1"/>
        <v>6674794.2365901507</v>
      </c>
      <c r="O11" s="1">
        <f t="shared" si="1"/>
        <v>6888387.6521610357</v>
      </c>
      <c r="P11" s="1">
        <f t="shared" si="1"/>
        <v>7108816.0570301879</v>
      </c>
      <c r="Q11" s="1">
        <f t="shared" si="1"/>
        <v>7336298.1708551524</v>
      </c>
      <c r="R11" s="1">
        <f t="shared" si="1"/>
        <v>7571059.7123225192</v>
      </c>
      <c r="S11" s="1">
        <f t="shared" si="1"/>
        <v>7813333.6231168406</v>
      </c>
      <c r="T11" s="1">
        <f t="shared" si="1"/>
        <v>8063360.2990565784</v>
      </c>
      <c r="U11" s="1">
        <f t="shared" si="1"/>
        <v>8321387.8286263878</v>
      </c>
      <c r="V11" s="1">
        <f t="shared" si="1"/>
        <v>8587672.2391424328</v>
      </c>
      <c r="W11" s="1">
        <f t="shared" si="1"/>
        <v>8862477.7507949919</v>
      </c>
      <c r="X11" s="1">
        <f t="shared" si="1"/>
        <v>9146077.0388204306</v>
      </c>
      <c r="Y11" s="1">
        <f t="shared" si="1"/>
        <v>9438751.5040626843</v>
      </c>
      <c r="Z11" s="1">
        <f t="shared" si="1"/>
        <v>9740791.5521926899</v>
      </c>
      <c r="AA11" s="1">
        <f t="shared" si="1"/>
        <v>10052496.881862858</v>
      </c>
      <c r="AB11" s="1">
        <f t="shared" si="1"/>
        <v>10374176.782082468</v>
      </c>
      <c r="AC11" s="1">
        <f t="shared" si="1"/>
        <v>10706150.439109106</v>
      </c>
      <c r="AD11" s="1">
        <f t="shared" si="1"/>
        <v>11048747.2531606</v>
      </c>
      <c r="AE11" s="1">
        <f t="shared" si="1"/>
        <v>11402307.165261738</v>
      </c>
      <c r="AF11" s="1">
        <f t="shared" si="1"/>
        <v>11767180.994550111</v>
      </c>
    </row>
    <row r="12" spans="1:32" x14ac:dyDescent="0.35">
      <c r="A12" t="s">
        <v>71</v>
      </c>
      <c r="C12" s="1">
        <f t="shared" ref="C12:R12" si="2">C6*C$9</f>
        <v>24898081.879999999</v>
      </c>
      <c r="D12" s="1">
        <f t="shared" si="2"/>
        <v>25694820.500159997</v>
      </c>
      <c r="E12" s="1">
        <f t="shared" si="2"/>
        <v>26517054.756165117</v>
      </c>
      <c r="F12" s="1">
        <f t="shared" si="2"/>
        <v>27365600.508362401</v>
      </c>
      <c r="G12" s="1">
        <f t="shared" si="2"/>
        <v>28241299.724630002</v>
      </c>
      <c r="H12" s="1">
        <f t="shared" si="2"/>
        <v>29145021.315818157</v>
      </c>
      <c r="I12" s="1">
        <f t="shared" si="2"/>
        <v>30077661.997924332</v>
      </c>
      <c r="J12" s="1">
        <f t="shared" si="2"/>
        <v>31040147.181857917</v>
      </c>
      <c r="K12" s="1">
        <f t="shared" si="2"/>
        <v>32033431.891677372</v>
      </c>
      <c r="L12" s="1">
        <f t="shared" si="2"/>
        <v>33058501.712211046</v>
      </c>
      <c r="M12" s="1">
        <f t="shared" si="2"/>
        <v>34116373.7670018</v>
      </c>
      <c r="N12" s="1">
        <f t="shared" si="2"/>
        <v>35208097.727545857</v>
      </c>
      <c r="O12" s="1">
        <f t="shared" si="2"/>
        <v>36334756.85482733</v>
      </c>
      <c r="P12" s="1">
        <f t="shared" si="2"/>
        <v>37497469.074181795</v>
      </c>
      <c r="Q12" s="1">
        <f t="shared" si="2"/>
        <v>38697388.084555604</v>
      </c>
      <c r="R12" s="1">
        <f t="shared" si="2"/>
        <v>39935704.503261395</v>
      </c>
      <c r="S12" s="1">
        <f t="shared" si="1"/>
        <v>41213647.047365762</v>
      </c>
      <c r="T12" s="1">
        <f t="shared" si="1"/>
        <v>42532483.75288146</v>
      </c>
      <c r="U12" s="1">
        <f t="shared" si="1"/>
        <v>43893523.232973665</v>
      </c>
      <c r="V12" s="1">
        <f t="shared" si="1"/>
        <v>45298115.976428829</v>
      </c>
      <c r="W12" s="1">
        <f t="shared" si="1"/>
        <v>46747655.687674552</v>
      </c>
      <c r="X12" s="1">
        <f t="shared" si="1"/>
        <v>48243580.669680133</v>
      </c>
      <c r="Y12" s="1">
        <f t="shared" si="1"/>
        <v>49787375.251109891</v>
      </c>
      <c r="Z12" s="1">
        <f t="shared" si="1"/>
        <v>51380571.259145409</v>
      </c>
      <c r="AA12" s="1">
        <f t="shared" si="1"/>
        <v>53024749.539438076</v>
      </c>
      <c r="AB12" s="1">
        <f t="shared" si="1"/>
        <v>54721541.524700083</v>
      </c>
      <c r="AC12" s="1">
        <f t="shared" si="1"/>
        <v>56472630.853490479</v>
      </c>
      <c r="AD12" s="1">
        <f t="shared" si="1"/>
        <v>58279755.040802181</v>
      </c>
      <c r="AE12" s="1">
        <f t="shared" si="1"/>
        <v>60144707.202107854</v>
      </c>
      <c r="AF12" s="1">
        <f t="shared" si="1"/>
        <v>62069337.832575291</v>
      </c>
    </row>
    <row r="13" spans="1:32" x14ac:dyDescent="0.35">
      <c r="A13" t="s">
        <v>74</v>
      </c>
      <c r="C13" s="1">
        <f>C7*C$9</f>
        <v>597553.96511999995</v>
      </c>
      <c r="D13" s="1">
        <f t="shared" si="1"/>
        <v>1233351.3840076798</v>
      </c>
      <c r="E13" s="1">
        <f t="shared" si="1"/>
        <v>1909227.9424438884</v>
      </c>
      <c r="F13" s="1">
        <f t="shared" si="1"/>
        <v>2627097.6488027903</v>
      </c>
      <c r="G13" s="1">
        <f t="shared" si="1"/>
        <v>3388955.9669555998</v>
      </c>
      <c r="H13" s="1">
        <f t="shared" si="1"/>
        <v>4196883.0694778142</v>
      </c>
      <c r="I13" s="1">
        <f t="shared" si="1"/>
        <v>5053047.2156512886</v>
      </c>
      <c r="J13" s="1">
        <f t="shared" si="1"/>
        <v>5959708.2589167207</v>
      </c>
      <c r="K13" s="1">
        <f t="shared" si="1"/>
        <v>6919221.288602313</v>
      </c>
      <c r="L13" s="1">
        <f t="shared" si="1"/>
        <v>7934040.4109306531</v>
      </c>
      <c r="M13" s="1">
        <f t="shared" si="1"/>
        <v>9006722.6744884774</v>
      </c>
      <c r="N13" s="1">
        <f t="shared" si="1"/>
        <v>10139932.145533208</v>
      </c>
      <c r="O13" s="1">
        <f t="shared" si="1"/>
        <v>11336444.138706127</v>
      </c>
      <c r="P13" s="1">
        <f t="shared" si="1"/>
        <v>12599149.608925084</v>
      </c>
      <c r="Q13" s="1">
        <f t="shared" si="1"/>
        <v>13931059.710440019</v>
      </c>
      <c r="R13" s="1">
        <f t="shared" si="1"/>
        <v>15335310.529252375</v>
      </c>
      <c r="S13" s="1">
        <f t="shared" si="1"/>
        <v>16815167.99532523</v>
      </c>
      <c r="T13" s="1">
        <f t="shared" si="1"/>
        <v>18374032.981244791</v>
      </c>
      <c r="U13" s="1">
        <f t="shared" si="1"/>
        <v>20015446.59423599</v>
      </c>
      <c r="V13" s="1">
        <f t="shared" si="1"/>
        <v>21743095.668685835</v>
      </c>
      <c r="W13" s="1">
        <f t="shared" si="1"/>
        <v>23560818.466587976</v>
      </c>
      <c r="X13" s="1">
        <f t="shared" si="1"/>
        <v>25472610.593591101</v>
      </c>
      <c r="Y13" s="1">
        <f t="shared" si="1"/>
        <v>27482631.13861265</v>
      </c>
      <c r="Z13" s="1">
        <f t="shared" si="1"/>
        <v>29595209.04526775</v>
      </c>
      <c r="AA13" s="1">
        <f t="shared" si="1"/>
        <v>31814849.723662838</v>
      </c>
      <c r="AB13" s="1">
        <f t="shared" si="1"/>
        <v>34146241.911412843</v>
      </c>
      <c r="AC13" s="1">
        <f t="shared" si="1"/>
        <v>36594264.79306183</v>
      </c>
      <c r="AD13" s="1">
        <f t="shared" si="1"/>
        <v>39163995.387419067</v>
      </c>
      <c r="AE13" s="1">
        <f t="shared" si="1"/>
        <v>41860716.21266707</v>
      </c>
      <c r="AF13" s="1">
        <f t="shared" si="1"/>
        <v>44689923.239454225</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30215844.665284444</v>
      </c>
      <c r="D25" s="40">
        <f>SUM(D11:D13,D18:D23)</f>
        <v>31799427.386577386</v>
      </c>
      <c r="E25" s="40">
        <f t="shared" ref="E25:AF25" si="7">SUM(E11:E13,E18:E23)</f>
        <v>33453418.377095822</v>
      </c>
      <c r="F25" s="40">
        <f t="shared" si="7"/>
        <v>35180702.177363582</v>
      </c>
      <c r="G25" s="40">
        <f t="shared" si="7"/>
        <v>36984275.840430349</v>
      </c>
      <c r="H25" s="40">
        <f t="shared" si="7"/>
        <v>38867253.178903744</v>
      </c>
      <c r="I25" s="40">
        <f t="shared" si="7"/>
        <v>40832869.168578841</v>
      </c>
      <c r="J25" s="40">
        <f t="shared" si="7"/>
        <v>42884484.514337964</v>
      </c>
      <c r="K25" s="40">
        <f t="shared" si="7"/>
        <v>45025590.384197041</v>
      </c>
      <c r="L25" s="40">
        <f t="shared" si="7"/>
        <v>47259813.31758441</v>
      </c>
      <c r="M25" s="40">
        <f t="shared" si="7"/>
        <v>49590920.314155154</v>
      </c>
      <c r="N25" s="40">
        <f t="shared" si="7"/>
        <v>52022824.109669209</v>
      </c>
      <c r="O25" s="40">
        <f t="shared" si="7"/>
        <v>54559588.645694487</v>
      </c>
      <c r="P25" s="40">
        <f t="shared" si="7"/>
        <v>57205434.740137063</v>
      </c>
      <c r="Q25" s="40">
        <f t="shared" si="7"/>
        <v>59964745.96585077</v>
      </c>
      <c r="R25" s="40">
        <f t="shared" si="7"/>
        <v>62842074.744836286</v>
      </c>
      <c r="S25" s="40">
        <f t="shared" si="7"/>
        <v>65842148.665807836</v>
      </c>
      <c r="T25" s="40">
        <f t="shared" si="7"/>
        <v>68969877.03318283</v>
      </c>
      <c r="U25" s="40">
        <f t="shared" si="7"/>
        <v>72230357.655836046</v>
      </c>
      <c r="V25" s="40">
        <f t="shared" si="7"/>
        <v>75628883.884257093</v>
      </c>
      <c r="W25" s="40">
        <f t="shared" si="7"/>
        <v>79170951.90505752</v>
      </c>
      <c r="X25" s="40">
        <f t="shared" si="7"/>
        <v>82862268.302091658</v>
      </c>
      <c r="Y25" s="40">
        <f t="shared" si="7"/>
        <v>86708757.893785223</v>
      </c>
      <c r="Z25" s="40">
        <f t="shared" si="7"/>
        <v>90716571.856605843</v>
      </c>
      <c r="AA25" s="40">
        <f t="shared" si="7"/>
        <v>94892096.144963771</v>
      </c>
      <c r="AB25" s="40">
        <f t="shared" si="7"/>
        <v>99241960.218195394</v>
      </c>
      <c r="AC25" s="40">
        <f t="shared" si="7"/>
        <v>103773046.08566141</v>
      </c>
      <c r="AD25" s="40">
        <f t="shared" si="7"/>
        <v>108492497.68138185</v>
      </c>
      <c r="AE25" s="40">
        <f t="shared" si="7"/>
        <v>113407730.58003667</v>
      </c>
      <c r="AF25" s="40">
        <f t="shared" si="7"/>
        <v>118526442.06657963</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115" zoomScaleNormal="115"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9531000</v>
      </c>
      <c r="D5" s="59">
        <f>C5*('Price and Financial ratios'!F4+1)*(1+Assumptions!$C$13)</f>
        <v>13819950</v>
      </c>
      <c r="E5" s="59">
        <f>D5*('Price and Financial ratios'!G4+1)*(1+Assumptions!$C$13)</f>
        <v>20038927.5</v>
      </c>
      <c r="F5" s="59">
        <f>E5*('Price and Financial ratios'!H4+1)*(1+Assumptions!$C$13)</f>
        <v>29056444.875</v>
      </c>
      <c r="G5" s="59">
        <f>F5*('Price and Financial ratios'!I4+1)*(1+Assumptions!$C$13)</f>
        <v>35448862.747500002</v>
      </c>
      <c r="H5" s="59">
        <f>G5*('Price and Financial ratios'!J4+1)*(1+Assumptions!$C$13)</f>
        <v>41120680.787100002</v>
      </c>
      <c r="I5" s="59">
        <f>H5*('Price and Financial ratios'!K4+1)*(1+Assumptions!$C$13)</f>
        <v>45232748.865810007</v>
      </c>
      <c r="J5" s="59">
        <f>I5*('Price and Financial ratios'!L4+1)*(1+Assumptions!$C$13)</f>
        <v>48851368.77507481</v>
      </c>
      <c r="K5" s="59">
        <f>J5*('Price and Financial ratios'!M4+1)*(1+Assumptions!$C$13)</f>
        <v>52759478.277080797</v>
      </c>
      <c r="L5" s="59">
        <f>K5*('Price and Financial ratios'!N4+1)*(1+Assumptions!$C$13)</f>
        <v>56452641.756476454</v>
      </c>
      <c r="M5" s="59">
        <f>L5*('Price and Financial ratios'!O4+1)*(1+Assumptions!$C$13)</f>
        <v>60404326.679429807</v>
      </c>
      <c r="N5" s="59">
        <f>M5*('Price and Financial ratios'!P4+1)*(1+Assumptions!$C$13)</f>
        <v>64632629.546989895</v>
      </c>
      <c r="O5" s="59">
        <f>N5*('Price and Financial ratios'!Q4+1)*(1+Assumptions!$C$13)</f>
        <v>68510587.319809288</v>
      </c>
      <c r="P5" s="59">
        <f>O5*('Price and Financial ratios'!R4+1)*(1+Assumptions!$C$13)</f>
        <v>72621222.558997855</v>
      </c>
      <c r="Q5" s="59">
        <f>P5*('Price and Financial ratios'!S4+1)*(1+Assumptions!$C$13)</f>
        <v>76978495.912537724</v>
      </c>
      <c r="R5" s="59">
        <f>Q5*('Price and Financial ratios'!T4+1)*(1+Assumptions!$C$13)</f>
        <v>81597205.667289987</v>
      </c>
      <c r="S5" s="59">
        <f>R5*('Price and Financial ratios'!U4+1)*(1+Assumptions!$C$13)</f>
        <v>86493038.007327393</v>
      </c>
      <c r="T5" s="59">
        <f>S5*('Price and Financial ratios'!V4+1)*(1+Assumptions!$C$13)</f>
        <v>91682620.287767038</v>
      </c>
      <c r="U5" s="59">
        <f>T5*('Price and Financial ratios'!W4+1)*(1+Assumptions!$C$13)</f>
        <v>97183577.505033061</v>
      </c>
      <c r="V5" s="59">
        <f>U5*('Price and Financial ratios'!X4+1)*(1+Assumptions!$C$13)</f>
        <v>102528674.26780987</v>
      </c>
      <c r="W5" s="59">
        <f>V5*('Price and Financial ratios'!Y4+1)*(1+Assumptions!$C$13)</f>
        <v>107655107.98120037</v>
      </c>
      <c r="X5" s="59">
        <f>W5*('Price and Financial ratios'!Z4+1)*(1+Assumptions!$C$13)</f>
        <v>113037863.38026039</v>
      </c>
      <c r="Y5" s="59">
        <f>X5*('Price and Financial ratios'!AA4+1)*(1+Assumptions!$C$13)</f>
        <v>118689756.54927342</v>
      </c>
      <c r="Z5" s="59">
        <f>Y5*('Price and Financial ratios'!AB4+1)*(1+Assumptions!$C$13)</f>
        <v>124624244.37673709</v>
      </c>
      <c r="AA5" s="59">
        <f>Z5*('Price and Financial ratios'!AC4+1)*(1+Assumptions!$C$13)</f>
        <v>130855456.59557395</v>
      </c>
      <c r="AB5" s="59">
        <f>AA5*('Price and Financial ratios'!AD4+1)*(1+Assumptions!$C$13)</f>
        <v>136743952.14237475</v>
      </c>
      <c r="AC5" s="59">
        <f>AB5*('Price and Financial ratios'!AE4+1)*(1+Assumptions!$C$13)</f>
        <v>139752319.08950701</v>
      </c>
      <c r="AD5" s="59">
        <f>AC5*('Price and Financial ratios'!AF4+1)*(1+Assumptions!$C$13)</f>
        <v>142826870.10947618</v>
      </c>
      <c r="AE5" s="59">
        <f>AD5*('Price and Financial ratios'!AG4+1)*(1+Assumptions!$C$13)</f>
        <v>145969061.25188467</v>
      </c>
      <c r="AF5" s="59">
        <f>AE5*('Price and Financial ratios'!AH4+1)*(1+Assumptions!$C$13)</f>
        <v>149180380.59942612</v>
      </c>
    </row>
    <row r="6" spans="1:32" s="11" customFormat="1" x14ac:dyDescent="0.35">
      <c r="A6" s="11" t="s">
        <v>20</v>
      </c>
      <c r="C6" s="59">
        <f>C27</f>
        <v>4178734.6419000002</v>
      </c>
      <c r="D6" s="59">
        <f t="shared" ref="D6:AF6" si="1">D27</f>
        <v>5026644.9480435997</v>
      </c>
      <c r="E6" s="59">
        <f>E27</f>
        <v>5909840.8000908382</v>
      </c>
      <c r="F6" s="59">
        <f t="shared" si="1"/>
        <v>6829464.3734733034</v>
      </c>
      <c r="G6" s="59">
        <f t="shared" si="1"/>
        <v>7786691.0211373512</v>
      </c>
      <c r="H6" s="59">
        <f t="shared" si="1"/>
        <v>8782730.1805418581</v>
      </c>
      <c r="I6" s="59">
        <f t="shared" si="1"/>
        <v>9818826.3045059312</v>
      </c>
      <c r="J6" s="59">
        <f t="shared" si="1"/>
        <v>10896259.816517044</v>
      </c>
      <c r="K6" s="59">
        <f t="shared" si="1"/>
        <v>12016348.091125261</v>
      </c>
      <c r="L6" s="59">
        <f t="shared" si="1"/>
        <v>13180446.460065048</v>
      </c>
      <c r="M6" s="59">
        <f t="shared" si="1"/>
        <v>14389949.244762082</v>
      </c>
      <c r="N6" s="59">
        <f t="shared" si="1"/>
        <v>15646290.815899111</v>
      </c>
      <c r="O6" s="59">
        <f t="shared" si="1"/>
        <v>16950946.680731706</v>
      </c>
      <c r="P6" s="59">
        <f t="shared" si="1"/>
        <v>18305434.598862037</v>
      </c>
      <c r="Q6" s="59">
        <f t="shared" si="1"/>
        <v>19711315.727196634</v>
      </c>
      <c r="R6" s="59">
        <f t="shared" si="1"/>
        <v>21170195.794832096</v>
      </c>
      <c r="S6" s="59">
        <f t="shared" si="1"/>
        <v>22683726.308631562</v>
      </c>
      <c r="T6" s="59">
        <f t="shared" si="1"/>
        <v>24253605.790273502</v>
      </c>
      <c r="U6" s="59">
        <f t="shared" si="1"/>
        <v>25881581.045574311</v>
      </c>
      <c r="V6" s="59">
        <f t="shared" si="1"/>
        <v>27569448.466905862</v>
      </c>
      <c r="W6" s="59">
        <f t="shared" si="1"/>
        <v>29319055.369549945</v>
      </c>
      <c r="X6" s="59">
        <f t="shared" si="1"/>
        <v>31132301.36285238</v>
      </c>
      <c r="Y6" s="59">
        <f t="shared" si="1"/>
        <v>33011139.757061265</v>
      </c>
      <c r="Z6" s="59">
        <f t="shared" si="1"/>
        <v>34957579.006755732</v>
      </c>
      <c r="AA6" s="59">
        <f t="shared" si="1"/>
        <v>36973684.191794321</v>
      </c>
      <c r="AB6" s="59">
        <f t="shared" si="1"/>
        <v>39061578.536735356</v>
      </c>
      <c r="AC6" s="59">
        <f t="shared" si="1"/>
        <v>41223444.969704948</v>
      </c>
      <c r="AD6" s="59">
        <f t="shared" si="1"/>
        <v>43461527.721713439</v>
      </c>
      <c r="AE6" s="59">
        <f t="shared" si="1"/>
        <v>45778133.967444956</v>
      </c>
      <c r="AF6" s="59">
        <f t="shared" si="1"/>
        <v>48175635.508571349</v>
      </c>
    </row>
    <row r="7" spans="1:32" x14ac:dyDescent="0.35">
      <c r="A7" t="s">
        <v>21</v>
      </c>
      <c r="C7" s="4">
        <f>Depreciation!C8+Depreciation!C9</f>
        <v>5317762.7852844438</v>
      </c>
      <c r="D7" s="4">
        <f>Depreciation!D8+Depreciation!D9</f>
        <v>6104606.8864173852</v>
      </c>
      <c r="E7" s="4">
        <f>Depreciation!E8+Depreciation!E9</f>
        <v>6936363.6209307043</v>
      </c>
      <c r="F7" s="4">
        <f>Depreciation!F8+Depreciation!F9</f>
        <v>7815101.6690011844</v>
      </c>
      <c r="G7" s="4">
        <f>Depreciation!G8+Depreciation!G9</f>
        <v>8742976.1158003435</v>
      </c>
      <c r="H7" s="4">
        <f>Depreciation!H8+Depreciation!H9</f>
        <v>9722231.8630855884</v>
      </c>
      <c r="I7" s="4">
        <f>Depreciation!I8+Depreciation!I9</f>
        <v>10755207.170654511</v>
      </c>
      <c r="J7" s="4">
        <f>Depreciation!J8+Depreciation!J9</f>
        <v>11844337.332480047</v>
      </c>
      <c r="K7" s="4">
        <f>Depreciation!K8+Depreciation!K9</f>
        <v>12992158.492519666</v>
      </c>
      <c r="L7" s="4">
        <f>Depreciation!L8+Depreciation!L9</f>
        <v>14201311.60537336</v>
      </c>
      <c r="M7" s="4">
        <f>Depreciation!M8+Depreciation!M9</f>
        <v>15474546.547153352</v>
      </c>
      <c r="N7" s="4">
        <f>Depreciation!N8+Depreciation!N9</f>
        <v>16814726.382123359</v>
      </c>
      <c r="O7" s="4">
        <f>Depreciation!O8+Depreciation!O9</f>
        <v>18224831.790867165</v>
      </c>
      <c r="P7" s="4">
        <f>Depreciation!P8+Depreciation!P9</f>
        <v>19707965.665955272</v>
      </c>
      <c r="Q7" s="4">
        <f>Depreciation!Q8+Depreciation!Q9</f>
        <v>21267357.881295171</v>
      </c>
      <c r="R7" s="4">
        <f>Depreciation!R8+Depreciation!R9</f>
        <v>22906370.241574895</v>
      </c>
      <c r="S7" s="4">
        <f>Depreciation!S8+Depreciation!S9</f>
        <v>24628501.61844207</v>
      </c>
      <c r="T7" s="4">
        <f>Depreciation!T8+Depreciation!T9</f>
        <v>26437393.28030137</v>
      </c>
      <c r="U7" s="4">
        <f>Depreciation!U8+Depreciation!U9</f>
        <v>28336834.422862377</v>
      </c>
      <c r="V7" s="4">
        <f>Depreciation!V8+Depreciation!V9</f>
        <v>30330767.907828268</v>
      </c>
      <c r="W7" s="4">
        <f>Depreciation!W8+Depreciation!W9</f>
        <v>32423296.217382967</v>
      </c>
      <c r="X7" s="4">
        <f>Depreciation!X8+Depreciation!X9</f>
        <v>34618687.632411532</v>
      </c>
      <c r="Y7" s="4">
        <f>Depreciation!Y8+Depreciation!Y9</f>
        <v>36921382.642675333</v>
      </c>
      <c r="Z7" s="4">
        <f>Depreciation!Z8+Depreciation!Z9</f>
        <v>39336000.597460441</v>
      </c>
      <c r="AA7" s="4">
        <f>Depreciation!AA8+Depreciation!AA9</f>
        <v>41867346.605525695</v>
      </c>
      <c r="AB7" s="4">
        <f>Depreciation!AB8+Depreciation!AB9</f>
        <v>44520418.693495311</v>
      </c>
      <c r="AC7" s="4">
        <f>Depreciation!AC8+Depreciation!AC9</f>
        <v>47300415.232170939</v>
      </c>
      <c r="AD7" s="4">
        <f>Depreciation!AD8+Depreciation!AD9</f>
        <v>50212742.640579671</v>
      </c>
      <c r="AE7" s="4">
        <f>Depreciation!AE8+Depreciation!AE9</f>
        <v>53263023.377928808</v>
      </c>
      <c r="AF7" s="4">
        <f>Depreciation!AF8+Depreciation!AF9</f>
        <v>56457104.234004334</v>
      </c>
    </row>
    <row r="8" spans="1:32" x14ac:dyDescent="0.35">
      <c r="A8" t="s">
        <v>6</v>
      </c>
      <c r="C8" s="4">
        <f ca="1">'Debt worksheet'!C8</f>
        <v>901787.85051964305</v>
      </c>
      <c r="D8" s="4">
        <f ca="1">'Debt worksheet'!D8</f>
        <v>1768914.1266646401</v>
      </c>
      <c r="E8" s="4">
        <f ca="1">'Debt worksheet'!E8</f>
        <v>2533954.1299131331</v>
      </c>
      <c r="F8" s="4">
        <f ca="1">'Debt worksheet'!F8</f>
        <v>3095683.3042149474</v>
      </c>
      <c r="G8" s="4">
        <f ca="1">'Debt worksheet'!G8</f>
        <v>3546069.3763806387</v>
      </c>
      <c r="H8" s="4">
        <f ca="1">'Debt worksheet'!H8</f>
        <v>3911497.3745209686</v>
      </c>
      <c r="I8" s="4">
        <f ca="1">'Debt worksheet'!I8</f>
        <v>4249907.2598710731</v>
      </c>
      <c r="J8" s="4">
        <f ca="1">'Debt worksheet'!J8</f>
        <v>4582834.6158791501</v>
      </c>
      <c r="K8" s="4">
        <f ca="1">'Debt worksheet'!K8</f>
        <v>4904373.8060286045</v>
      </c>
      <c r="L8" s="4">
        <f ca="1">'Debt worksheet'!L8</f>
        <v>5226881.2816265896</v>
      </c>
      <c r="M8" s="4">
        <f ca="1">'Debt worksheet'!M8</f>
        <v>5546176.4584545596</v>
      </c>
      <c r="N8" s="4">
        <f ca="1">'Debt worksheet'!N8</f>
        <v>5857464.7116111973</v>
      </c>
      <c r="O8" s="4">
        <f ca="1">'Debt worksheet'!O8</f>
        <v>6178718.0226350147</v>
      </c>
      <c r="P8" s="4">
        <f ca="1">'Debt worksheet'!P8</f>
        <v>6507622.4455285585</v>
      </c>
      <c r="Q8" s="4">
        <f ca="1">'Debt worksheet'!Q8</f>
        <v>6841489.3760066293</v>
      </c>
      <c r="R8" s="4">
        <f ca="1">'Debt worksheet'!R8</f>
        <v>7177219.3228392471</v>
      </c>
      <c r="S8" s="4">
        <f ca="1">'Debt worksheet'!S8</f>
        <v>7511262.815220898</v>
      </c>
      <c r="T8" s="4">
        <f ca="1">'Debt worksheet'!T8</f>
        <v>7839578.2424559835</v>
      </c>
      <c r="U8" s="4">
        <f ca="1">'Debt worksheet'!U8</f>
        <v>8157586.4086312829</v>
      </c>
      <c r="V8" s="4">
        <f ca="1">'Debt worksheet'!V8</f>
        <v>8477745.5352835674</v>
      </c>
      <c r="W8" s="4">
        <f ca="1">'Debt worksheet'!W8</f>
        <v>8815509.8554951455</v>
      </c>
      <c r="X8" s="4">
        <f ca="1">'Debt worksheet'!X8</f>
        <v>9169942.5652425624</v>
      </c>
      <c r="Y8" s="4">
        <f ca="1">'Debt worksheet'!Y8</f>
        <v>9539893.7863187771</v>
      </c>
      <c r="Z8" s="4">
        <f ca="1">'Debt worksheet'!Z8</f>
        <v>9923979.8065809682</v>
      </c>
      <c r="AA8" s="4">
        <f ca="1">'Debt worksheet'!AA8</f>
        <v>10320560.764271932</v>
      </c>
      <c r="AB8" s="4">
        <f ca="1">'Debt worksheet'!AB8</f>
        <v>10751446.938561026</v>
      </c>
      <c r="AC8" s="4">
        <f ca="1">'Debt worksheet'!AC8</f>
        <v>11331598.919550367</v>
      </c>
      <c r="AD8" s="4">
        <f ca="1">'Debt worksheet'!AD8</f>
        <v>12073626.27443216</v>
      </c>
      <c r="AE8" s="4">
        <f ca="1">'Debt worksheet'!AE8</f>
        <v>12990895.740702646</v>
      </c>
      <c r="AF8" s="4">
        <f ca="1">'Debt worksheet'!AF8</f>
        <v>14097570.087930586</v>
      </c>
    </row>
    <row r="9" spans="1:32" x14ac:dyDescent="0.35">
      <c r="A9" t="s">
        <v>22</v>
      </c>
      <c r="C9" s="4">
        <f ca="1">C5-C6-C7-C8</f>
        <v>-867285.27770408697</v>
      </c>
      <c r="D9" s="4">
        <f t="shared" ref="D9:AF9" ca="1" si="2">D5-D6-D7-D8</f>
        <v>919784.03887437494</v>
      </c>
      <c r="E9" s="4">
        <f t="shared" ca="1" si="2"/>
        <v>4658768.9490653239</v>
      </c>
      <c r="F9" s="4">
        <f t="shared" ca="1" si="2"/>
        <v>11316195.528310567</v>
      </c>
      <c r="G9" s="4">
        <f t="shared" ca="1" si="2"/>
        <v>15373126.23418167</v>
      </c>
      <c r="H9" s="4">
        <f t="shared" ca="1" si="2"/>
        <v>18704221.368951585</v>
      </c>
      <c r="I9" s="4">
        <f t="shared" ca="1" si="2"/>
        <v>20408808.130778491</v>
      </c>
      <c r="J9" s="4">
        <f t="shared" ca="1" si="2"/>
        <v>21527937.010198571</v>
      </c>
      <c r="K9" s="4">
        <f t="shared" ca="1" si="2"/>
        <v>22846597.887407269</v>
      </c>
      <c r="L9" s="4">
        <f t="shared" ca="1" si="2"/>
        <v>23844002.40941146</v>
      </c>
      <c r="M9" s="4">
        <f t="shared" ca="1" si="2"/>
        <v>24993654.429059807</v>
      </c>
      <c r="N9" s="4">
        <f t="shared" ca="1" si="2"/>
        <v>26314147.637356229</v>
      </c>
      <c r="O9" s="4">
        <f t="shared" ca="1" si="2"/>
        <v>27156090.825575404</v>
      </c>
      <c r="P9" s="4">
        <f t="shared" ca="1" si="2"/>
        <v>28100199.848651983</v>
      </c>
      <c r="Q9" s="4">
        <f t="shared" ca="1" si="2"/>
        <v>29158332.928039286</v>
      </c>
      <c r="R9" s="4">
        <f t="shared" ca="1" si="2"/>
        <v>30343420.308043748</v>
      </c>
      <c r="S9" s="4">
        <f t="shared" ca="1" si="2"/>
        <v>31669547.265032865</v>
      </c>
      <c r="T9" s="4">
        <f t="shared" ca="1" si="2"/>
        <v>33152042.974736184</v>
      </c>
      <c r="U9" s="4">
        <f t="shared" ca="1" si="2"/>
        <v>34807575.627965093</v>
      </c>
      <c r="V9" s="4">
        <f t="shared" ca="1" si="2"/>
        <v>36150712.357792169</v>
      </c>
      <c r="W9" s="4">
        <f t="shared" ca="1" si="2"/>
        <v>37097246.538772307</v>
      </c>
      <c r="X9" s="4">
        <f t="shared" ca="1" si="2"/>
        <v>38116931.819753915</v>
      </c>
      <c r="Y9" s="4">
        <f t="shared" ca="1" si="2"/>
        <v>39217340.363218047</v>
      </c>
      <c r="Z9" s="4">
        <f t="shared" ca="1" si="2"/>
        <v>40406684.965939939</v>
      </c>
      <c r="AA9" s="4">
        <f t="shared" ca="1" si="2"/>
        <v>41693865.033982001</v>
      </c>
      <c r="AB9" s="4">
        <f t="shared" ca="1" si="2"/>
        <v>42410507.973583058</v>
      </c>
      <c r="AC9" s="4">
        <f t="shared" ca="1" si="2"/>
        <v>39896859.968080752</v>
      </c>
      <c r="AD9" s="4">
        <f t="shared" ca="1" si="2"/>
        <v>37078973.47275091</v>
      </c>
      <c r="AE9" s="4">
        <f t="shared" ca="1" si="2"/>
        <v>33937008.16580826</v>
      </c>
      <c r="AF9" s="4">
        <f t="shared" ca="1" si="2"/>
        <v>30450070.768919844</v>
      </c>
    </row>
    <row r="12" spans="1:32" x14ac:dyDescent="0.35">
      <c r="A12" t="s">
        <v>79</v>
      </c>
      <c r="C12" s="2">
        <f>Assumptions!$C$25*Assumptions!D9*Assumptions!D13</f>
        <v>3439030</v>
      </c>
      <c r="D12" s="2">
        <f>Assumptions!$C$25*Assumptions!E9*Assumptions!E13</f>
        <v>3514688.6599999997</v>
      </c>
      <c r="E12" s="2">
        <f>Assumptions!$C$25*Assumptions!F9*Assumptions!F13</f>
        <v>3592011.8105199998</v>
      </c>
      <c r="F12" s="2">
        <f>Assumptions!$C$25*Assumptions!G9*Assumptions!G13</f>
        <v>3671036.07035144</v>
      </c>
      <c r="G12" s="2">
        <f>Assumptions!$C$25*Assumptions!H9*Assumptions!H13</f>
        <v>3751798.8638991718</v>
      </c>
      <c r="H12" s="2">
        <f>Assumptions!$C$25*Assumptions!I9*Assumptions!I13</f>
        <v>3834338.4389049532</v>
      </c>
      <c r="I12" s="2">
        <f>Assumptions!$C$25*Assumptions!J9*Assumptions!J13</f>
        <v>3918693.8845608626</v>
      </c>
      <c r="J12" s="2">
        <f>Assumptions!$C$25*Assumptions!K9*Assumptions!K13</f>
        <v>4004905.1500212019</v>
      </c>
      <c r="K12" s="2">
        <f>Assumptions!$C$25*Assumptions!L9*Assumptions!L13</f>
        <v>4093013.0633216682</v>
      </c>
      <c r="L12" s="2">
        <f>Assumptions!$C$25*Assumptions!M9*Assumptions!M13</f>
        <v>4183059.350714745</v>
      </c>
      <c r="M12" s="2">
        <f>Assumptions!$C$25*Assumptions!N9*Assumptions!N13</f>
        <v>4275086.6564304698</v>
      </c>
      <c r="N12" s="2">
        <f>Assumptions!$C$25*Assumptions!O9*Assumptions!O13</f>
        <v>4369138.5628719395</v>
      </c>
      <c r="O12" s="2">
        <f>Assumptions!$C$25*Assumptions!P9*Assumptions!P13</f>
        <v>4465259.6112551223</v>
      </c>
      <c r="P12" s="2">
        <f>Assumptions!$C$25*Assumptions!Q9*Assumptions!Q13</f>
        <v>4563495.3227027347</v>
      </c>
      <c r="Q12" s="2">
        <f>Assumptions!$C$25*Assumptions!R9*Assumptions!R13</f>
        <v>4663892.2198021952</v>
      </c>
      <c r="R12" s="2">
        <f>Assumptions!$C$25*Assumptions!S9*Assumptions!S13</f>
        <v>4766497.8486378435</v>
      </c>
      <c r="S12" s="2">
        <f>Assumptions!$C$25*Assumptions!T9*Assumptions!T13</f>
        <v>4871360.8013078766</v>
      </c>
      <c r="T12" s="2">
        <f>Assumptions!$C$25*Assumptions!U9*Assumptions!U13</f>
        <v>4978530.7389366496</v>
      </c>
      <c r="U12" s="2">
        <f>Assumptions!$C$25*Assumptions!V9*Assumptions!V13</f>
        <v>5088058.415193256</v>
      </c>
      <c r="V12" s="2">
        <f>Assumptions!$C$25*Assumptions!W9*Assumptions!W13</f>
        <v>5199995.7003275082</v>
      </c>
      <c r="W12" s="2">
        <f>Assumptions!$C$25*Assumptions!X9*Assumptions!X13</f>
        <v>5314395.6057347134</v>
      </c>
      <c r="X12" s="2">
        <f>Assumptions!$C$25*Assumptions!Y9*Assumptions!Y13</f>
        <v>5431312.3090608763</v>
      </c>
      <c r="Y12" s="2">
        <f>Assumptions!$C$25*Assumptions!Z9*Assumptions!Z13</f>
        <v>5550801.1798602156</v>
      </c>
      <c r="Z12" s="2">
        <f>Assumptions!$C$25*Assumptions!AA9*Assumptions!AA13</f>
        <v>5672918.8058171412</v>
      </c>
      <c r="AA12" s="2">
        <f>Assumptions!$C$25*Assumptions!AB9*Assumptions!AB13</f>
        <v>5797723.0195451174</v>
      </c>
      <c r="AB12" s="2">
        <f>Assumptions!$C$25*Assumptions!AC9*Assumptions!AC13</f>
        <v>5925272.9259751113</v>
      </c>
      <c r="AC12" s="2">
        <f>Assumptions!$C$25*Assumptions!AD9*Assumptions!AD13</f>
        <v>6055628.9303465635</v>
      </c>
      <c r="AD12" s="2">
        <f>Assumptions!$C$25*Assumptions!AE9*Assumptions!AE13</f>
        <v>6188852.7668141881</v>
      </c>
      <c r="AE12" s="2">
        <f>Assumptions!$C$25*Assumptions!AF9*Assumptions!AF13</f>
        <v>6325007.5276841</v>
      </c>
      <c r="AF12" s="2">
        <f>Assumptions!$C$25*Assumptions!AG9*Assumptions!AG13</f>
        <v>6464157.6932931496</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739704.64189999993</v>
      </c>
      <c r="D14" s="5">
        <f>Assumptions!E122*Assumptions!E9</f>
        <v>1511956.2880435998</v>
      </c>
      <c r="E14" s="5">
        <f>Assumptions!F122*Assumptions!F9</f>
        <v>2317828.9895708389</v>
      </c>
      <c r="F14" s="5">
        <f>Assumptions!G122*Assumptions!G9</f>
        <v>3158428.3031218629</v>
      </c>
      <c r="G14" s="5">
        <f>Assumptions!H122*Assumptions!H9</f>
        <v>4034892.1572381794</v>
      </c>
      <c r="H14" s="5">
        <f>Assumptions!I122*Assumptions!I9</f>
        <v>4948391.741636904</v>
      </c>
      <c r="I14" s="5">
        <f>Assumptions!J122*Assumptions!J9</f>
        <v>5900132.4199450687</v>
      </c>
      <c r="J14" s="5">
        <f>Assumptions!K122*Assumptions!K9</f>
        <v>6891354.6664958419</v>
      </c>
      <c r="K14" s="5">
        <f>Assumptions!L122*Assumptions!L9</f>
        <v>7923335.0278035933</v>
      </c>
      <c r="L14" s="5">
        <f>Assumptions!M122*Assumptions!M9</f>
        <v>8997387.1093503032</v>
      </c>
      <c r="M14" s="5">
        <f>Assumptions!N122*Assumptions!N9</f>
        <v>10114862.588331612</v>
      </c>
      <c r="N14" s="5">
        <f>Assumptions!O122*Assumptions!O9</f>
        <v>11277152.253027173</v>
      </c>
      <c r="O14" s="5">
        <f>Assumptions!P122*Assumptions!P9</f>
        <v>12485687.069476584</v>
      </c>
      <c r="P14" s="5">
        <f>Assumptions!Q122*Assumptions!Q9</f>
        <v>13741939.276159301</v>
      </c>
      <c r="Q14" s="5">
        <f>Assumptions!R122*Assumptions!R9</f>
        <v>15047423.507394437</v>
      </c>
      <c r="R14" s="5">
        <f>Assumptions!S122*Assumptions!S9</f>
        <v>16403697.946194254</v>
      </c>
      <c r="S14" s="5">
        <f>Assumptions!T122*Assumptions!T9</f>
        <v>17812365.507323686</v>
      </c>
      <c r="T14" s="5">
        <f>Assumptions!U122*Assumptions!U9</f>
        <v>19275075.051336851</v>
      </c>
      <c r="U14" s="5">
        <f>Assumptions!V122*Assumptions!V9</f>
        <v>20793522.630381055</v>
      </c>
      <c r="V14" s="5">
        <f>Assumptions!W122*Assumptions!W9</f>
        <v>22369452.766578354</v>
      </c>
      <c r="W14" s="5">
        <f>Assumptions!X122*Assumptions!X9</f>
        <v>24004659.763815232</v>
      </c>
      <c r="X14" s="5">
        <f>Assumptions!Y122*Assumptions!Y9</f>
        <v>25700989.053791504</v>
      </c>
      <c r="Y14" s="5">
        <f>Assumptions!Z122*Assumptions!Z9</f>
        <v>27460338.57720105</v>
      </c>
      <c r="Z14" s="5">
        <f>Assumptions!AA122*Assumptions!AA9</f>
        <v>29284660.20093859</v>
      </c>
      <c r="AA14" s="5">
        <f>Assumptions!AB122*Assumptions!AB9</f>
        <v>31175961.172249205</v>
      </c>
      <c r="AB14" s="5">
        <f>Assumptions!AC122*Assumptions!AC9</f>
        <v>33136305.610760242</v>
      </c>
      <c r="AC14" s="5">
        <f>Assumptions!AD122*Assumptions!AD9</f>
        <v>35167816.039358385</v>
      </c>
      <c r="AD14" s="5">
        <f>Assumptions!AE122*Assumptions!AE9</f>
        <v>37272674.954899251</v>
      </c>
      <c r="AE14" s="5">
        <f>Assumptions!AF122*Assumptions!AF9</f>
        <v>39453126.439760856</v>
      </c>
      <c r="AF14" s="5">
        <f>Assumptions!AG122*Assumptions!AG9</f>
        <v>41711477.815278202</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193</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4178734.6419000002</v>
      </c>
      <c r="D27" s="2">
        <f t="shared" ref="D27:AF27" si="8">D12+D13+D14+D19+D20+D22+D24+D25</f>
        <v>5026644.9480435997</v>
      </c>
      <c r="E27" s="2">
        <f t="shared" si="8"/>
        <v>5909840.8000908382</v>
      </c>
      <c r="F27" s="2">
        <f t="shared" si="8"/>
        <v>6829464.3734733034</v>
      </c>
      <c r="G27" s="2">
        <f t="shared" si="8"/>
        <v>7786691.0211373512</v>
      </c>
      <c r="H27" s="2">
        <f t="shared" si="8"/>
        <v>8782730.1805418581</v>
      </c>
      <c r="I27" s="2">
        <f t="shared" si="8"/>
        <v>9818826.3045059312</v>
      </c>
      <c r="J27" s="2">
        <f t="shared" si="8"/>
        <v>10896259.816517044</v>
      </c>
      <c r="K27" s="2">
        <f t="shared" si="8"/>
        <v>12016348.091125261</v>
      </c>
      <c r="L27" s="2">
        <f t="shared" si="8"/>
        <v>13180446.460065048</v>
      </c>
      <c r="M27" s="2">
        <f t="shared" si="8"/>
        <v>14389949.244762082</v>
      </c>
      <c r="N27" s="2">
        <f t="shared" si="8"/>
        <v>15646290.815899111</v>
      </c>
      <c r="O27" s="2">
        <f t="shared" si="8"/>
        <v>16950946.680731706</v>
      </c>
      <c r="P27" s="2">
        <f t="shared" si="8"/>
        <v>18305434.598862037</v>
      </c>
      <c r="Q27" s="2">
        <f t="shared" si="8"/>
        <v>19711315.727196634</v>
      </c>
      <c r="R27" s="2">
        <f t="shared" si="8"/>
        <v>21170195.794832096</v>
      </c>
      <c r="S27" s="2">
        <f t="shared" si="8"/>
        <v>22683726.308631562</v>
      </c>
      <c r="T27" s="2">
        <f t="shared" si="8"/>
        <v>24253605.790273502</v>
      </c>
      <c r="U27" s="2">
        <f t="shared" si="8"/>
        <v>25881581.045574311</v>
      </c>
      <c r="V27" s="2">
        <f t="shared" si="8"/>
        <v>27569448.466905862</v>
      </c>
      <c r="W27" s="2">
        <f t="shared" si="8"/>
        <v>29319055.369549945</v>
      </c>
      <c r="X27" s="2">
        <f t="shared" si="8"/>
        <v>31132301.36285238</v>
      </c>
      <c r="Y27" s="2">
        <f t="shared" si="8"/>
        <v>33011139.757061265</v>
      </c>
      <c r="Z27" s="2">
        <f t="shared" si="8"/>
        <v>34957579.006755732</v>
      </c>
      <c r="AA27" s="2">
        <f t="shared" si="8"/>
        <v>36973684.191794321</v>
      </c>
      <c r="AB27" s="2">
        <f t="shared" si="8"/>
        <v>39061578.536735356</v>
      </c>
      <c r="AC27" s="2">
        <f t="shared" si="8"/>
        <v>41223444.969704948</v>
      </c>
      <c r="AD27" s="2">
        <f t="shared" si="8"/>
        <v>43461527.721713439</v>
      </c>
      <c r="AE27" s="2">
        <f t="shared" si="8"/>
        <v>45778133.967444956</v>
      </c>
      <c r="AF27" s="2">
        <f t="shared" si="8"/>
        <v>48175635.508571349</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3W2DU3RAJ5R2-1900874439-780</_dlc_DocId>
    <_dlc_DocIdUrl xmlns="f54e2983-00ce-40fc-8108-18f351fc47bf">
      <Url>https://dia.cohesion.net.nz/Sites/LGV/TWRP/CAE/_layouts/15/DocIdRedir.aspx?ID=3W2DU3RAJ5R2-1900874439-780</Url>
      <Description>3W2DU3RAJ5R2-1900874439-780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08a23fc5-e034-477c-ac83-93bc1440f322"/>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65b6d800-2dda-48d6-88d8-9e2b35e6f7ea"/>
    <ds:schemaRef ds:uri="http://www.w3.org/XML/1998/namespace"/>
    <ds:schemaRef ds:uri="http://purl.org/dc/dcmitype/"/>
  </ds:schemaRefs>
</ds:datastoreItem>
</file>

<file path=customXml/itemProps3.xml><?xml version="1.0" encoding="utf-8"?>
<ds:datastoreItem xmlns:ds="http://schemas.openxmlformats.org/officeDocument/2006/customXml" ds:itemID="{4AC56D54-AEFE-433F-995C-1A392329FC89}"/>
</file>

<file path=customXml/itemProps4.xml><?xml version="1.0" encoding="utf-8"?>
<ds:datastoreItem xmlns:ds="http://schemas.openxmlformats.org/officeDocument/2006/customXml" ds:itemID="{7EB0779D-C727-41FE-BD1D-E3AF305C5B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2021-07-05T15:29:10Z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fe4a28b1-9a11-4934-bb54-6dd5617f2b45</vt:lpwstr>
  </property>
</Properties>
</file>