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205" documentId="8_{9C8F93F6-35C9-444E-9A85-2B5C58265531}" xr6:coauthVersionLast="45" xr6:coauthVersionMax="47" xr10:uidLastSave="{BA5449F3-0595-47D4-99CF-CEC1B03CB85B}"/>
  <bookViews>
    <workbookView xWindow="-28920" yWindow="8085" windowWidth="29040" windowHeight="1584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c r="B34" i="21"/>
  <c r="C83" i="2"/>
  <c r="C87" i="2"/>
  <c r="C82" i="2"/>
  <c r="C89" i="2"/>
  <c r="C94" i="2"/>
  <c r="C90" i="2"/>
  <c r="C95" i="2"/>
  <c r="C96" i="2"/>
  <c r="C102" i="2"/>
  <c r="D113" i="2"/>
  <c r="C58" i="2"/>
  <c r="C106" i="2"/>
  <c r="C63" i="2"/>
  <c r="C107" i="2"/>
  <c r="D11" i="2"/>
  <c r="C40" i="2"/>
  <c r="C41" i="2"/>
  <c r="C39" i="2"/>
  <c r="C36" i="2"/>
  <c r="C37" i="2"/>
  <c r="C35"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D120" i="2"/>
  <c r="C9" i="6"/>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5" i="9"/>
  <c r="C11" i="9"/>
  <c r="C18" i="2"/>
  <c r="C7" i="6"/>
  <c r="B6" i="5"/>
  <c r="K24" i="8"/>
  <c r="K27" i="8"/>
  <c r="K6" i="8"/>
  <c r="M122" i="2"/>
  <c r="L14" i="8"/>
  <c r="L7" i="9"/>
  <c r="L13" i="9"/>
  <c r="L23" i="9"/>
  <c r="M15" i="9"/>
  <c r="M20" i="9"/>
  <c r="O44" i="2"/>
  <c r="N115" i="2"/>
  <c r="N118" i="2"/>
  <c r="N43" i="2"/>
  <c r="L16" i="8"/>
  <c r="L19" i="8"/>
  <c r="I111" i="2"/>
  <c r="H5" i="9"/>
  <c r="H11" i="9"/>
  <c r="H18" i="9"/>
  <c r="H25" i="9"/>
  <c r="H18" i="6"/>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<sst xmlns="http://schemas.openxmlformats.org/spreadsheetml/2006/main" count="277" uniqueCount="204">
  <si>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</si>
  <si>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</si>
  <si>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</si>
  <si>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</si>
  <si>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</si>
  <si>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</si>
  <si>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</si>
  <si>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</si>
  <si>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</si>
  <si>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</si>
  <si>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</si>
  <si>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</si>
  <si>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</si>
  <si>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</si>
  <si>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</si>
  <si>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</si>
  <si>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</si>
  <si>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</si>
  <si>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</si>
  <si>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</si>
  <si>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</si>
  <si>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</si>
  <si>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</si>
  <si>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</si>
  <si>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</si>
  <si>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</si>
  <si>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</si>
  <si>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</si>
  <si>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</si>
  <si>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</si>
  <si>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</si>
  <si>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</si>
  <si>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</si>
  <si>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</si>
  <si>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</si>
  <si>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</si>
  <si>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</si>
  <si>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</si>
  <si>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</si>
  <si>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</si>
  <si>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</si>
  <si>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</si>
  <si>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</si>
  <si>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</si>
  <si>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</si>
  <si>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</si>
  <si>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</si>
  <si>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</si>
  <si>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</si>
  <si>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</si>
  <si>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</si>
  <si>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</si>
  <si>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</si>
  <si>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</si>
  <si>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</si>
  <si>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</si>
  <si>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</si>
  <si>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</si>
  <si>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</si>
  <si>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</si>
  <si>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</si>
  <si>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</si>
  <si>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</si>
  <si>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</si>
  <si>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</si>
  <si>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</si>
  <si>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</si>
  <si>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</si>
  <si>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</si>
  <si>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</si>
  <si>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</si>
  <si>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</si>
  <si>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</si>
  <si>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</si>
  <si>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</si>
  <si>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</si>
  <si>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</si>
  <si>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</si>
  <si>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</si>
  <si>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</si>
  <si>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</si>
  <si>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</si>
  <si>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</si>
  <si>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</si>
  <si>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</si>
  <si>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</si>
  <si>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</si>
  <si>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</si>
  <si>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</si>
  <si>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</si>
  <si>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</si>
  <si>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</si>
  <si>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</si>
  <si>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</si>
  <si>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</si>
  <si>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</si>
  <si>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</si>
  <si>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</si>
  <si>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</si>
  <si>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</si>
  <si>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</si>
  <si>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</si>
  <si>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</si>
  <si>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</si>
  <si>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</si>
  <si>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</si>
  <si>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</si>
  <si>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</si>
  <si>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</si>
  <si>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</si>
  <si>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</si>
  <si>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</si>
  <si>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</si>
  <si>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</si>
  <si>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</si>
  <si>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</si>
  <si>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</si>
  <si>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</si>
  <si>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</si>
  <si>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</si>
  <si>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</si>
  <si>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</si>
  <si>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</si>
  <si>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</si>
  <si>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</si>
  <si>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</si>
  <si>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</si>
  <si>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</si>
  <si>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</si>
  <si>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</si>
  <si>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</si>
  <si>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</si>
  <si>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</si>
  <si>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</si>
  <si>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</si>
  <si>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</si>
  <si>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</si>
  <si>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</si>
  <si>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</si>
  <si>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</si>
  <si>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</si>
  <si>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</si>
  <si>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</si>
  <si>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</si>
  <si>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</si>
  <si>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</si>
  <si>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</si>
  <si>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</si>
  <si>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</si>
  <si>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</si>
  <si>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</si>
  <si>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</si>
  <si>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</si>
  <si>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</si>
  <si>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</si>
  <si>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</si>
  <si>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</si>
  <si>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</si>
  <si>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</si>
  <si>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</si>
  <si>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</si>
  <si>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</si>
  <si>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</si>
  <si>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</si>
  <si>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</si>
  <si>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</si>
  <si>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</si>
  <si>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</si>
  <si>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</si>
  <si>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</si>
  <si>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</si>
  <si>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</si>
  <si>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</si>
  <si>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</si>
  <si>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</si>
  <si>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</si>
  <si>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</si>
  <si>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</si>
  <si>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</si>
  <si>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</si>
  <si>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</si>
  <si>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</si>
  <si>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</si>
  <si>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</si>
  <si>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</si>
  <si>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</si>
  <si>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</si>
  <si>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</si>
  <si>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</si>
  <si>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</si>
  <si>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</si>
  <si>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</si>
  <si>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</si>
  <si>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</si>
  <si>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</si>
  <si>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</si>
  <si>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</si>
  <si>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</si>
  <si>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Gore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</si>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</sst>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0" fontId="18" fillId="0" borderId="0" xfId="0" applyFont="1" applyAlignment="1">
      <alignment horizontal="left" vertical="center"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179719850</v>
      </c>
      <c r="C6" s="12">
        <f ca="1">B6+Depreciation!C18+'Cash Flow'!C13</f>
        <v>184252991.06651434</v>
      </c>
      <c r="D6" s="1">
        <f ca="1">C6+Depreciation!D18</f>
        <v>199223638.02891245</v>
      </c>
      <c r="E6" s="1">
        <f ca="1">D6+Depreciation!E18</f>
        <v>214962218.93668732</v>
      </c>
      <c r="F6" s="1">
        <f ca="1">E6+Depreciation!F18</f>
        <v>231502551.61985356</v>
      </c>
      <c r="G6" s="1">
        <f ca="1">F6+Depreciation!G18</f>
        <v>248879831.88518664</v>
      </c>
      <c r="H6" s="1">
        <f ca="1">G6+Depreciation!H18</f>
        <v>267130687.07727769</v>
      </c>
      <c r="I6" s="1">
        <f ca="1">H6+Depreciation!I18</f>
        <v>286293231.65644753</v>
      </c>
      <c r="J6" s="1">
        <f ca="1">I6+Depreciation!J18</f>
        <v>306407124.86775249</v>
      </c>
      <c r="K6" s="1">
        <f ca="1">J6+Depreciation!K18</f>
        <v>327513630.57800013</v>
      </c>
      <c r="L6" s="1">
        <f ca="1">K6+Depreciation!L18</f>
        <v>349655679.36047441</v>
      </c>
      <c r="M6" s="1">
        <f ca="1">L6+Depreciation!M18</f>
        <v>372877932.90995055</v>
      </c>
      <c r="N6" s="1">
        <f ca="1">M6+Depreciation!N18</f>
        <v>397226850.87356341</v>
      </c>
      <c r="O6" s="1">
        <f ca="1">N6+Depreciation!O18</f>
        <v>422750760.18618309</v>
      </c>
      <c r="P6" s="1">
        <f ca="1">O6+Depreciation!P18</f>
        <v>449499927.00215131</v>
      </c>
      <c r="Q6" s="1">
        <f ca="1">P6+Depreciation!Q18</f>
        <v>477526631.31854618</v>
      </c>
      <c r="R6" s="1">
        <f ca="1">Q6+Depreciation!R18</f>
        <v>506885244.38857555</v>
      </c>
      <c r="S6" s="1">
        <f ca="1">R6+Depreciation!S18</f>
        <v>537632309.02725196</v>
      </c>
      <c r="T6" s="1">
        <f ca="1">S6+Depreciation!T18</f>
        <v>569826622.91518509</v>
      </c>
      <c r="U6" s="1">
        <f ca="1">T6+Depreciation!U18</f>
        <v>603529325.01013744</v>
      </c>
      <c r="V6" s="1">
        <f ca="1">U6+Depreciation!V18</f>
        <v>638803985.17993701</v>
      </c>
      <c r="W6" s="1">
        <f ca="1">V6+Depreciation!W18</f>
        <v>675716697.1744287</v>
      </c>
      <c r="X6" s="1">
        <f ca="1">W6+Depreciation!X18</f>
        <v>714336175.05837905</v>
      </c>
      <c r="Y6" s="1">
        <f ca="1">X6+Depreciation!Y18</f>
        <v>754733853.23163104</v>
      </c>
      <c r="Z6" s="1">
        <f ca="1">Y6+Depreciation!Z18</f>
        <v>796983990.16734672</v>
      </c>
      <c r="AA6" s="1">
        <f ca="1">Z6+Depreciation!AA18</f>
        <v>841163776.00387442</v>
      </c>
      <c r="AB6" s="1">
        <f ca="1">AA6+Depreciation!AB18</f>
        <v>887353444.13064384</v>
      </c>
      <c r="AC6" s="1">
        <f ca="1">AB6+Depreciation!AC18</f>
        <v>935636386.91353393</v>
      </c>
      <c r="AD6" s="1">
        <f ca="1">AC6+Depreciation!AD18</f>
        <v>986099275.71037459</v>
      </c>
      <c r="AE6" s="1">
        <f ca="1">AD6+Depreciation!AE18</f>
        <v>1038832185.332649</v>
      </c>
      <c r="AF6" s="1"/>
      <c r="AG6" s="1"/>
      <c r="AH6" s="1"/>
      <c r="AI6" s="1"/>
      <c r="AJ6" s="1"/>
      <c r="AK6" s="1"/>
      <c r="AL6" s="1"/>
      <c r="AM6" s="1"/>
      <c r="AN6" s="1"/>
      <c r="AO6" s="1"/>
      <c r="AP6" s="1"/>
    </row>
    <row r="7" spans="1:42" x14ac:dyDescent="0.35">
      <c r="A7" t="s">
        <v>12</v>
      </c>
      <c r="B7" s="1">
        <f>Depreciation!C12</f>
        <v>92793614.114155591</v>
      </c>
      <c r="C7" s="1">
        <f>Depreciation!D12</f>
        <v>96101097.212696716</v>
      </c>
      <c r="D7" s="1">
        <f>Depreciation!E12</f>
        <v>99803293.012971178</v>
      </c>
      <c r="E7" s="1">
        <f>Depreciation!F12</f>
        <v>103922076.26519699</v>
      </c>
      <c r="F7" s="1">
        <f>Depreciation!G12</f>
        <v>108480317.51779956</v>
      </c>
      <c r="G7" s="1">
        <f>Depreciation!H12</f>
        <v>113501924.44875272</v>
      </c>
      <c r="H7" s="1">
        <f>Depreciation!I12</f>
        <v>119011884.82242824</v>
      </c>
      <c r="I7" s="1">
        <f>Depreciation!J12</f>
        <v>125036311.13366306</v>
      </c>
      <c r="J7" s="1">
        <f>Depreciation!K12</f>
        <v>131602487.00303833</v>
      </c>
      <c r="K7" s="1">
        <f>Depreciation!L12</f>
        <v>138738915.38973233</v>
      </c>
      <c r="L7" s="1">
        <f>Depreciation!M12</f>
        <v>146475368.69076324</v>
      </c>
      <c r="M7" s="1">
        <f>Depreciation!N12</f>
        <v>154842940.79798061</v>
      </c>
      <c r="N7" s="1">
        <f>Depreciation!O12</f>
        <v>163874101.18680015</v>
      </c>
      <c r="O7" s="1">
        <f>Depreciation!P12</f>
        <v>173602751.1134066</v>
      </c>
      <c r="P7" s="1">
        <f>Depreciation!Q12</f>
        <v>184064281.99998018</v>
      </c>
      <c r="Q7" s="1">
        <f>Depreciation!R12</f>
        <v>195295636.09043393</v>
      </c>
      <c r="R7" s="1">
        <f>Depreciation!S12</f>
        <v>207335369.4621883</v>
      </c>
      <c r="S7" s="1">
        <f>Depreciation!T12</f>
        <v>220223717.48265797</v>
      </c>
      <c r="T7" s="1">
        <f>Depreciation!U12</f>
        <v>234002662.80238798</v>
      </c>
      <c r="U7" s="1">
        <f>Depreciation!V12</f>
        <v>248716005.98015806</v>
      </c>
      <c r="V7" s="1">
        <f>Depreciation!W12</f>
        <v>264409438.83887535</v>
      </c>
      <c r="W7" s="1">
        <f>Depreciation!X12</f>
        <v>281130620.65470648</v>
      </c>
      <c r="X7" s="1">
        <f>Depreciation!Y12</f>
        <v>298929257.28565937</v>
      </c>
      <c r="Y7" s="1">
        <f>Depreciation!Z12</f>
        <v>317857183.34972245</v>
      </c>
      <c r="Z7" s="1">
        <f>Depreciation!AA12</f>
        <v>337968447.56670463</v>
      </c>
      <c r="AA7" s="1">
        <f>Depreciation!AB12</f>
        <v>359319401.38210315</v>
      </c>
      <c r="AB7" s="1">
        <f>Depreciation!AC12</f>
        <v>381968790.99565846</v>
      </c>
      <c r="AC7" s="1">
        <f>Depreciation!AD12</f>
        <v>405977852.92174554</v>
      </c>
      <c r="AD7" s="1">
        <f>Depreciation!AE12</f>
        <v>431410413.21340227</v>
      </c>
      <c r="AE7" s="1">
        <f>Depreciation!AF12</f>
        <v>458332990.4866128</v>
      </c>
      <c r="AF7" s="1"/>
      <c r="AG7" s="1"/>
      <c r="AH7" s="1"/>
      <c r="AI7" s="1"/>
      <c r="AJ7" s="1"/>
      <c r="AK7" s="1"/>
      <c r="AL7" s="1"/>
      <c r="AM7" s="1"/>
      <c r="AN7" s="1"/>
      <c r="AO7" s="1"/>
      <c r="AP7" s="1"/>
    </row>
    <row r="8" spans="1:42" x14ac:dyDescent="0.35">
      <c r="A8" t="s">
        <v>191</v>
      </c>
      <c r="B8" s="1">
        <f t="shared" ref="B8:AE8" si="1">B6-B7</f>
        <v>86926235.885844409</v>
      </c>
      <c r="C8" s="1">
        <f t="shared" ca="1" si="1"/>
        <v>88151893.853817627</v>
      </c>
      <c r="D8" s="1">
        <f ca="1">D6-D7</f>
        <v>99420345.015941277</v>
      </c>
      <c r="E8" s="1">
        <f t="shared" ca="1" si="1"/>
        <v>111040142.67149033</v>
      </c>
      <c r="F8" s="1">
        <f t="shared" ca="1" si="1"/>
        <v>123022234.102054</v>
      </c>
      <c r="G8" s="1">
        <f t="shared" ca="1" si="1"/>
        <v>135377907.43643391</v>
      </c>
      <c r="H8" s="1">
        <f t="shared" ca="1" si="1"/>
        <v>148118802.25484943</v>
      </c>
      <c r="I8" s="1">
        <f t="shared" ca="1" si="1"/>
        <v>161256920.52278447</v>
      </c>
      <c r="J8" s="1">
        <f t="shared" ca="1" si="1"/>
        <v>174804637.86471415</v>
      </c>
      <c r="K8" s="1">
        <f t="shared" ca="1" si="1"/>
        <v>188774715.1882678</v>
      </c>
      <c r="L8" s="1">
        <f t="shared" ca="1" si="1"/>
        <v>203180310.66971117</v>
      </c>
      <c r="M8" s="1">
        <f t="shared" ca="1" si="1"/>
        <v>218034992.11196995</v>
      </c>
      <c r="N8" s="1">
        <f t="shared" ca="1" si="1"/>
        <v>233352749.68676326</v>
      </c>
      <c r="O8" s="1">
        <f t="shared" ca="1" si="1"/>
        <v>249148009.0727765</v>
      </c>
      <c r="P8" s="1">
        <f t="shared" ca="1" si="1"/>
        <v>265435645.00217113</v>
      </c>
      <c r="Q8" s="1">
        <f t="shared" ca="1" si="1"/>
        <v>282230995.22811222</v>
      </c>
      <c r="R8" s="1">
        <f t="shared" ca="1" si="1"/>
        <v>299549874.92638725</v>
      </c>
      <c r="S8" s="1">
        <f t="shared" ca="1" si="1"/>
        <v>317408591.54459399</v>
      </c>
      <c r="T8" s="1">
        <f t="shared" ca="1" si="1"/>
        <v>335823960.11279714</v>
      </c>
      <c r="U8" s="1">
        <f t="shared" ca="1" si="1"/>
        <v>354813319.02997935</v>
      </c>
      <c r="V8" s="1">
        <f t="shared" ca="1" si="1"/>
        <v>374394546.34106165</v>
      </c>
      <c r="W8" s="1">
        <f t="shared" ca="1" si="1"/>
        <v>394586076.51972222</v>
      </c>
      <c r="X8" s="1">
        <f t="shared" ca="1" si="1"/>
        <v>415406917.77271968</v>
      </c>
      <c r="Y8" s="1">
        <f t="shared" ca="1" si="1"/>
        <v>436876669.8819086</v>
      </c>
      <c r="Z8" s="1">
        <f t="shared" ca="1" si="1"/>
        <v>459015542.60064209</v>
      </c>
      <c r="AA8" s="1">
        <f t="shared" ca="1" si="1"/>
        <v>481844374.62177128</v>
      </c>
      <c r="AB8" s="1">
        <f t="shared" ca="1" si="1"/>
        <v>505384653.13498539</v>
      </c>
      <c r="AC8" s="1">
        <f t="shared" ca="1" si="1"/>
        <v>529658533.99178839</v>
      </c>
      <c r="AD8" s="1">
        <f t="shared" ca="1" si="1"/>
        <v>554688862.49697232</v>
      </c>
      <c r="AE8" s="1">
        <f t="shared" ca="1" si="1"/>
        <v>580499194.8460362</v>
      </c>
      <c r="AF8" s="1"/>
      <c r="AG8" s="1"/>
      <c r="AH8" s="1"/>
      <c r="AI8" s="1"/>
      <c r="AJ8" s="1"/>
      <c r="AK8" s="1"/>
      <c r="AL8" s="1"/>
      <c r="AM8" s="1"/>
      <c r="AN8" s="1"/>
      <c r="AO8" s="1"/>
      <c r="AP8" s="1"/>
    </row>
    <row r="10" spans="1:42" x14ac:dyDescent="0.35">
      <c r="A10" t="s">
        <v>17</v>
      </c>
      <c r="B10" s="1">
        <f>B8-B11</f>
        <v>77883235.885844409</v>
      </c>
      <c r="C10" s="1">
        <f ca="1">C8-C11</f>
        <v>69406830.434221938</v>
      </c>
      <c r="D10" s="1">
        <f ca="1">D8-D11</f>
        <v>71229406.425589681</v>
      </c>
      <c r="E10" s="1">
        <f t="shared" ref="E10:AE10" ca="1" si="2">E8-E11</f>
        <v>73982750.115201473</v>
      </c>
      <c r="F10" s="1">
        <f t="shared" ca="1" si="2"/>
        <v>78084532.654015556</v>
      </c>
      <c r="G10" s="1">
        <f ca="1">G8-G11</f>
        <v>84054089.407700419</v>
      </c>
      <c r="H10" s="1">
        <f t="shared" ca="1" si="2"/>
        <v>91597106.561249629</v>
      </c>
      <c r="I10" s="1">
        <f t="shared" ca="1" si="2"/>
        <v>100060982.1182864</v>
      </c>
      <c r="J10" s="1">
        <f t="shared" ca="1" si="2"/>
        <v>109162606.32228571</v>
      </c>
      <c r="K10" s="1">
        <f t="shared" ca="1" si="2"/>
        <v>119017170.46427049</v>
      </c>
      <c r="L10" s="1">
        <f t="shared" ca="1" si="2"/>
        <v>129198257.57929564</v>
      </c>
      <c r="M10" s="1">
        <f t="shared" ca="1" si="2"/>
        <v>139751972.08269572</v>
      </c>
      <c r="N10" s="1">
        <f t="shared" ca="1" si="2"/>
        <v>150729942.32540685</v>
      </c>
      <c r="O10" s="1">
        <f t="shared" ca="1" si="2"/>
        <v>162189826.55830774</v>
      </c>
      <c r="P10" s="1">
        <f t="shared" ca="1" si="2"/>
        <v>174195858.56825534</v>
      </c>
      <c r="Q10" s="1">
        <f t="shared" ca="1" si="2"/>
        <v>186819435.82640439</v>
      </c>
      <c r="R10" s="1">
        <f t="shared" ca="1" si="2"/>
        <v>200139753.18186271</v>
      </c>
      <c r="S10" s="1">
        <f t="shared" ca="1" si="2"/>
        <v>213821871.45764846</v>
      </c>
      <c r="T10" s="1">
        <f t="shared" ca="1" si="2"/>
        <v>227899521.97420454</v>
      </c>
      <c r="U10" s="1">
        <f t="shared" ca="1" si="2"/>
        <v>242410080.04440379</v>
      </c>
      <c r="V10" s="1">
        <f t="shared" ca="1" si="2"/>
        <v>257394876.04405302</v>
      </c>
      <c r="W10" s="1">
        <f t="shared" ca="1" si="2"/>
        <v>272899528.97718632</v>
      </c>
      <c r="X10" s="1">
        <f t="shared" ca="1" si="2"/>
        <v>288974304.00087512</v>
      </c>
      <c r="Y10" s="1">
        <f t="shared" ca="1" si="2"/>
        <v>305674495.46333897</v>
      </c>
      <c r="Z10" s="1">
        <f t="shared" ca="1" si="2"/>
        <v>323060837.1033805</v>
      </c>
      <c r="AA10" s="1">
        <f t="shared" ca="1" si="2"/>
        <v>341199941.15886009</v>
      </c>
      <c r="AB10" s="1">
        <f t="shared" ca="1" si="2"/>
        <v>358304029.18815792</v>
      </c>
      <c r="AC10" s="1">
        <f t="shared" ca="1" si="2"/>
        <v>374245647.2842319</v>
      </c>
      <c r="AD10" s="1">
        <f t="shared" ca="1" si="2"/>
        <v>388888971.71006119</v>
      </c>
      <c r="AE10" s="1">
        <f t="shared" ca="1" si="2"/>
        <v>402089362.44742095</v>
      </c>
      <c r="AF10" s="1"/>
      <c r="AG10" s="1"/>
      <c r="AH10" s="1"/>
      <c r="AI10" s="1"/>
      <c r="AJ10" s="1"/>
      <c r="AK10" s="1"/>
      <c r="AL10" s="1"/>
      <c r="AM10" s="1"/>
      <c r="AN10" s="1"/>
      <c r="AO10" s="1"/>
    </row>
    <row r="11" spans="1:42" x14ac:dyDescent="0.35">
      <c r="A11" t="s">
        <v>9</v>
      </c>
      <c r="B11" s="1">
        <f>Assumptions!$C$20</f>
        <v>9043000</v>
      </c>
      <c r="C11" s="1">
        <f ca="1">'Debt worksheet'!D5</f>
        <v>18745063.419595685</v>
      </c>
      <c r="D11" s="1">
        <f ca="1">'Debt worksheet'!E5</f>
        <v>28190938.590351596</v>
      </c>
      <c r="E11" s="1">
        <f ca="1">'Debt worksheet'!F5</f>
        <v>37057392.556288846</v>
      </c>
      <c r="F11" s="1">
        <f ca="1">'Debt worksheet'!G5</f>
        <v>44937701.448038444</v>
      </c>
      <c r="G11" s="1">
        <f ca="1">'Debt worksheet'!H5</f>
        <v>51323818.028733484</v>
      </c>
      <c r="H11" s="1">
        <f ca="1">'Debt worksheet'!I5</f>
        <v>56521695.693599805</v>
      </c>
      <c r="I11" s="1">
        <f ca="1">'Debt worksheet'!J5</f>
        <v>61195938.40449807</v>
      </c>
      <c r="J11" s="1">
        <f ca="1">'Debt worksheet'!K5</f>
        <v>65642031.542428426</v>
      </c>
      <c r="K11" s="1">
        <f ca="1">'Debt worksheet'!L5</f>
        <v>69757544.72399731</v>
      </c>
      <c r="L11" s="1">
        <f ca="1">'Debt worksheet'!M5</f>
        <v>73982053.090415537</v>
      </c>
      <c r="M11" s="1">
        <f ca="1">'Debt worksheet'!N5</f>
        <v>78283020.02927421</v>
      </c>
      <c r="N11" s="1">
        <f ca="1">'Debt worksheet'!O5</f>
        <v>82622807.361356407</v>
      </c>
      <c r="O11" s="1">
        <f ca="1">'Debt worksheet'!P5</f>
        <v>86958182.514468759</v>
      </c>
      <c r="P11" s="1">
        <f ca="1">'Debt worksheet'!Q5</f>
        <v>91239786.433915794</v>
      </c>
      <c r="Q11" s="1">
        <f ca="1">'Debt worksheet'!R5</f>
        <v>95411559.401707813</v>
      </c>
      <c r="R11" s="1">
        <f ca="1">'Debt worksheet'!S5</f>
        <v>99410121.744524539</v>
      </c>
      <c r="S11" s="1">
        <f ca="1">'Debt worksheet'!T5</f>
        <v>103586720.08694555</v>
      </c>
      <c r="T11" s="1">
        <f ca="1">'Debt worksheet'!U5</f>
        <v>107924438.13859262</v>
      </c>
      <c r="U11" s="1">
        <f ca="1">'Debt worksheet'!V5</f>
        <v>112403238.98557554</v>
      </c>
      <c r="V11" s="1">
        <f ca="1">'Debt worksheet'!W5</f>
        <v>116999670.29700862</v>
      </c>
      <c r="W11" s="1">
        <f ca="1">'Debt worksheet'!X5</f>
        <v>121686547.54253589</v>
      </c>
      <c r="X11" s="1">
        <f ca="1">'Debt worksheet'!Y5</f>
        <v>126432613.77184454</v>
      </c>
      <c r="Y11" s="1">
        <f ca="1">'Debt worksheet'!Z5</f>
        <v>131202174.41856964</v>
      </c>
      <c r="Z11" s="1">
        <f ca="1">'Debt worksheet'!AA5</f>
        <v>135954705.49726158</v>
      </c>
      <c r="AA11" s="1">
        <f ca="1">'Debt worksheet'!AB5</f>
        <v>140644433.46291119</v>
      </c>
      <c r="AB11" s="1">
        <f ca="1">'Debt worksheet'!AC5</f>
        <v>147080623.94682747</v>
      </c>
      <c r="AC11" s="1">
        <f ca="1">'Debt worksheet'!AD5</f>
        <v>155412886.70755649</v>
      </c>
      <c r="AD11" s="1">
        <f ca="1">'Debt worksheet'!AE5</f>
        <v>165799890.78691116</v>
      </c>
      <c r="AE11" s="1">
        <f ca="1">'Debt worksheet'!AF5</f>
        <v>178409832.39861524</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1599451.9523587578</v>
      </c>
      <c r="D5" s="4">
        <f ca="1">'Profit and Loss'!D9</f>
        <v>2217288.6931010764</v>
      </c>
      <c r="E5" s="4">
        <f ca="1">'Profit and Loss'!E9</f>
        <v>3169931.1415631589</v>
      </c>
      <c r="F5" s="4">
        <f ca="1">'Profit and Loss'!F9</f>
        <v>4541240.5391908232</v>
      </c>
      <c r="G5" s="4">
        <f ca="1">'Profit and Loss'!G9</f>
        <v>6432922.432035475</v>
      </c>
      <c r="H5" s="4">
        <f ca="1">'Profit and Loss'!H9</f>
        <v>8031370.5962715726</v>
      </c>
      <c r="I5" s="4">
        <f ca="1">'Profit and Loss'!I9</f>
        <v>8978341.4945960362</v>
      </c>
      <c r="J5" s="4">
        <f ca="1">'Profit and Loss'!J9</f>
        <v>9643373.7621397655</v>
      </c>
      <c r="K5" s="4">
        <f ca="1">'Profit and Loss'!K9</f>
        <v>10424816.659303488</v>
      </c>
      <c r="L5" s="4">
        <f ca="1">'Profit and Loss'!L9</f>
        <v>10781112.029362053</v>
      </c>
      <c r="M5" s="4">
        <f ca="1">'Profit and Loss'!M9</f>
        <v>11184833.309586575</v>
      </c>
      <c r="N5" s="4">
        <f ca="1">'Profit and Loss'!N9</f>
        <v>11641558.524313295</v>
      </c>
      <c r="O5" s="4">
        <f ca="1">'Profit and Loss'!O9</f>
        <v>12157373.770687811</v>
      </c>
      <c r="P5" s="4">
        <f ca="1">'Profit and Loss'!P9</f>
        <v>12738912.969914729</v>
      </c>
      <c r="Q5" s="4">
        <f ca="1">'Profit and Loss'!Q9</f>
        <v>13393400.46202931</v>
      </c>
      <c r="R5" s="4">
        <f ca="1">'Profit and Loss'!R9</f>
        <v>14128696.636758894</v>
      </c>
      <c r="S5" s="4">
        <f ca="1">'Profit and Loss'!S9</f>
        <v>14530732.924501033</v>
      </c>
      <c r="T5" s="4">
        <f ca="1">'Profit and Loss'!T9</f>
        <v>14968247.815816471</v>
      </c>
      <c r="U5" s="4">
        <f ca="1">'Profit and Loss'!U9</f>
        <v>15444955.92823945</v>
      </c>
      <c r="V5" s="4">
        <f ca="1">'Profit and Loss'!V9</f>
        <v>15964885.680596411</v>
      </c>
      <c r="W5" s="4">
        <f ca="1">'Profit and Loss'!W9</f>
        <v>16532401.890247164</v>
      </c>
      <c r="X5" s="4">
        <f ca="1">'Profit and Loss'!X9</f>
        <v>17152229.838810571</v>
      </c>
      <c r="Y5" s="4">
        <f ca="1">'Profit and Loss'!Y9</f>
        <v>17829480.895573929</v>
      </c>
      <c r="Z5" s="4">
        <f ca="1">'Profit and Loss'!Z9</f>
        <v>18569679.792960629</v>
      </c>
      <c r="AA5" s="4">
        <f ca="1">'Profit and Loss'!AA9</f>
        <v>19378793.6538959</v>
      </c>
      <c r="AB5" s="4">
        <f ca="1">'Profit and Loss'!AB9</f>
        <v>18402523.827454664</v>
      </c>
      <c r="AC5" s="4">
        <f ca="1">'Profit and Loss'!AC9</f>
        <v>17301290.408605777</v>
      </c>
      <c r="AD5" s="4">
        <f ca="1">'Profit and Loss'!AD9</f>
        <v>16066822.791398836</v>
      </c>
      <c r="AE5" s="4">
        <f ca="1">'Profit and Loss'!AE9</f>
        <v>14690407.718913566</v>
      </c>
      <c r="AF5" s="4">
        <f ca="1">'Profit and Loss'!AF9</f>
        <v>13162868.006628077</v>
      </c>
      <c r="AG5" s="4"/>
      <c r="AH5" s="4"/>
      <c r="AI5" s="4"/>
      <c r="AJ5" s="4"/>
      <c r="AK5" s="4"/>
      <c r="AL5" s="4"/>
      <c r="AM5" s="4"/>
      <c r="AN5" s="4"/>
      <c r="AO5" s="4"/>
      <c r="AP5" s="4"/>
    </row>
    <row r="6" spans="1:42" x14ac:dyDescent="0.35">
      <c r="A6" t="s">
        <v>21</v>
      </c>
      <c r="C6" s="4">
        <f>Depreciation!C8+Depreciation!C9</f>
        <v>2933689.1141555831</v>
      </c>
      <c r="D6" s="4">
        <f>Depreciation!D8+Depreciation!D9</f>
        <v>3307483.0985411294</v>
      </c>
      <c r="E6" s="4">
        <f>Depreciation!E8+Depreciation!E9</f>
        <v>3702195.800274455</v>
      </c>
      <c r="F6" s="4">
        <f>Depreciation!F8+Depreciation!F9</f>
        <v>4118783.2522258079</v>
      </c>
      <c r="G6" s="4">
        <f>Depreciation!G8+Depreciation!G9</f>
        <v>4558241.252602566</v>
      </c>
      <c r="H6" s="4">
        <f>Depreciation!H8+Depreciation!H9</f>
        <v>5021606.9309531571</v>
      </c>
      <c r="I6" s="4">
        <f>Depreciation!I8+Depreciation!I9</f>
        <v>5509960.3736755205</v>
      </c>
      <c r="J6" s="4">
        <f>Depreciation!J8+Depreciation!J9</f>
        <v>6024426.3112348206</v>
      </c>
      <c r="K6" s="4">
        <f>Depreciation!K8+Depreciation!K9</f>
        <v>6566175.8693752727</v>
      </c>
      <c r="L6" s="4">
        <f>Depreciation!L8+Depreciation!L9</f>
        <v>7136428.3866940066</v>
      </c>
      <c r="M6" s="4">
        <f>Depreciation!M8+Depreciation!M9</f>
        <v>7736453.3010309003</v>
      </c>
      <c r="N6" s="4">
        <f>Depreciation!N8+Depreciation!N9</f>
        <v>8367572.1072173817</v>
      </c>
      <c r="O6" s="4">
        <f>Depreciation!O8+Depreciation!O9</f>
        <v>9031160.3888195436</v>
      </c>
      <c r="P6" s="4">
        <f>Depreciation!P8+Depreciation!P9</f>
        <v>9728649.9266064484</v>
      </c>
      <c r="Q6" s="4">
        <f>Depreciation!Q8+Depreciation!Q9</f>
        <v>10461530.886573564</v>
      </c>
      <c r="R6" s="4">
        <f>Depreciation!R8+Depreciation!R9</f>
        <v>11231354.090453736</v>
      </c>
      <c r="S6" s="4">
        <f>Depreciation!S8+Depreciation!S9</f>
        <v>12039733.371754386</v>
      </c>
      <c r="T6" s="4">
        <f>Depreciation!T8+Depreciation!T9</f>
        <v>12888348.020469647</v>
      </c>
      <c r="U6" s="4">
        <f>Depreciation!U8+Depreciation!U9</f>
        <v>13778945.319730014</v>
      </c>
      <c r="V6" s="4">
        <f>Depreciation!V8+Depreciation!V9</f>
        <v>14713343.177770082</v>
      </c>
      <c r="W6" s="4">
        <f>Depreciation!W8+Depreciation!W9</f>
        <v>15693432.858717315</v>
      </c>
      <c r="X6" s="4">
        <f>Depreciation!X8+Depreciation!X9</f>
        <v>16721181.815831125</v>
      </c>
      <c r="Y6" s="4">
        <f>Depreciation!Y8+Depreciation!Y9</f>
        <v>17798636.630952895</v>
      </c>
      <c r="Z6" s="4">
        <f>Depreciation!Z8+Depreciation!Z9</f>
        <v>18927926.064063054</v>
      </c>
      <c r="AA6" s="4">
        <f>Depreciation!AA8+Depreciation!AA9</f>
        <v>20111264.216982163</v>
      </c>
      <c r="AB6" s="4">
        <f>Depreciation!AB8+Depreciation!AB9</f>
        <v>21350953.815398492</v>
      </c>
      <c r="AC6" s="4">
        <f>Depreciation!AC8+Depreciation!AC9</f>
        <v>22649389.613555275</v>
      </c>
      <c r="AD6" s="4">
        <f>Depreciation!AD8+Depreciation!AD9</f>
        <v>24009061.926087134</v>
      </c>
      <c r="AE6" s="4">
        <f>Depreciation!AE8+Depreciation!AE9</f>
        <v>25432560.291656747</v>
      </c>
      <c r="AF6" s="4">
        <f>Depreciation!AF8+Depreciation!AF9</f>
        <v>26922577.273210496</v>
      </c>
      <c r="AG6" s="4"/>
      <c r="AH6" s="4"/>
      <c r="AI6" s="4"/>
      <c r="AJ6" s="4"/>
      <c r="AK6" s="4"/>
      <c r="AL6" s="4"/>
      <c r="AM6" s="4"/>
      <c r="AN6" s="4"/>
      <c r="AO6" s="4"/>
      <c r="AP6" s="4"/>
    </row>
    <row r="7" spans="1:42" x14ac:dyDescent="0.35">
      <c r="A7" t="s">
        <v>23</v>
      </c>
      <c r="C7" s="4">
        <f ca="1">C6+C5</f>
        <v>4533141.0665143412</v>
      </c>
      <c r="D7" s="4">
        <f ca="1">D6+D5</f>
        <v>5524771.7916422058</v>
      </c>
      <c r="E7" s="4">
        <f t="shared" ref="E7:AF7" ca="1" si="1">E6+E5</f>
        <v>6872126.9418376144</v>
      </c>
      <c r="F7" s="4">
        <f t="shared" ca="1" si="1"/>
        <v>8660023.7914166301</v>
      </c>
      <c r="G7" s="4">
        <f ca="1">G6+G5</f>
        <v>10991163.684638042</v>
      </c>
      <c r="H7" s="4">
        <f t="shared" ca="1" si="1"/>
        <v>13052977.527224731</v>
      </c>
      <c r="I7" s="4">
        <f t="shared" ca="1" si="1"/>
        <v>14488301.868271556</v>
      </c>
      <c r="J7" s="4">
        <f t="shared" ca="1" si="1"/>
        <v>15667800.073374586</v>
      </c>
      <c r="K7" s="4">
        <f t="shared" ca="1" si="1"/>
        <v>16990992.52867876</v>
      </c>
      <c r="L7" s="4">
        <f t="shared" ca="1" si="1"/>
        <v>17917540.416056059</v>
      </c>
      <c r="M7" s="4">
        <f t="shared" ca="1" si="1"/>
        <v>18921286.610617474</v>
      </c>
      <c r="N7" s="4">
        <f t="shared" ca="1" si="1"/>
        <v>20009130.631530676</v>
      </c>
      <c r="O7" s="4">
        <f t="shared" ca="1" si="1"/>
        <v>21188534.159507357</v>
      </c>
      <c r="P7" s="4">
        <f t="shared" ca="1" si="1"/>
        <v>22467562.896521177</v>
      </c>
      <c r="Q7" s="4">
        <f t="shared" ca="1" si="1"/>
        <v>23854931.348602876</v>
      </c>
      <c r="R7" s="4">
        <f t="shared" ca="1" si="1"/>
        <v>25360050.72721263</v>
      </c>
      <c r="S7" s="4">
        <f t="shared" ca="1" si="1"/>
        <v>26570466.296255417</v>
      </c>
      <c r="T7" s="4">
        <f t="shared" ca="1" si="1"/>
        <v>27856595.83628612</v>
      </c>
      <c r="U7" s="4">
        <f t="shared" ca="1" si="1"/>
        <v>29223901.247969463</v>
      </c>
      <c r="V7" s="4">
        <f t="shared" ca="1" si="1"/>
        <v>30678228.858366493</v>
      </c>
      <c r="W7" s="4">
        <f t="shared" ca="1" si="1"/>
        <v>32225834.748964481</v>
      </c>
      <c r="X7" s="4">
        <f t="shared" ca="1" si="1"/>
        <v>33873411.654641695</v>
      </c>
      <c r="Y7" s="4">
        <f t="shared" ca="1" si="1"/>
        <v>35628117.526526824</v>
      </c>
      <c r="Z7" s="4">
        <f t="shared" ca="1" si="1"/>
        <v>37497605.857023686</v>
      </c>
      <c r="AA7" s="4">
        <f t="shared" ca="1" si="1"/>
        <v>39490057.870878063</v>
      </c>
      <c r="AB7" s="4">
        <f t="shared" ca="1" si="1"/>
        <v>39753477.642853156</v>
      </c>
      <c r="AC7" s="4">
        <f t="shared" ca="1" si="1"/>
        <v>39950680.022161052</v>
      </c>
      <c r="AD7" s="4">
        <f t="shared" ca="1" si="1"/>
        <v>40075884.717485972</v>
      </c>
      <c r="AE7" s="4">
        <f t="shared" ca="1" si="1"/>
        <v>40122968.010570318</v>
      </c>
      <c r="AF7" s="4">
        <f t="shared" ca="1" si="1"/>
        <v>40085445.279838577</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14235204.486110026</v>
      </c>
      <c r="D10" s="9">
        <f>Investment!D25</f>
        <v>14970646.962398116</v>
      </c>
      <c r="E10" s="9">
        <f>Investment!E25</f>
        <v>15738580.907774862</v>
      </c>
      <c r="F10" s="9">
        <f>Investment!F25</f>
        <v>16540332.683166228</v>
      </c>
      <c r="G10" s="9">
        <f>Investment!G25</f>
        <v>17377280.265333083</v>
      </c>
      <c r="H10" s="9">
        <f>Investment!H25</f>
        <v>18250855.192091048</v>
      </c>
      <c r="I10" s="9">
        <f>Investment!I25</f>
        <v>19162544.579169825</v>
      </c>
      <c r="J10" s="9">
        <f>Investment!J25</f>
        <v>20113893.211304944</v>
      </c>
      <c r="K10" s="9">
        <f>Investment!K25</f>
        <v>21106505.71024764</v>
      </c>
      <c r="L10" s="9">
        <f>Investment!L25</f>
        <v>22142048.782474287</v>
      </c>
      <c r="M10" s="9">
        <f>Investment!M25</f>
        <v>23222253.549476147</v>
      </c>
      <c r="N10" s="9">
        <f>Investment!N25</f>
        <v>24348917.963612881</v>
      </c>
      <c r="O10" s="9">
        <f>Investment!O25</f>
        <v>25523909.312619701</v>
      </c>
      <c r="P10" s="9">
        <f>Investment!P25</f>
        <v>26749166.815968204</v>
      </c>
      <c r="Q10" s="9">
        <f>Investment!Q25</f>
        <v>28026704.316394895</v>
      </c>
      <c r="R10" s="9">
        <f>Investment!R25</f>
        <v>29358613.070029356</v>
      </c>
      <c r="S10" s="9">
        <f>Investment!S25</f>
        <v>30747064.638676424</v>
      </c>
      <c r="T10" s="9">
        <f>Investment!T25</f>
        <v>32194313.887933187</v>
      </c>
      <c r="U10" s="9">
        <f>Investment!U25</f>
        <v>33702702.09495239</v>
      </c>
      <c r="V10" s="9">
        <f>Investment!V25</f>
        <v>35274660.169799574</v>
      </c>
      <c r="W10" s="9">
        <f>Investment!W25</f>
        <v>36912711.994491749</v>
      </c>
      <c r="X10" s="9">
        <f>Investment!X25</f>
        <v>38619477.883950338</v>
      </c>
      <c r="Y10" s="9">
        <f>Investment!Y25</f>
        <v>40397678.173251927</v>
      </c>
      <c r="Z10" s="9">
        <f>Investment!Z25</f>
        <v>42250136.935715646</v>
      </c>
      <c r="AA10" s="9">
        <f>Investment!AA25</f>
        <v>44179785.836527653</v>
      </c>
      <c r="AB10" s="9">
        <f>Investment!AB25</f>
        <v>46189668.126769431</v>
      </c>
      <c r="AC10" s="9">
        <f>Investment!AC25</f>
        <v>48282942.782890081</v>
      </c>
      <c r="AD10" s="9">
        <f>Investment!AD25</f>
        <v>50462888.796840653</v>
      </c>
      <c r="AE10" s="9">
        <f>Investment!AE25</f>
        <v>52732909.622274384</v>
      </c>
      <c r="AF10" s="9">
        <f>Investment!AF25</f>
        <v>55096537.782407895</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-9702063.4195956849</v>
      </c>
      <c r="D12" s="1">
        <f t="shared" ref="D12:AF12" ca="1" si="2">D7-D9-D10</f>
        <v>-9445875.1707559098</v>
      </c>
      <c r="E12" s="1">
        <f ca="1">E7-E9-E10</f>
        <v>-8866453.9659372475</v>
      </c>
      <c r="F12" s="1">
        <f t="shared" ca="1" si="2"/>
        <v>-7880308.8917495981</v>
      </c>
      <c r="G12" s="1">
        <f ca="1">G7-G9-G10</f>
        <v>-6386116.5806950405</v>
      </c>
      <c r="H12" s="1">
        <f t="shared" ca="1" si="2"/>
        <v>-5197877.6648663171</v>
      </c>
      <c r="I12" s="1">
        <f t="shared" ca="1" si="2"/>
        <v>-4674242.710898269</v>
      </c>
      <c r="J12" s="1">
        <f t="shared" ca="1" si="2"/>
        <v>-4446093.1379303578</v>
      </c>
      <c r="K12" s="1">
        <f t="shared" ca="1" si="2"/>
        <v>-4115513.1815688796</v>
      </c>
      <c r="L12" s="1">
        <f t="shared" ca="1" si="2"/>
        <v>-4224508.3664182276</v>
      </c>
      <c r="M12" s="1">
        <f t="shared" ca="1" si="2"/>
        <v>-4300966.938858673</v>
      </c>
      <c r="N12" s="1">
        <f t="shared" ca="1" si="2"/>
        <v>-4339787.3320822045</v>
      </c>
      <c r="O12" s="1">
        <f t="shared" ca="1" si="2"/>
        <v>-4335375.1531123444</v>
      </c>
      <c r="P12" s="1">
        <f t="shared" ca="1" si="2"/>
        <v>-4281603.9194470271</v>
      </c>
      <c r="Q12" s="1">
        <f t="shared" ca="1" si="2"/>
        <v>-4171772.9677920192</v>
      </c>
      <c r="R12" s="1">
        <f t="shared" ca="1" si="2"/>
        <v>-3998562.3428167254</v>
      </c>
      <c r="S12" s="1">
        <f t="shared" ca="1" si="2"/>
        <v>-4176598.3424210064</v>
      </c>
      <c r="T12" s="1">
        <f t="shared" ca="1" si="2"/>
        <v>-4337718.0516470671</v>
      </c>
      <c r="U12" s="1">
        <f t="shared" ca="1" si="2"/>
        <v>-4478800.8469829261</v>
      </c>
      <c r="V12" s="1">
        <f t="shared" ca="1" si="2"/>
        <v>-4596431.3114330806</v>
      </c>
      <c r="W12" s="1">
        <f t="shared" ca="1" si="2"/>
        <v>-4686877.2455272675</v>
      </c>
      <c r="X12" s="1">
        <f t="shared" ca="1" si="2"/>
        <v>-4746066.2293086424</v>
      </c>
      <c r="Y12" s="1">
        <f t="shared" ca="1" si="2"/>
        <v>-4769560.6467251033</v>
      </c>
      <c r="Z12" s="1">
        <f t="shared" ca="1" si="2"/>
        <v>-4752531.0786919594</v>
      </c>
      <c r="AA12" s="1">
        <f t="shared" ca="1" si="2"/>
        <v>-4689727.9656495899</v>
      </c>
      <c r="AB12" s="1">
        <f t="shared" ca="1" si="2"/>
        <v>-6436190.4839162752</v>
      </c>
      <c r="AC12" s="1">
        <f t="shared" ca="1" si="2"/>
        <v>-8332262.7607290298</v>
      </c>
      <c r="AD12" s="1">
        <f t="shared" ca="1" si="2"/>
        <v>-10387004.079354681</v>
      </c>
      <c r="AE12" s="1">
        <f t="shared" ca="1" si="2"/>
        <v>-12609941.611704066</v>
      </c>
      <c r="AF12" s="1">
        <f t="shared" ca="1" si="2"/>
        <v>-15011092.502569318</v>
      </c>
      <c r="AG12" s="1"/>
      <c r="AH12" s="1"/>
      <c r="AI12" s="1"/>
      <c r="AJ12" s="1"/>
      <c r="AK12" s="1"/>
      <c r="AL12" s="1"/>
      <c r="AM12" s="1"/>
      <c r="AN12" s="1"/>
      <c r="AO12" s="1"/>
      <c r="AP12" s="1"/>
    </row>
    <row r="13" spans="1:42" x14ac:dyDescent="0.35">
      <c r="A13" t="s">
        <v>19</v>
      </c>
      <c r="C13" s="1">
        <f ca="1">C12</f>
        <v>-9702063.4195956849</v>
      </c>
      <c r="D13" s="1">
        <f ca="1">D12</f>
        <v>-9445875.1707559098</v>
      </c>
      <c r="E13" s="1">
        <f ca="1">E12</f>
        <v>-8866453.9659372475</v>
      </c>
      <c r="F13" s="1">
        <f t="shared" ref="F13:AF13" ca="1" si="3">F12</f>
        <v>-7880308.8917495981</v>
      </c>
      <c r="G13" s="1">
        <f ca="1">G12</f>
        <v>-6386116.5806950405</v>
      </c>
      <c r="H13" s="1">
        <f t="shared" ca="1" si="3"/>
        <v>-5197877.6648663171</v>
      </c>
      <c r="I13" s="1">
        <f t="shared" ca="1" si="3"/>
        <v>-4674242.710898269</v>
      </c>
      <c r="J13" s="1">
        <f t="shared" ca="1" si="3"/>
        <v>-4446093.1379303578</v>
      </c>
      <c r="K13" s="1">
        <f t="shared" ca="1" si="3"/>
        <v>-4115513.1815688796</v>
      </c>
      <c r="L13" s="1">
        <f t="shared" ca="1" si="3"/>
        <v>-4224508.3664182276</v>
      </c>
      <c r="M13" s="1">
        <f t="shared" ca="1" si="3"/>
        <v>-4300966.938858673</v>
      </c>
      <c r="N13" s="1">
        <f t="shared" ca="1" si="3"/>
        <v>-4339787.3320822045</v>
      </c>
      <c r="O13" s="1">
        <f t="shared" ca="1" si="3"/>
        <v>-4335375.1531123444</v>
      </c>
      <c r="P13" s="1">
        <f t="shared" ca="1" si="3"/>
        <v>-4281603.9194470271</v>
      </c>
      <c r="Q13" s="1">
        <f t="shared" ca="1" si="3"/>
        <v>-4171772.9677920192</v>
      </c>
      <c r="R13" s="1">
        <f t="shared" ca="1" si="3"/>
        <v>-3998562.3428167254</v>
      </c>
      <c r="S13" s="1">
        <f t="shared" ca="1" si="3"/>
        <v>-4176598.3424210064</v>
      </c>
      <c r="T13" s="1">
        <f t="shared" ca="1" si="3"/>
        <v>-4337718.0516470671</v>
      </c>
      <c r="U13" s="1">
        <f t="shared" ca="1" si="3"/>
        <v>-4478800.8469829261</v>
      </c>
      <c r="V13" s="1">
        <f t="shared" ca="1" si="3"/>
        <v>-4596431.3114330806</v>
      </c>
      <c r="W13" s="1">
        <f t="shared" ca="1" si="3"/>
        <v>-4686877.2455272675</v>
      </c>
      <c r="X13" s="1">
        <f t="shared" ca="1" si="3"/>
        <v>-4746066.2293086424</v>
      </c>
      <c r="Y13" s="1">
        <f t="shared" ca="1" si="3"/>
        <v>-4769560.6467251033</v>
      </c>
      <c r="Z13" s="1">
        <f t="shared" ca="1" si="3"/>
        <v>-4752531.0786919594</v>
      </c>
      <c r="AA13" s="1">
        <f t="shared" ca="1" si="3"/>
        <v>-4689727.9656495899</v>
      </c>
      <c r="AB13" s="1">
        <f t="shared" ca="1" si="3"/>
        <v>-6436190.4839162752</v>
      </c>
      <c r="AC13" s="1">
        <f t="shared" ca="1" si="3"/>
        <v>-8332262.7607290298</v>
      </c>
      <c r="AD13" s="1">
        <f t="shared" ca="1" si="3"/>
        <v>-10387004.079354681</v>
      </c>
      <c r="AE13" s="1">
        <f t="shared" ca="1" si="3"/>
        <v>-12609941.611704066</v>
      </c>
      <c r="AF13" s="1">
        <f t="shared" ca="1" si="3"/>
        <v>-15011092.502569318</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179719850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89859925</v>
      </c>
      <c r="D7" s="9">
        <f>C12</f>
        <v>92793614.114155591</v>
      </c>
      <c r="E7" s="9">
        <f>D12</f>
        <v>96101097.212696716</v>
      </c>
      <c r="F7" s="9">
        <f t="shared" ref="F7:H7" si="1">E12</f>
        <v>99803293.012971178</v>
      </c>
      <c r="G7" s="9">
        <f t="shared" si="1"/>
        <v>103922076.26519699</v>
      </c>
      <c r="H7" s="9">
        <f t="shared" si="1"/>
        <v>108480317.51779956</v>
      </c>
      <c r="I7" s="9">
        <f t="shared" ref="I7" si="2">H12</f>
        <v>113501924.44875272</v>
      </c>
      <c r="J7" s="9">
        <f t="shared" ref="J7" si="3">I12</f>
        <v>119011884.82242824</v>
      </c>
      <c r="K7" s="9">
        <f t="shared" ref="K7" si="4">J12</f>
        <v>125036311.13366306</v>
      </c>
      <c r="L7" s="9">
        <f t="shared" ref="L7" si="5">K12</f>
        <v>131602487.00303833</v>
      </c>
      <c r="M7" s="9">
        <f t="shared" ref="M7" si="6">L12</f>
        <v>138738915.38973233</v>
      </c>
      <c r="N7" s="9">
        <f t="shared" ref="N7" si="7">M12</f>
        <v>146475368.69076324</v>
      </c>
      <c r="O7" s="9">
        <f t="shared" ref="O7" si="8">N12</f>
        <v>154842940.79798061</v>
      </c>
      <c r="P7" s="9">
        <f t="shared" ref="P7" si="9">O12</f>
        <v>163874101.18680015</v>
      </c>
      <c r="Q7" s="9">
        <f t="shared" ref="Q7" si="10">P12</f>
        <v>173602751.1134066</v>
      </c>
      <c r="R7" s="9">
        <f t="shared" ref="R7" si="11">Q12</f>
        <v>184064281.99998018</v>
      </c>
      <c r="S7" s="9">
        <f t="shared" ref="S7" si="12">R12</f>
        <v>195295636.09043393</v>
      </c>
      <c r="T7" s="9">
        <f t="shared" ref="T7" si="13">S12</f>
        <v>207335369.4621883</v>
      </c>
      <c r="U7" s="9">
        <f t="shared" ref="U7" si="14">T12</f>
        <v>220223717.48265797</v>
      </c>
      <c r="V7" s="9">
        <f t="shared" ref="V7" si="15">U12</f>
        <v>234002662.80238798</v>
      </c>
      <c r="W7" s="9">
        <f t="shared" ref="W7" si="16">V12</f>
        <v>248716005.98015806</v>
      </c>
      <c r="X7" s="9">
        <f t="shared" ref="X7" si="17">W12</f>
        <v>264409438.83887535</v>
      </c>
      <c r="Y7" s="9">
        <f t="shared" ref="Y7" si="18">X12</f>
        <v>281130620.65470648</v>
      </c>
      <c r="Z7" s="9">
        <f t="shared" ref="Z7" si="19">Y12</f>
        <v>298929257.28565937</v>
      </c>
      <c r="AA7" s="9">
        <f t="shared" ref="AA7" si="20">Z12</f>
        <v>317857183.34972245</v>
      </c>
      <c r="AB7" s="9">
        <f t="shared" ref="AB7" si="21">AA12</f>
        <v>337968447.56670463</v>
      </c>
      <c r="AC7" s="9">
        <f t="shared" ref="AC7" si="22">AB12</f>
        <v>359319401.38210315</v>
      </c>
      <c r="AD7" s="9">
        <f t="shared" ref="AD7" si="23">AC12</f>
        <v>381968790.99565846</v>
      </c>
      <c r="AE7" s="9">
        <f t="shared" ref="AE7" si="24">AD12</f>
        <v>405977852.92174554</v>
      </c>
      <c r="AF7" s="9">
        <f t="shared" ref="AF7" si="25">AE12</f>
        <v>431410413.21340227</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2662452.7452286766</v>
      </c>
      <c r="D8" s="9">
        <f>Assumptions!E111*Assumptions!E11</f>
        <v>2747651.2330759941</v>
      </c>
      <c r="E8" s="9">
        <f>Assumptions!F111*Assumptions!F11</f>
        <v>2835576.0725344256</v>
      </c>
      <c r="F8" s="9">
        <f>Assumptions!G111*Assumptions!G11</f>
        <v>2926314.5068555274</v>
      </c>
      <c r="G8" s="9">
        <f>Assumptions!H111*Assumptions!H11</f>
        <v>3019956.5710749044</v>
      </c>
      <c r="H8" s="9">
        <f>Assumptions!I111*Assumptions!I11</f>
        <v>3116595.1813493008</v>
      </c>
      <c r="I8" s="9">
        <f>Assumptions!J111*Assumptions!J11</f>
        <v>3216326.2271524779</v>
      </c>
      <c r="J8" s="9">
        <f>Assumptions!K111*Assumptions!K11</f>
        <v>3319248.666421358</v>
      </c>
      <c r="K8" s="9">
        <f>Assumptions!L111*Assumptions!L11</f>
        <v>3425464.6237468417</v>
      </c>
      <c r="L8" s="9">
        <f>Assumptions!M111*Assumptions!M11</f>
        <v>3535079.4917067401</v>
      </c>
      <c r="M8" s="9">
        <f>Assumptions!N111*Assumptions!N11</f>
        <v>3648202.0354413558</v>
      </c>
      <c r="N8" s="9">
        <f>Assumptions!O111*Assumptions!O11</f>
        <v>3764944.5005754791</v>
      </c>
      <c r="O8" s="9">
        <f>Assumptions!P111*Assumptions!P11</f>
        <v>3885422.724593895</v>
      </c>
      <c r="P8" s="9">
        <f>Assumptions!Q111*Assumptions!Q11</f>
        <v>4009756.2517808988</v>
      </c>
      <c r="Q8" s="9">
        <f>Assumptions!R111*Assumptions!R11</f>
        <v>4138068.4518378871</v>
      </c>
      <c r="R8" s="9">
        <f>Assumptions!S111*Assumptions!S11</f>
        <v>4270486.6422967007</v>
      </c>
      <c r="S8" s="9">
        <f>Assumptions!T111*Assumptions!T11</f>
        <v>4407142.2148501948</v>
      </c>
      <c r="T8" s="9">
        <f>Assumptions!U111*Assumptions!U11</f>
        <v>4548170.7657254003</v>
      </c>
      <c r="U8" s="9">
        <f>Assumptions!V111*Assumptions!V11</f>
        <v>4693712.2302286131</v>
      </c>
      <c r="V8" s="9">
        <f>Assumptions!W111*Assumptions!W11</f>
        <v>4843911.0215959297</v>
      </c>
      <c r="W8" s="9">
        <f>Assumptions!X111*Assumptions!X11</f>
        <v>4998916.1742869997</v>
      </c>
      <c r="X8" s="9">
        <f>Assumptions!Y111*Assumptions!Y11</f>
        <v>5158881.491864183</v>
      </c>
      <c r="Y8" s="9">
        <f>Assumptions!Z111*Assumptions!Z11</f>
        <v>5323965.6996038361</v>
      </c>
      <c r="Z8" s="9">
        <f>Assumptions!AA111*Assumptions!AA11</f>
        <v>5494332.6019911589</v>
      </c>
      <c r="AA8" s="9">
        <f>Assumptions!AB111*Assumptions!AB11</f>
        <v>5670151.245254877</v>
      </c>
      <c r="AB8" s="9">
        <f>Assumptions!AC111*Assumptions!AC11</f>
        <v>5851596.0851030322</v>
      </c>
      <c r="AC8" s="9">
        <f>Assumptions!AD111*Assumptions!AD11</f>
        <v>6038847.159826329</v>
      </c>
      <c r="AD8" s="9">
        <f>Assumptions!AE111*Assumptions!AE11</f>
        <v>6232090.2689407719</v>
      </c>
      <c r="AE8" s="9">
        <f>Assumptions!AF111*Assumptions!AF11</f>
        <v>6431517.1575468769</v>
      </c>
      <c r="AF8" s="9">
        <f>Assumptions!AG111*Assumptions!AG11</f>
        <v>6637325.7065883763</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271236.36892690661</v>
      </c>
      <c r="D9" s="9">
        <f>Assumptions!E120*Assumptions!E11</f>
        <v>559831.86546513531</v>
      </c>
      <c r="E9" s="9">
        <f>Assumptions!F120*Assumptions!F11</f>
        <v>866619.72774002934</v>
      </c>
      <c r="F9" s="9">
        <f>Assumptions!G120*Assumptions!G11</f>
        <v>1192468.7453702805</v>
      </c>
      <c r="G9" s="9">
        <f>Assumptions!H120*Assumptions!H11</f>
        <v>1538284.6815276619</v>
      </c>
      <c r="H9" s="9">
        <f>Assumptions!I120*Assumptions!I11</f>
        <v>1905011.7496038564</v>
      </c>
      <c r="I9" s="9">
        <f>Assumptions!J120*Assumptions!J11</f>
        <v>2293634.1465230426</v>
      </c>
      <c r="J9" s="9">
        <f>Assumptions!K120*Assumptions!K11</f>
        <v>2705177.6448134631</v>
      </c>
      <c r="K9" s="9">
        <f>Assumptions!L120*Assumptions!L11</f>
        <v>3140711.245628431</v>
      </c>
      <c r="L9" s="9">
        <f>Assumptions!M120*Assumptions!M11</f>
        <v>3601348.8949872665</v>
      </c>
      <c r="M9" s="9">
        <f>Assumptions!N120*Assumptions!N11</f>
        <v>4088251.2655895445</v>
      </c>
      <c r="N9" s="9">
        <f>Assumptions!O120*Assumptions!O11</f>
        <v>4602627.6066419026</v>
      </c>
      <c r="O9" s="9">
        <f>Assumptions!P120*Assumptions!P11</f>
        <v>5145737.6642256482</v>
      </c>
      <c r="P9" s="9">
        <f>Assumptions!Q120*Assumptions!Q11</f>
        <v>5718893.6748255491</v>
      </c>
      <c r="Q9" s="9">
        <f>Assumptions!R120*Assumptions!R11</f>
        <v>6323462.4347356772</v>
      </c>
      <c r="R9" s="9">
        <f>Assumptions!S120*Assumptions!S11</f>
        <v>6960867.4481570367</v>
      </c>
      <c r="S9" s="9">
        <f>Assumptions!T120*Assumptions!T11</f>
        <v>7632591.1569041908</v>
      </c>
      <c r="T9" s="9">
        <f>Assumptions!U120*Assumptions!U11</f>
        <v>8340177.2547442475</v>
      </c>
      <c r="U9" s="9">
        <f>Assumptions!V120*Assumptions!V11</f>
        <v>9085233.0895013995</v>
      </c>
      <c r="V9" s="9">
        <f>Assumptions!W120*Assumptions!W11</f>
        <v>9869432.1561741512</v>
      </c>
      <c r="W9" s="9">
        <f>Assumptions!X120*Assumptions!X11</f>
        <v>10694516.684430314</v>
      </c>
      <c r="X9" s="9">
        <f>Assumptions!Y120*Assumptions!Y11</f>
        <v>11562300.323966943</v>
      </c>
      <c r="Y9" s="9">
        <f>Assumptions!Z120*Assumptions!Z11</f>
        <v>12474670.931349058</v>
      </c>
      <c r="Z9" s="9">
        <f>Assumptions!AA120*Assumptions!AA11</f>
        <v>13433593.462071894</v>
      </c>
      <c r="AA9" s="9">
        <f>Assumptions!AB120*Assumptions!AB11</f>
        <v>14441112.971727287</v>
      </c>
      <c r="AB9" s="9">
        <f>Assumptions!AC120*Assumptions!AC11</f>
        <v>15499357.730295459</v>
      </c>
      <c r="AC9" s="9">
        <f>Assumptions!AD120*Assumptions!AD11</f>
        <v>16610542.453728948</v>
      </c>
      <c r="AD9" s="9">
        <f>Assumptions!AE120*Assumptions!AE11</f>
        <v>17776971.657146361</v>
      </c>
      <c r="AE9" s="9">
        <f>Assumptions!AF120*Assumptions!AF11</f>
        <v>19001043.13410987</v>
      </c>
      <c r="AF9" s="9">
        <f>Assumptions!AG120*Assumptions!AG11</f>
        <v>20285251.566622119</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2933689.1141555831</v>
      </c>
      <c r="D10" s="9">
        <f>SUM($C$8:D9)</f>
        <v>6241172.2126967134</v>
      </c>
      <c r="E10" s="9">
        <f>SUM($C$8:E9)</f>
        <v>9943368.0129711684</v>
      </c>
      <c r="F10" s="9">
        <f>SUM($C$8:F9)</f>
        <v>14062151.265196973</v>
      </c>
      <c r="G10" s="9">
        <f>SUM($C$8:G9)</f>
        <v>18620392.517799545</v>
      </c>
      <c r="H10" s="9">
        <f>SUM($C$8:H9)</f>
        <v>23641999.448752698</v>
      </c>
      <c r="I10" s="9">
        <f>SUM($C$8:I9)</f>
        <v>29151959.822428219</v>
      </c>
      <c r="J10" s="9">
        <f>SUM($C$8:J9)</f>
        <v>35176386.133663043</v>
      </c>
      <c r="K10" s="9">
        <f>SUM($C$8:K9)</f>
        <v>41742562.003038317</v>
      </c>
      <c r="L10" s="9">
        <f>SUM($C$8:L9)</f>
        <v>48878990.389732316</v>
      </c>
      <c r="M10" s="9">
        <f>SUM($C$8:M9)</f>
        <v>56615443.690763213</v>
      </c>
      <c r="N10" s="9">
        <f>SUM($C$8:N9)</f>
        <v>64983015.797980599</v>
      </c>
      <c r="O10" s="9">
        <f>SUM($C$8:O9)</f>
        <v>74014176.186800137</v>
      </c>
      <c r="P10" s="9">
        <f>SUM($C$8:P9)</f>
        <v>83742826.113406599</v>
      </c>
      <c r="Q10" s="9">
        <f>SUM($C$8:Q9)</f>
        <v>94204356.999980167</v>
      </c>
      <c r="R10" s="9">
        <f>SUM($C$8:R9)</f>
        <v>105435711.09043391</v>
      </c>
      <c r="S10" s="9">
        <f>SUM($C$8:S9)</f>
        <v>117475444.46218829</v>
      </c>
      <c r="T10" s="9">
        <f>SUM($C$8:T9)</f>
        <v>130363792.48265794</v>
      </c>
      <c r="U10" s="9">
        <f>SUM($C$8:U9)</f>
        <v>144142737.80238798</v>
      </c>
      <c r="V10" s="9">
        <f>SUM($C$8:V9)</f>
        <v>158856080.98015806</v>
      </c>
      <c r="W10" s="9">
        <f>SUM($C$8:W9)</f>
        <v>174549513.83887538</v>
      </c>
      <c r="X10" s="9">
        <f>SUM($C$8:X9)</f>
        <v>191270695.65470654</v>
      </c>
      <c r="Y10" s="9">
        <f>SUM($C$8:Y9)</f>
        <v>209069332.28565943</v>
      </c>
      <c r="Z10" s="9">
        <f>SUM($C$8:Z9)</f>
        <v>227997258.3497225</v>
      </c>
      <c r="AA10" s="9">
        <f>SUM($C$8:AA9)</f>
        <v>248108522.56670466</v>
      </c>
      <c r="AB10" s="9">
        <f>SUM($C$8:AB9)</f>
        <v>269459476.38210315</v>
      </c>
      <c r="AC10" s="9">
        <f>SUM($C$8:AC9)</f>
        <v>292108865.99565846</v>
      </c>
      <c r="AD10" s="9">
        <f>SUM($C$8:AD9)</f>
        <v>316117927.92174554</v>
      </c>
      <c r="AE10" s="9">
        <f>SUM($C$8:AE9)</f>
        <v>341550488.21340227</v>
      </c>
      <c r="AF10" s="9">
        <f>SUM($C$8:AF9)</f>
        <v>368473065.48661274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92793614.114155591</v>
      </c>
      <c r="D12" s="9">
        <f>D7+D8+D9</f>
        <v>96101097.212696716</v>
      </c>
      <c r="E12" s="9">
        <f>E7+E8+E9</f>
        <v>99803293.012971178</v>
      </c>
      <c r="F12" s="9">
        <f t="shared" ref="F12:H12" si="26">F7+F8+F9</f>
        <v>103922076.26519699</v>
      </c>
      <c r="G12" s="9">
        <f t="shared" si="26"/>
        <v>108480317.51779956</v>
      </c>
      <c r="H12" s="9">
        <f t="shared" si="26"/>
        <v>113501924.44875272</v>
      </c>
      <c r="I12" s="9">
        <f t="shared" ref="I12:AF12" si="27">I7+I8+I9</f>
        <v>119011884.82242824</v>
      </c>
      <c r="J12" s="9">
        <f t="shared" si="27"/>
        <v>125036311.13366306</v>
      </c>
      <c r="K12" s="9">
        <f t="shared" si="27"/>
        <v>131602487.00303833</v>
      </c>
      <c r="L12" s="9">
        <f t="shared" si="27"/>
        <v>138738915.38973233</v>
      </c>
      <c r="M12" s="9">
        <f t="shared" si="27"/>
        <v>146475368.69076324</v>
      </c>
      <c r="N12" s="9">
        <f t="shared" si="27"/>
        <v>154842940.79798061</v>
      </c>
      <c r="O12" s="9">
        <f t="shared" si="27"/>
        <v>163874101.18680015</v>
      </c>
      <c r="P12" s="9">
        <f t="shared" si="27"/>
        <v>173602751.1134066</v>
      </c>
      <c r="Q12" s="9">
        <f t="shared" si="27"/>
        <v>184064281.99998018</v>
      </c>
      <c r="R12" s="9">
        <f t="shared" si="27"/>
        <v>195295636.09043393</v>
      </c>
      <c r="S12" s="9">
        <f t="shared" si="27"/>
        <v>207335369.4621883</v>
      </c>
      <c r="T12" s="9">
        <f t="shared" si="27"/>
        <v>220223717.48265797</v>
      </c>
      <c r="U12" s="9">
        <f t="shared" si="27"/>
        <v>234002662.80238798</v>
      </c>
      <c r="V12" s="9">
        <f t="shared" si="27"/>
        <v>248716005.98015806</v>
      </c>
      <c r="W12" s="9">
        <f t="shared" si="27"/>
        <v>264409438.83887535</v>
      </c>
      <c r="X12" s="9">
        <f t="shared" si="27"/>
        <v>281130620.65470648</v>
      </c>
      <c r="Y12" s="9">
        <f t="shared" si="27"/>
        <v>298929257.28565937</v>
      </c>
      <c r="Z12" s="9">
        <f t="shared" si="27"/>
        <v>317857183.34972245</v>
      </c>
      <c r="AA12" s="9">
        <f t="shared" si="27"/>
        <v>337968447.56670463</v>
      </c>
      <c r="AB12" s="9">
        <f t="shared" si="27"/>
        <v>359319401.38210315</v>
      </c>
      <c r="AC12" s="9">
        <f t="shared" si="27"/>
        <v>381968790.99565846</v>
      </c>
      <c r="AD12" s="9">
        <f t="shared" si="27"/>
        <v>405977852.92174554</v>
      </c>
      <c r="AE12" s="9">
        <f t="shared" si="27"/>
        <v>431410413.21340227</v>
      </c>
      <c r="AF12" s="9">
        <f t="shared" si="27"/>
        <v>458332990.4866128</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14235204.486110026</v>
      </c>
      <c r="D18" s="9">
        <f>Investment!D25</f>
        <v>14970646.962398116</v>
      </c>
      <c r="E18" s="9">
        <f>Investment!E25</f>
        <v>15738580.907774862</v>
      </c>
      <c r="F18" s="9">
        <f>Investment!F25</f>
        <v>16540332.683166228</v>
      </c>
      <c r="G18" s="9">
        <f>Investment!G25</f>
        <v>17377280.265333083</v>
      </c>
      <c r="H18" s="9">
        <f>Investment!H25</f>
        <v>18250855.192091048</v>
      </c>
      <c r="I18" s="9">
        <f>Investment!I25</f>
        <v>19162544.579169825</v>
      </c>
      <c r="J18" s="9">
        <f>Investment!J25</f>
        <v>20113893.211304944</v>
      </c>
      <c r="K18" s="9">
        <f>Investment!K25</f>
        <v>21106505.71024764</v>
      </c>
      <c r="L18" s="9">
        <f>Investment!L25</f>
        <v>22142048.782474287</v>
      </c>
      <c r="M18" s="9">
        <f>Investment!M25</f>
        <v>23222253.549476147</v>
      </c>
      <c r="N18" s="9">
        <f>Investment!N25</f>
        <v>24348917.963612881</v>
      </c>
      <c r="O18" s="9">
        <f>Investment!O25</f>
        <v>25523909.312619701</v>
      </c>
      <c r="P18" s="9">
        <f>Investment!P25</f>
        <v>26749166.815968204</v>
      </c>
      <c r="Q18" s="9">
        <f>Investment!Q25</f>
        <v>28026704.316394895</v>
      </c>
      <c r="R18" s="9">
        <f>Investment!R25</f>
        <v>29358613.070029356</v>
      </c>
      <c r="S18" s="9">
        <f>Investment!S25</f>
        <v>30747064.638676424</v>
      </c>
      <c r="T18" s="9">
        <f>Investment!T25</f>
        <v>32194313.887933187</v>
      </c>
      <c r="U18" s="9">
        <f>Investment!U25</f>
        <v>33702702.09495239</v>
      </c>
      <c r="V18" s="9">
        <f>Investment!V25</f>
        <v>35274660.169799574</v>
      </c>
      <c r="W18" s="9">
        <f>Investment!W25</f>
        <v>36912711.994491749</v>
      </c>
      <c r="X18" s="9">
        <f>Investment!X25</f>
        <v>38619477.883950338</v>
      </c>
      <c r="Y18" s="9">
        <f>Investment!Y25</f>
        <v>40397678.173251927</v>
      </c>
      <c r="Z18" s="9">
        <f>Investment!Z25</f>
        <v>42250136.935715646</v>
      </c>
      <c r="AA18" s="9">
        <f>Investment!AA25</f>
        <v>44179785.836527653</v>
      </c>
      <c r="AB18" s="9">
        <f>Investment!AB25</f>
        <v>46189668.126769431</v>
      </c>
      <c r="AC18" s="9">
        <f>Investment!AC25</f>
        <v>48282942.782890081</v>
      </c>
      <c r="AD18" s="9">
        <f>Investment!AD25</f>
        <v>50462888.796840653</v>
      </c>
      <c r="AE18" s="9">
        <f>Investment!AE25</f>
        <v>52732909.622274384</v>
      </c>
      <c r="AF18" s="9">
        <f>Investment!AF25</f>
        <v>55096537.782407895</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104095129.48611003</v>
      </c>
      <c r="D19" s="9">
        <f>D18+C20</f>
        <v>116132087.33435255</v>
      </c>
      <c r="E19" s="9">
        <f>E18+D20</f>
        <v>128563185.14358629</v>
      </c>
      <c r="F19" s="9">
        <f t="shared" ref="F19:AF19" si="28">F18+E20</f>
        <v>141401322.02647805</v>
      </c>
      <c r="G19" s="9">
        <f t="shared" si="28"/>
        <v>154659819.03958535</v>
      </c>
      <c r="H19" s="9">
        <f t="shared" si="28"/>
        <v>168352432.97907382</v>
      </c>
      <c r="I19" s="9">
        <f t="shared" si="28"/>
        <v>182493370.62729049</v>
      </c>
      <c r="J19" s="9">
        <f t="shared" si="28"/>
        <v>197097303.46491992</v>
      </c>
      <c r="K19" s="9">
        <f t="shared" si="28"/>
        <v>212179382.86393273</v>
      </c>
      <c r="L19" s="9">
        <f t="shared" si="28"/>
        <v>227755255.77703175</v>
      </c>
      <c r="M19" s="9">
        <f t="shared" si="28"/>
        <v>243841080.93981391</v>
      </c>
      <c r="N19" s="9">
        <f t="shared" si="28"/>
        <v>260453545.60239589</v>
      </c>
      <c r="O19" s="9">
        <f t="shared" si="28"/>
        <v>277609882.80779821</v>
      </c>
      <c r="P19" s="9">
        <f t="shared" si="28"/>
        <v>295327889.23494691</v>
      </c>
      <c r="Q19" s="9">
        <f t="shared" si="28"/>
        <v>313625943.62473536</v>
      </c>
      <c r="R19" s="9">
        <f t="shared" si="28"/>
        <v>332523025.80819118</v>
      </c>
      <c r="S19" s="9">
        <f t="shared" si="28"/>
        <v>352038736.3564139</v>
      </c>
      <c r="T19" s="9">
        <f t="shared" si="28"/>
        <v>372193316.87259275</v>
      </c>
      <c r="U19" s="9">
        <f t="shared" si="28"/>
        <v>393007670.94707555</v>
      </c>
      <c r="V19" s="9">
        <f t="shared" si="28"/>
        <v>414503385.79714513</v>
      </c>
      <c r="W19" s="9">
        <f t="shared" si="28"/>
        <v>436702754.61386681</v>
      </c>
      <c r="X19" s="9">
        <f t="shared" si="28"/>
        <v>459628799.63909984</v>
      </c>
      <c r="Y19" s="9">
        <f t="shared" si="28"/>
        <v>483305295.99652064</v>
      </c>
      <c r="Z19" s="9">
        <f t="shared" si="28"/>
        <v>507756796.30128336</v>
      </c>
      <c r="AA19" s="9">
        <f t="shared" si="28"/>
        <v>533008656.07374793</v>
      </c>
      <c r="AB19" s="9">
        <f t="shared" si="28"/>
        <v>559087059.98353517</v>
      </c>
      <c r="AC19" s="9">
        <f t="shared" si="28"/>
        <v>586019048.9510268</v>
      </c>
      <c r="AD19" s="9">
        <f t="shared" si="28"/>
        <v>613832548.13431227</v>
      </c>
      <c r="AE19" s="9">
        <f t="shared" si="28"/>
        <v>642556395.83049953</v>
      </c>
      <c r="AF19" s="9">
        <f t="shared" si="28"/>
        <v>672220373.32125068</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101161440.37195444</v>
      </c>
      <c r="D20" s="9">
        <f>D19-D8-D9</f>
        <v>112824604.23581143</v>
      </c>
      <c r="E20" s="9">
        <f t="shared" ref="E20:AF20" si="29">E19-E8-E9</f>
        <v>124860989.34331183</v>
      </c>
      <c r="F20" s="9">
        <f t="shared" si="29"/>
        <v>137282538.77425227</v>
      </c>
      <c r="G20" s="9">
        <f t="shared" si="29"/>
        <v>150101577.78698277</v>
      </c>
      <c r="H20" s="9">
        <f t="shared" si="29"/>
        <v>163330826.04812065</v>
      </c>
      <c r="I20" s="9">
        <f t="shared" si="29"/>
        <v>176983410.25361499</v>
      </c>
      <c r="J20" s="9">
        <f t="shared" si="29"/>
        <v>191072877.15368509</v>
      </c>
      <c r="K20" s="9">
        <f t="shared" si="29"/>
        <v>205613206.99455747</v>
      </c>
      <c r="L20" s="9">
        <f t="shared" si="29"/>
        <v>220618827.39033777</v>
      </c>
      <c r="M20" s="9">
        <f t="shared" si="29"/>
        <v>236104627.63878301</v>
      </c>
      <c r="N20" s="9">
        <f t="shared" si="29"/>
        <v>252085973.49517852</v>
      </c>
      <c r="O20" s="9">
        <f t="shared" si="29"/>
        <v>268578722.41897869</v>
      </c>
      <c r="P20" s="9">
        <f t="shared" si="29"/>
        <v>285599239.30834043</v>
      </c>
      <c r="Q20" s="9">
        <f t="shared" si="29"/>
        <v>303164412.7381618</v>
      </c>
      <c r="R20" s="9">
        <f t="shared" si="29"/>
        <v>321291671.7177375</v>
      </c>
      <c r="S20" s="9">
        <f t="shared" si="29"/>
        <v>339999002.98465955</v>
      </c>
      <c r="T20" s="9">
        <f t="shared" si="29"/>
        <v>359304968.85212314</v>
      </c>
      <c r="U20" s="9">
        <f t="shared" si="29"/>
        <v>379228725.62734556</v>
      </c>
      <c r="V20" s="9">
        <f t="shared" si="29"/>
        <v>399790042.61937505</v>
      </c>
      <c r="W20" s="9">
        <f t="shared" si="29"/>
        <v>421009321.75514948</v>
      </c>
      <c r="X20" s="9">
        <f t="shared" si="29"/>
        <v>442907617.82326871</v>
      </c>
      <c r="Y20" s="9">
        <f t="shared" si="29"/>
        <v>465506659.36556774</v>
      </c>
      <c r="Z20" s="9">
        <f t="shared" si="29"/>
        <v>488828870.23722029</v>
      </c>
      <c r="AA20" s="9">
        <f t="shared" si="29"/>
        <v>512897391.85676575</v>
      </c>
      <c r="AB20" s="9">
        <f t="shared" si="29"/>
        <v>537736106.16813672</v>
      </c>
      <c r="AC20" s="9">
        <f t="shared" si="29"/>
        <v>563369659.3374716</v>
      </c>
      <c r="AD20" s="9">
        <f t="shared" si="29"/>
        <v>589823486.20822513</v>
      </c>
      <c r="AE20" s="9">
        <f t="shared" si="29"/>
        <v>617123835.5388428</v>
      </c>
      <c r="AF20" s="9">
        <f t="shared" si="29"/>
        <v>645297796.04804015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9043000</v>
      </c>
      <c r="D22" s="9">
        <f ca="1">'Balance Sheet'!C11</f>
        <v>18745063.419595685</v>
      </c>
      <c r="E22" s="9">
        <f ca="1">'Balance Sheet'!D11</f>
        <v>28190938.590351596</v>
      </c>
      <c r="F22" s="9">
        <f ca="1">'Balance Sheet'!E11</f>
        <v>37057392.556288846</v>
      </c>
      <c r="G22" s="9">
        <f ca="1">'Balance Sheet'!F11</f>
        <v>44937701.448038444</v>
      </c>
      <c r="H22" s="9">
        <f ca="1">'Balance Sheet'!G11</f>
        <v>51323818.028733484</v>
      </c>
      <c r="I22" s="9">
        <f ca="1">'Balance Sheet'!H11</f>
        <v>56521695.693599805</v>
      </c>
      <c r="J22" s="9">
        <f ca="1">'Balance Sheet'!I11</f>
        <v>61195938.40449807</v>
      </c>
      <c r="K22" s="9">
        <f ca="1">'Balance Sheet'!J11</f>
        <v>65642031.542428426</v>
      </c>
      <c r="L22" s="9">
        <f ca="1">'Balance Sheet'!K11</f>
        <v>69757544.72399731</v>
      </c>
      <c r="M22" s="9">
        <f ca="1">'Balance Sheet'!L11</f>
        <v>73982053.090415537</v>
      </c>
      <c r="N22" s="9">
        <f ca="1">'Balance Sheet'!M11</f>
        <v>78283020.02927421</v>
      </c>
      <c r="O22" s="9">
        <f ca="1">'Balance Sheet'!N11</f>
        <v>82622807.361356407</v>
      </c>
      <c r="P22" s="9">
        <f ca="1">'Balance Sheet'!O11</f>
        <v>86958182.514468759</v>
      </c>
      <c r="Q22" s="9">
        <f ca="1">'Balance Sheet'!P11</f>
        <v>91239786.433915794</v>
      </c>
      <c r="R22" s="9">
        <f ca="1">'Balance Sheet'!Q11</f>
        <v>95411559.401707813</v>
      </c>
      <c r="S22" s="9">
        <f ca="1">'Balance Sheet'!R11</f>
        <v>99410121.744524539</v>
      </c>
      <c r="T22" s="9">
        <f ca="1">'Balance Sheet'!S11</f>
        <v>103586720.08694555</v>
      </c>
      <c r="U22" s="9">
        <f ca="1">'Balance Sheet'!T11</f>
        <v>107924438.13859262</v>
      </c>
      <c r="V22" s="9">
        <f ca="1">'Balance Sheet'!U11</f>
        <v>112403238.98557554</v>
      </c>
      <c r="W22" s="9">
        <f ca="1">'Balance Sheet'!V11</f>
        <v>116999670.29700862</v>
      </c>
      <c r="X22" s="9">
        <f ca="1">'Balance Sheet'!W11</f>
        <v>121686547.54253589</v>
      </c>
      <c r="Y22" s="9">
        <f ca="1">'Balance Sheet'!X11</f>
        <v>126432613.77184454</v>
      </c>
      <c r="Z22" s="9">
        <f ca="1">'Balance Sheet'!Y11</f>
        <v>131202174.41856964</v>
      </c>
      <c r="AA22" s="9">
        <f ca="1">'Balance Sheet'!Z11</f>
        <v>135954705.49726158</v>
      </c>
      <c r="AB22" s="9">
        <f ca="1">'Balance Sheet'!AA11</f>
        <v>140644433.46291119</v>
      </c>
      <c r="AC22" s="9">
        <f ca="1">'Balance Sheet'!AB11</f>
        <v>147080623.94682747</v>
      </c>
      <c r="AD22" s="9">
        <f ca="1">'Balance Sheet'!AC11</f>
        <v>155412886.70755649</v>
      </c>
      <c r="AE22" s="9">
        <f ca="1">'Balance Sheet'!AD11</f>
        <v>165799890.78691116</v>
      </c>
      <c r="AF22" s="9">
        <f ca="1">'Balance Sheet'!AE11</f>
        <v>178409832.39861524</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92118440.371954441</v>
      </c>
      <c r="D23" s="9">
        <f t="shared" ref="D23:AF23" ca="1" si="30">D20-D22</f>
        <v>94079540.816215739</v>
      </c>
      <c r="E23" s="9">
        <f t="shared" ca="1" si="30"/>
        <v>96670050.752960235</v>
      </c>
      <c r="F23" s="9">
        <f t="shared" ca="1" si="30"/>
        <v>100225146.21796343</v>
      </c>
      <c r="G23" s="9">
        <f t="shared" ca="1" si="30"/>
        <v>105163876.33894433</v>
      </c>
      <c r="H23" s="9">
        <f t="shared" ca="1" si="30"/>
        <v>112007008.01938716</v>
      </c>
      <c r="I23" s="9">
        <f t="shared" ca="1" si="30"/>
        <v>120461714.56001519</v>
      </c>
      <c r="J23" s="9">
        <f ca="1">J20-J22</f>
        <v>129876938.74918702</v>
      </c>
      <c r="K23" s="9">
        <f t="shared" ca="1" si="30"/>
        <v>139971175.45212904</v>
      </c>
      <c r="L23" s="9">
        <f t="shared" ca="1" si="30"/>
        <v>150861282.66634047</v>
      </c>
      <c r="M23" s="9">
        <f t="shared" ca="1" si="30"/>
        <v>162122574.54836747</v>
      </c>
      <c r="N23" s="9">
        <f t="shared" ca="1" si="30"/>
        <v>173802953.4659043</v>
      </c>
      <c r="O23" s="9">
        <f t="shared" ca="1" si="30"/>
        <v>185955915.05762228</v>
      </c>
      <c r="P23" s="9">
        <f t="shared" ca="1" si="30"/>
        <v>198641056.79387167</v>
      </c>
      <c r="Q23" s="9">
        <f t="shared" ca="1" si="30"/>
        <v>211924626.30424601</v>
      </c>
      <c r="R23" s="9">
        <f t="shared" ca="1" si="30"/>
        <v>225880112.31602967</v>
      </c>
      <c r="S23" s="9">
        <f t="shared" ca="1" si="30"/>
        <v>240588881.24013501</v>
      </c>
      <c r="T23" s="9">
        <f t="shared" ca="1" si="30"/>
        <v>255718248.76517761</v>
      </c>
      <c r="U23" s="9">
        <f t="shared" ca="1" si="30"/>
        <v>271304287.48875296</v>
      </c>
      <c r="V23" s="9">
        <f t="shared" ca="1" si="30"/>
        <v>287386803.63379949</v>
      </c>
      <c r="W23" s="9">
        <f t="shared" ca="1" si="30"/>
        <v>304009651.45814085</v>
      </c>
      <c r="X23" s="9">
        <f t="shared" ca="1" si="30"/>
        <v>321221070.28073281</v>
      </c>
      <c r="Y23" s="9">
        <f t="shared" ca="1" si="30"/>
        <v>339074045.59372318</v>
      </c>
      <c r="Z23" s="9">
        <f t="shared" ca="1" si="30"/>
        <v>357626695.81865066</v>
      </c>
      <c r="AA23" s="9">
        <f t="shared" ca="1" si="30"/>
        <v>376942686.35950416</v>
      </c>
      <c r="AB23" s="9">
        <f t="shared" ca="1" si="30"/>
        <v>397091672.70522553</v>
      </c>
      <c r="AC23" s="9">
        <f t="shared" ca="1" si="30"/>
        <v>416289035.39064413</v>
      </c>
      <c r="AD23" s="9">
        <f t="shared" ca="1" si="30"/>
        <v>434410599.50066864</v>
      </c>
      <c r="AE23" s="9">
        <f t="shared" ca="1" si="30"/>
        <v>451323944.75193167</v>
      </c>
      <c r="AF23" s="9">
        <f t="shared" ca="1" si="30"/>
        <v>466887963.64942491</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9043000</v>
      </c>
      <c r="D5" s="1">
        <f ca="1">C5+C6</f>
        <v>18745063.419595685</v>
      </c>
      <c r="E5" s="1">
        <f t="shared" ref="E5:AF5" ca="1" si="1">D5+D6</f>
        <v>28190938.590351596</v>
      </c>
      <c r="F5" s="1">
        <f t="shared" ca="1" si="1"/>
        <v>37057392.556288846</v>
      </c>
      <c r="G5" s="1">
        <f t="shared" ca="1" si="1"/>
        <v>44937701.448038444</v>
      </c>
      <c r="H5" s="1">
        <f t="shared" ca="1" si="1"/>
        <v>51323818.028733484</v>
      </c>
      <c r="I5" s="1">
        <f t="shared" ca="1" si="1"/>
        <v>56521695.693599805</v>
      </c>
      <c r="J5" s="1">
        <f t="shared" ca="1" si="1"/>
        <v>61195938.40449807</v>
      </c>
      <c r="K5" s="1">
        <f t="shared" ca="1" si="1"/>
        <v>65642031.542428426</v>
      </c>
      <c r="L5" s="1">
        <f t="shared" ca="1" si="1"/>
        <v>69757544.72399731</v>
      </c>
      <c r="M5" s="1">
        <f t="shared" ca="1" si="1"/>
        <v>73982053.090415537</v>
      </c>
      <c r="N5" s="1">
        <f t="shared" ca="1" si="1"/>
        <v>78283020.02927421</v>
      </c>
      <c r="O5" s="1">
        <f t="shared" ca="1" si="1"/>
        <v>82622807.361356407</v>
      </c>
      <c r="P5" s="1">
        <f t="shared" ca="1" si="1"/>
        <v>86958182.514468759</v>
      </c>
      <c r="Q5" s="1">
        <f t="shared" ca="1" si="1"/>
        <v>91239786.433915794</v>
      </c>
      <c r="R5" s="1">
        <f t="shared" ca="1" si="1"/>
        <v>95411559.401707813</v>
      </c>
      <c r="S5" s="1">
        <f t="shared" ca="1" si="1"/>
        <v>99410121.744524539</v>
      </c>
      <c r="T5" s="1">
        <f t="shared" ca="1" si="1"/>
        <v>103586720.08694555</v>
      </c>
      <c r="U5" s="1">
        <f t="shared" ca="1" si="1"/>
        <v>107924438.13859262</v>
      </c>
      <c r="V5" s="1">
        <f t="shared" ca="1" si="1"/>
        <v>112403238.98557554</v>
      </c>
      <c r="W5" s="1">
        <f t="shared" ca="1" si="1"/>
        <v>116999670.29700862</v>
      </c>
      <c r="X5" s="1">
        <f t="shared" ca="1" si="1"/>
        <v>121686547.54253589</v>
      </c>
      <c r="Y5" s="1">
        <f t="shared" ca="1" si="1"/>
        <v>126432613.77184454</v>
      </c>
      <c r="Z5" s="1">
        <f t="shared" ca="1" si="1"/>
        <v>131202174.41856964</v>
      </c>
      <c r="AA5" s="1">
        <f t="shared" ca="1" si="1"/>
        <v>135954705.49726158</v>
      </c>
      <c r="AB5" s="1">
        <f t="shared" ca="1" si="1"/>
        <v>140644433.46291119</v>
      </c>
      <c r="AC5" s="1">
        <f t="shared" ca="1" si="1"/>
        <v>147080623.94682747</v>
      </c>
      <c r="AD5" s="1">
        <f t="shared" ca="1" si="1"/>
        <v>155412886.70755649</v>
      </c>
      <c r="AE5" s="1">
        <f t="shared" ca="1" si="1"/>
        <v>165799890.78691116</v>
      </c>
      <c r="AF5" s="1">
        <f t="shared" ca="1" si="1"/>
        <v>178409832.39861524</v>
      </c>
      <c r="AG5" s="1"/>
      <c r="AH5" s="1"/>
      <c r="AI5" s="1"/>
      <c r="AJ5" s="1"/>
      <c r="AK5" s="1"/>
      <c r="AL5" s="1"/>
      <c r="AM5" s="1"/>
      <c r="AN5" s="1"/>
      <c r="AO5" s="1"/>
      <c r="AP5" s="1"/>
    </row>
    <row r="6" spans="1:42" x14ac:dyDescent="0.35">
      <c r="A6" s="63" t="s">
        <v>3</v>
      </c>
      <c r="C6" s="1">
        <f ca="1">-'Cash Flow'!C13</f>
        <v>9702063.4195956849</v>
      </c>
      <c r="D6" s="1">
        <f ca="1">-'Cash Flow'!D13</f>
        <v>9445875.1707559098</v>
      </c>
      <c r="E6" s="1">
        <f ca="1">-'Cash Flow'!E13</f>
        <v>8866453.9659372475</v>
      </c>
      <c r="F6" s="1">
        <f ca="1">-'Cash Flow'!F13</f>
        <v>7880308.8917495981</v>
      </c>
      <c r="G6" s="1">
        <f ca="1">-'Cash Flow'!G13</f>
        <v>6386116.5806950405</v>
      </c>
      <c r="H6" s="1">
        <f ca="1">-'Cash Flow'!H13</f>
        <v>5197877.6648663171</v>
      </c>
      <c r="I6" s="1">
        <f ca="1">-'Cash Flow'!I13</f>
        <v>4674242.710898269</v>
      </c>
      <c r="J6" s="1">
        <f ca="1">-'Cash Flow'!J13</f>
        <v>4446093.1379303578</v>
      </c>
      <c r="K6" s="1">
        <f ca="1">-'Cash Flow'!K13</f>
        <v>4115513.1815688796</v>
      </c>
      <c r="L6" s="1">
        <f ca="1">-'Cash Flow'!L13</f>
        <v>4224508.3664182276</v>
      </c>
      <c r="M6" s="1">
        <f ca="1">-'Cash Flow'!M13</f>
        <v>4300966.938858673</v>
      </c>
      <c r="N6" s="1">
        <f ca="1">-'Cash Flow'!N13</f>
        <v>4339787.3320822045</v>
      </c>
      <c r="O6" s="1">
        <f ca="1">-'Cash Flow'!O13</f>
        <v>4335375.1531123444</v>
      </c>
      <c r="P6" s="1">
        <f ca="1">-'Cash Flow'!P13</f>
        <v>4281603.9194470271</v>
      </c>
      <c r="Q6" s="1">
        <f ca="1">-'Cash Flow'!Q13</f>
        <v>4171772.9677920192</v>
      </c>
      <c r="R6" s="1">
        <f ca="1">-'Cash Flow'!R13</f>
        <v>3998562.3428167254</v>
      </c>
      <c r="S6" s="1">
        <f ca="1">-'Cash Flow'!S13</f>
        <v>4176598.3424210064</v>
      </c>
      <c r="T6" s="1">
        <f ca="1">-'Cash Flow'!T13</f>
        <v>4337718.0516470671</v>
      </c>
      <c r="U6" s="1">
        <f ca="1">-'Cash Flow'!U13</f>
        <v>4478800.8469829261</v>
      </c>
      <c r="V6" s="1">
        <f ca="1">-'Cash Flow'!V13</f>
        <v>4596431.3114330806</v>
      </c>
      <c r="W6" s="1">
        <f ca="1">-'Cash Flow'!W13</f>
        <v>4686877.2455272675</v>
      </c>
      <c r="X6" s="1">
        <f ca="1">-'Cash Flow'!X13</f>
        <v>4746066.2293086424</v>
      </c>
      <c r="Y6" s="1">
        <f ca="1">-'Cash Flow'!Y13</f>
        <v>4769560.6467251033</v>
      </c>
      <c r="Z6" s="1">
        <f ca="1">-'Cash Flow'!Z13</f>
        <v>4752531.0786919594</v>
      </c>
      <c r="AA6" s="1">
        <f ca="1">-'Cash Flow'!AA13</f>
        <v>4689727.9656495899</v>
      </c>
      <c r="AB6" s="1">
        <f ca="1">-'Cash Flow'!AB13</f>
        <v>6436190.4839162752</v>
      </c>
      <c r="AC6" s="1">
        <f ca="1">-'Cash Flow'!AC13</f>
        <v>8332262.7607290298</v>
      </c>
      <c r="AD6" s="1">
        <f ca="1">-'Cash Flow'!AD13</f>
        <v>10387004.079354681</v>
      </c>
      <c r="AE6" s="1">
        <f ca="1">-'Cash Flow'!AE13</f>
        <v>12609941.611704066</v>
      </c>
      <c r="AF6" s="1">
        <f ca="1">-'Cash Flow'!AF13</f>
        <v>15011092.502569318</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656077.21968584904</v>
      </c>
      <c r="D8" s="1">
        <f ca="1">IF(SUM(D5:D6)&gt;0,Assumptions!$C$26*SUM(D5:D6),Assumptions!$C$27*(SUM(D5:D6)))</f>
        <v>986682.85066230595</v>
      </c>
      <c r="E8" s="1">
        <f ca="1">IF(SUM(E5:E6)&gt;0,Assumptions!$C$26*SUM(E5:E6),Assumptions!$C$27*(SUM(E5:E6)))</f>
        <v>1297008.7394701098</v>
      </c>
      <c r="F8" s="1">
        <f ca="1">IF(SUM(F5:F6)&gt;0,Assumptions!$C$26*SUM(F5:F6),Assumptions!$C$27*(SUM(F5:F6)))</f>
        <v>1572819.5506813456</v>
      </c>
      <c r="G8" s="1">
        <f ca="1">IF(SUM(G5:G6)&gt;0,Assumptions!$C$26*SUM(G5:G6),Assumptions!$C$27*(SUM(G5:G6)))</f>
        <v>1796333.631005672</v>
      </c>
      <c r="H8" s="1">
        <f ca="1">IF(SUM(H5:H6)&gt;0,Assumptions!$C$26*SUM(H5:H6),Assumptions!$C$27*(SUM(H5:H6)))</f>
        <v>1978259.3492759934</v>
      </c>
      <c r="I8" s="1">
        <f ca="1">IF(SUM(I5:I6)&gt;0,Assumptions!$C$26*SUM(I5:I6),Assumptions!$C$27*(SUM(I5:I6)))</f>
        <v>2141857.8441574327</v>
      </c>
      <c r="J8" s="1">
        <f ca="1">IF(SUM(J5:J6)&gt;0,Assumptions!$C$26*SUM(J5:J6),Assumptions!$C$27*(SUM(J5:J6)))</f>
        <v>2297471.1039849953</v>
      </c>
      <c r="K8" s="1">
        <f ca="1">IF(SUM(K5:K6)&gt;0,Assumptions!$C$26*SUM(K5:K6),Assumptions!$C$27*(SUM(K5:K6)))</f>
        <v>2441514.0653399061</v>
      </c>
      <c r="L8" s="1">
        <f ca="1">IF(SUM(L5:L6)&gt;0,Assumptions!$C$26*SUM(L5:L6),Assumptions!$C$27*(SUM(L5:L6)))</f>
        <v>2589371.8581645442</v>
      </c>
      <c r="M8" s="1">
        <f ca="1">IF(SUM(M5:M6)&gt;0,Assumptions!$C$26*SUM(M5:M6),Assumptions!$C$27*(SUM(M5:M6)))</f>
        <v>2739905.7010245975</v>
      </c>
      <c r="N8" s="1">
        <f ca="1">IF(SUM(N5:N6)&gt;0,Assumptions!$C$26*SUM(N5:N6),Assumptions!$C$27*(SUM(N5:N6)))</f>
        <v>2891798.2576474748</v>
      </c>
      <c r="O8" s="1">
        <f ca="1">IF(SUM(O5:O6)&gt;0,Assumptions!$C$26*SUM(O5:O6),Assumptions!$C$27*(SUM(O5:O6)))</f>
        <v>3043536.3880064068</v>
      </c>
      <c r="P8" s="1">
        <f ca="1">IF(SUM(P5:P6)&gt;0,Assumptions!$C$26*SUM(P5:P6),Assumptions!$C$27*(SUM(P5:P6)))</f>
        <v>3193392.5251870533</v>
      </c>
      <c r="Q8" s="1">
        <f ca="1">IF(SUM(Q5:Q6)&gt;0,Assumptions!$C$26*SUM(Q5:Q6),Assumptions!$C$27*(SUM(Q5:Q6)))</f>
        <v>3339404.5790597736</v>
      </c>
      <c r="R8" s="1">
        <f ca="1">IF(SUM(R5:R6)&gt;0,Assumptions!$C$26*SUM(R5:R6),Assumptions!$C$27*(SUM(R5:R6)))</f>
        <v>3479354.2610583594</v>
      </c>
      <c r="S8" s="1">
        <f ca="1">IF(SUM(S5:S6)&gt;0,Assumptions!$C$26*SUM(S5:S6),Assumptions!$C$27*(SUM(S5:S6)))</f>
        <v>3625535.2030430944</v>
      </c>
      <c r="T8" s="1">
        <f ca="1">IF(SUM(T5:T6)&gt;0,Assumptions!$C$26*SUM(T5:T6),Assumptions!$C$27*(SUM(T5:T6)))</f>
        <v>3777355.334850742</v>
      </c>
      <c r="U8" s="1">
        <f ca="1">IF(SUM(U5:U6)&gt;0,Assumptions!$C$26*SUM(U5:U6),Assumptions!$C$27*(SUM(U5:U6)))</f>
        <v>3934113.3644951442</v>
      </c>
      <c r="V8" s="1">
        <f ca="1">IF(SUM(V5:V6)&gt;0,Assumptions!$C$26*SUM(V5:V6),Assumptions!$C$27*(SUM(V5:V6)))</f>
        <v>4094988.4603953022</v>
      </c>
      <c r="W8" s="1">
        <f ca="1">IF(SUM(W5:W6)&gt;0,Assumptions!$C$26*SUM(W5:W6),Assumptions!$C$27*(SUM(W5:W6)))</f>
        <v>4259029.163988756</v>
      </c>
      <c r="X8" s="1">
        <f ca="1">IF(SUM(X5:X6)&gt;0,Assumptions!$C$26*SUM(X5:X6),Assumptions!$C$27*(SUM(X5:X6)))</f>
        <v>4425141.4820145592</v>
      </c>
      <c r="Y8" s="1">
        <f ca="1">IF(SUM(Y5:Y6)&gt;0,Assumptions!$C$26*SUM(Y5:Y6),Assumptions!$C$27*(SUM(Y5:Y6)))</f>
        <v>4592076.1046499377</v>
      </c>
      <c r="Z8" s="1">
        <f ca="1">IF(SUM(Z5:Z6)&gt;0,Assumptions!$C$26*SUM(Z5:Z6),Assumptions!$C$27*(SUM(Z5:Z6)))</f>
        <v>4758414.6924041556</v>
      </c>
      <c r="AA8" s="1">
        <f ca="1">IF(SUM(AA5:AA6)&gt;0,Assumptions!$C$26*SUM(AA5:AA6),Assumptions!$C$27*(SUM(AA5:AA6)))</f>
        <v>4922555.1712018922</v>
      </c>
      <c r="AB8" s="1">
        <f ca="1">IF(SUM(AB5:AB6)&gt;0,Assumptions!$C$26*SUM(AB5:AB6),Assumptions!$C$27*(SUM(AB5:AB6)))</f>
        <v>5147821.8381389622</v>
      </c>
      <c r="AC8" s="1">
        <f ca="1">IF(SUM(AC5:AC6)&gt;0,Assumptions!$C$26*SUM(AC5:AC6),Assumptions!$C$27*(SUM(AC5:AC6)))</f>
        <v>5439451.034764478</v>
      </c>
      <c r="AD8" s="1">
        <f ca="1">IF(SUM(AD5:AD6)&gt;0,Assumptions!$C$26*SUM(AD5:AD6),Assumptions!$C$27*(SUM(AD5:AD6)))</f>
        <v>5802996.1775418911</v>
      </c>
      <c r="AE8" s="1">
        <f ca="1">IF(SUM(AE5:AE6)&gt;0,Assumptions!$C$26*SUM(AE5:AE6),Assumptions!$C$27*(SUM(AE5:AE6)))</f>
        <v>6244344.1339515336</v>
      </c>
      <c r="AF8" s="1">
        <f ca="1">IF(SUM(AF5:AF6)&gt;0,Assumptions!$C$26*SUM(AF5:AF6),Assumptions!$C$27*(SUM(AF5:AF6)))</f>
        <v>6769732.37154146</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4" zoomScaleNormal="100" workbookViewId="0">
      <selection sqref="A1:XFD1048576"/>
    </sheetView>
  </sheetViews>
  <sheetFormatPr defaultRowHeight="15.5" x14ac:dyDescent="0.35"/>
  <cols>
    <col min="1" max="1" width="107.9140625" style="63" customWidth="1"/>
    <col min="2" max="2" width="18.1640625" style="181" bestFit="1" customWidth="1"/>
    <col min="3" max="3" width="53.832031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2"/>
    </row>
    <row r="6" spans="1:3" ht="18.5" x14ac:dyDescent="0.45">
      <c r="A6" s="90"/>
      <c r="B6" s="182"/>
    </row>
    <row r="7" spans="1:3" ht="18.5" x14ac:dyDescent="0.45">
      <c r="A7" s="90" t="s">
        <v>96</v>
      </c>
      <c r="B7" s="183">
        <f>Assumptions!C24</f>
        <v>6912741.7217391301</v>
      </c>
      <c r="C7" s="180" t="s">
        <v>136</v>
      </c>
    </row>
    <row r="8" spans="1:3" ht="34" x14ac:dyDescent="0.45">
      <c r="A8" s="90" t="s">
        <v>174</v>
      </c>
      <c r="B8" s="184">
        <f>Assumptions!$C$133</f>
        <v>0.7</v>
      </c>
      <c r="C8" s="180" t="s">
        <v>199</v>
      </c>
    </row>
    <row r="9" spans="1:3" ht="18.5" x14ac:dyDescent="0.45">
      <c r="A9" s="90"/>
      <c r="B9" s="185"/>
      <c r="C9" s="180"/>
    </row>
    <row r="10" spans="1:3" ht="68" x14ac:dyDescent="0.45">
      <c r="A10" s="94" t="s">
        <v>102</v>
      </c>
      <c r="B10" s="186">
        <f>Assumptions!C135</f>
        <v>3618.8888888888887</v>
      </c>
      <c r="C10" s="180" t="s">
        <v>200</v>
      </c>
    </row>
    <row r="11" spans="1:3" ht="18.5" x14ac:dyDescent="0.45">
      <c r="A11" s="94"/>
      <c r="B11" s="187"/>
      <c r="C11" s="180"/>
    </row>
    <row r="12" spans="1:3" ht="18.5" x14ac:dyDescent="0.45">
      <c r="A12" s="94" t="s">
        <v>184</v>
      </c>
      <c r="B12" s="183">
        <f>(B7*B8)/B10</f>
        <v>1337.1284263726286</v>
      </c>
      <c r="C12" s="180"/>
    </row>
    <row r="13" spans="1:3" ht="18.5" x14ac:dyDescent="0.45">
      <c r="A13" s="96"/>
      <c r="B13" s="188"/>
      <c r="C13" s="180"/>
    </row>
    <row r="14" spans="1:3" ht="18.5" x14ac:dyDescent="0.45">
      <c r="A14" s="94" t="s">
        <v>103</v>
      </c>
      <c r="B14" s="103">
        <v>1</v>
      </c>
      <c r="C14" s="180"/>
    </row>
    <row r="15" spans="1:3" ht="18.5" x14ac:dyDescent="0.45">
      <c r="A15" s="96"/>
      <c r="B15" s="99"/>
      <c r="C15" s="180"/>
    </row>
    <row r="16" spans="1:3" ht="18.5" x14ac:dyDescent="0.45">
      <c r="A16" s="96" t="s">
        <v>179</v>
      </c>
      <c r="B16" s="189">
        <f>B12/B14</f>
        <v>1337.1284263726286</v>
      </c>
      <c r="C16" s="180"/>
    </row>
    <row r="17" spans="1:3" ht="18.5" x14ac:dyDescent="0.45">
      <c r="A17" s="94"/>
      <c r="B17" s="190"/>
      <c r="C17" s="180"/>
    </row>
    <row r="18" spans="1:3" ht="18.5" x14ac:dyDescent="0.45">
      <c r="A18" s="102" t="s">
        <v>178</v>
      </c>
      <c r="B18" s="190"/>
      <c r="C18" s="180"/>
    </row>
    <row r="19" spans="1:3" ht="18.5" x14ac:dyDescent="0.45">
      <c r="A19" s="94"/>
      <c r="B19" s="190"/>
      <c r="C19" s="180"/>
    </row>
    <row r="20" spans="1:3" ht="34" x14ac:dyDescent="0.45">
      <c r="A20" s="94" t="s">
        <v>65</v>
      </c>
      <c r="B20" s="183">
        <f>'Profit and Loss'!L5</f>
        <v>28448708.358313698</v>
      </c>
      <c r="C20" s="180" t="s">
        <v>201</v>
      </c>
    </row>
    <row r="21" spans="1:3" ht="34" x14ac:dyDescent="0.45">
      <c r="A21" s="94" t="str">
        <f>A8</f>
        <v>Assumed revenue from households</v>
      </c>
      <c r="B21" s="184">
        <f>B8</f>
        <v>0.7</v>
      </c>
      <c r="C21" s="180" t="s">
        <v>199</v>
      </c>
    </row>
    <row r="22" spans="1:3" ht="18.5" x14ac:dyDescent="0.45">
      <c r="A22" s="94"/>
      <c r="B22" s="187"/>
      <c r="C22" s="180"/>
    </row>
    <row r="23" spans="1:3" ht="34" x14ac:dyDescent="0.45">
      <c r="A23" s="94" t="s">
        <v>101</v>
      </c>
      <c r="B23" s="186">
        <f>Assumptions!M135</f>
        <v>3673.7413161551135</v>
      </c>
      <c r="C23" s="180" t="s">
        <v>202</v>
      </c>
    </row>
    <row r="24" spans="1:3" ht="18.5" x14ac:dyDescent="0.45">
      <c r="A24" s="94"/>
      <c r="B24" s="187"/>
      <c r="C24" s="180"/>
    </row>
    <row r="25" spans="1:3" ht="18.5" x14ac:dyDescent="0.45">
      <c r="A25" s="94" t="s">
        <v>183</v>
      </c>
      <c r="B25" s="183">
        <f>(B20*B21)/B23</f>
        <v>5420.6581620889419</v>
      </c>
      <c r="C25" s="180"/>
    </row>
    <row r="26" spans="1:3" ht="18.5" x14ac:dyDescent="0.45">
      <c r="A26" s="94"/>
      <c r="B26" s="183"/>
      <c r="C26" s="180"/>
    </row>
    <row r="27" spans="1:3" ht="34" x14ac:dyDescent="0.45">
      <c r="A27" s="94" t="s">
        <v>103</v>
      </c>
      <c r="B27" s="103">
        <f>1.022^11</f>
        <v>1.2704566586717592</v>
      </c>
      <c r="C27" s="180" t="s">
        <v>203</v>
      </c>
    </row>
    <row r="28" spans="1:3" ht="18.5" x14ac:dyDescent="0.45">
      <c r="A28" s="96"/>
      <c r="B28" s="188"/>
      <c r="C28" s="180"/>
    </row>
    <row r="29" spans="1:3" ht="18.5" x14ac:dyDescent="0.45">
      <c r="A29" s="96" t="s">
        <v>180</v>
      </c>
      <c r="B29" s="183">
        <f>B25/B27</f>
        <v>4266.7005797396878</v>
      </c>
      <c r="C29" s="180"/>
    </row>
    <row r="30" spans="1:3" ht="18.5" x14ac:dyDescent="0.45">
      <c r="A30" s="96"/>
      <c r="B30" s="188"/>
      <c r="C30" s="180"/>
    </row>
    <row r="31" spans="1:3" ht="18.5" x14ac:dyDescent="0.45">
      <c r="A31" s="102" t="s">
        <v>186</v>
      </c>
      <c r="B31" s="191"/>
      <c r="C31" s="180"/>
    </row>
    <row r="32" spans="1:3" ht="18.5" x14ac:dyDescent="0.45">
      <c r="A32" s="94"/>
      <c r="B32" s="183"/>
      <c r="C32" s="180"/>
    </row>
    <row r="33" spans="1:3" ht="34" x14ac:dyDescent="0.45">
      <c r="A33" s="94" t="s">
        <v>66</v>
      </c>
      <c r="B33" s="183">
        <f>'Profit and Loss'!AF5</f>
        <v>71932070.643507585</v>
      </c>
      <c r="C33" s="180" t="s">
        <v>201</v>
      </c>
    </row>
    <row r="34" spans="1:3" ht="34" x14ac:dyDescent="0.45">
      <c r="A34" s="94" t="str">
        <f>A21</f>
        <v>Assumed revenue from households</v>
      </c>
      <c r="B34" s="184">
        <f>B21</f>
        <v>0.7</v>
      </c>
      <c r="C34" s="180" t="s">
        <v>199</v>
      </c>
    </row>
    <row r="35" spans="1:3" ht="18.5" x14ac:dyDescent="0.45">
      <c r="A35" s="94"/>
      <c r="B35" s="187"/>
      <c r="C35" s="180"/>
    </row>
    <row r="36" spans="1:3" ht="34" x14ac:dyDescent="0.45">
      <c r="A36" s="94" t="s">
        <v>100</v>
      </c>
      <c r="B36" s="186">
        <f>Assumptions!AG135</f>
        <v>3785.9530095524428</v>
      </c>
      <c r="C36" s="180" t="s">
        <v>202</v>
      </c>
    </row>
    <row r="37" spans="1:3" ht="18.5" x14ac:dyDescent="0.45">
      <c r="A37" s="94"/>
      <c r="B37" s="187"/>
      <c r="C37" s="180"/>
    </row>
    <row r="38" spans="1:3" ht="18.5" x14ac:dyDescent="0.45">
      <c r="A38" s="94" t="s">
        <v>182</v>
      </c>
      <c r="B38" s="183">
        <f>(B33*B34)/B36</f>
        <v>13299.808350343928</v>
      </c>
      <c r="C38" s="180"/>
    </row>
    <row r="39" spans="1:3" ht="18.5" x14ac:dyDescent="0.45">
      <c r="A39" s="94"/>
      <c r="B39" s="187"/>
      <c r="C39" s="180"/>
    </row>
    <row r="40" spans="1:3" ht="34" x14ac:dyDescent="0.45">
      <c r="A40" s="94" t="s">
        <v>103</v>
      </c>
      <c r="B40" s="103">
        <f>1.022^31</f>
        <v>1.9632597808456462</v>
      </c>
      <c r="C40" s="180" t="s">
        <v>203</v>
      </c>
    </row>
    <row r="41" spans="1:3" ht="18.5" x14ac:dyDescent="0.45">
      <c r="A41" s="96"/>
      <c r="B41" s="188"/>
    </row>
    <row r="42" spans="1:3" ht="18.5" x14ac:dyDescent="0.45">
      <c r="A42" s="96" t="s">
        <v>181</v>
      </c>
      <c r="B42" s="183">
        <f>B38/B40</f>
        <v>6774.3497218769617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1.5054854111855587E-3</v>
      </c>
      <c r="D13" s="128">
        <f t="shared" ref="D13:AG13" si="3">(1+$C$13)^D8</f>
        <v>1.0015054854111856</v>
      </c>
      <c r="E13" s="128">
        <f t="shared" si="3"/>
        <v>1.0030132373086944</v>
      </c>
      <c r="F13" s="128">
        <f t="shared" si="3"/>
        <v>1.0045232591046886</v>
      </c>
      <c r="G13" s="128">
        <f t="shared" si="3"/>
        <v>1.0060355542164674</v>
      </c>
      <c r="H13" s="128">
        <f t="shared" si="3"/>
        <v>1.0075501260664743</v>
      </c>
      <c r="I13" s="128">
        <f t="shared" si="3"/>
        <v>1.0090669780823056</v>
      </c>
      <c r="J13" s="128">
        <f t="shared" si="3"/>
        <v>1.0105861136967176</v>
      </c>
      <c r="K13" s="128">
        <f t="shared" si="3"/>
        <v>1.0121075363476346</v>
      </c>
      <c r="L13" s="128">
        <f t="shared" si="3"/>
        <v>1.013631249478157</v>
      </c>
      <c r="M13" s="128">
        <f t="shared" si="3"/>
        <v>1.0151572565365681</v>
      </c>
      <c r="N13" s="128">
        <f t="shared" si="3"/>
        <v>1.016685560976343</v>
      </c>
      <c r="O13" s="128">
        <f t="shared" si="3"/>
        <v>1.018216166256156</v>
      </c>
      <c r="P13" s="128">
        <f t="shared" si="3"/>
        <v>1.0197490758398879</v>
      </c>
      <c r="Q13" s="128">
        <f t="shared" si="3"/>
        <v>1.0212842931966351</v>
      </c>
      <c r="R13" s="128">
        <f t="shared" si="3"/>
        <v>1.0228218218007155</v>
      </c>
      <c r="S13" s="128">
        <f t="shared" si="3"/>
        <v>1.0243616651316785</v>
      </c>
      <c r="T13" s="128">
        <f t="shared" si="3"/>
        <v>1.0259038266743119</v>
      </c>
      <c r="U13" s="128">
        <f t="shared" si="3"/>
        <v>1.0274483099186495</v>
      </c>
      <c r="V13" s="128">
        <f t="shared" si="3"/>
        <v>1.0289951183599795</v>
      </c>
      <c r="W13" s="128">
        <f t="shared" si="3"/>
        <v>1.0305442554988515</v>
      </c>
      <c r="X13" s="128">
        <f t="shared" si="3"/>
        <v>1.0320957248410862</v>
      </c>
      <c r="Y13" s="128">
        <f t="shared" si="3"/>
        <v>1.0336495298977815</v>
      </c>
      <c r="Z13" s="128">
        <f t="shared" si="3"/>
        <v>1.0352056741853213</v>
      </c>
      <c r="AA13" s="128">
        <f t="shared" si="3"/>
        <v>1.0367641612253837</v>
      </c>
      <c r="AB13" s="128">
        <f t="shared" si="3"/>
        <v>1.0383249945449486</v>
      </c>
      <c r="AC13" s="128">
        <f t="shared" si="3"/>
        <v>1.0398881776763054</v>
      </c>
      <c r="AD13" s="128">
        <f t="shared" si="3"/>
        <v>1.0414537141570614</v>
      </c>
      <c r="AE13" s="128">
        <f t="shared" si="3"/>
        <v>1.0430216075301499</v>
      </c>
      <c r="AF13" s="128">
        <f t="shared" si="3"/>
        <v>1.0445918613438379</v>
      </c>
      <c r="AG13" s="128">
        <f t="shared" si="3"/>
        <v>1.0461644791517344</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179719850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89859925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9043000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6912741.7217391301</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3057000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153725000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205714699.99999997</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454033.53756688657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859304.00584205298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656668.77170446981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1237568.6898150966</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2203615.4404168366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1720592.0651159666</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2579896.0709580197</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179" t="s">
        <v>176</v>
      </c>
      <c r="C77" s="87">
        <v>38616500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411743140.55307162</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168088706.65358207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450359640.55307162</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206705206.65358207</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9870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9672</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9771</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46091.458453901505</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21154.969466132643</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450359640.55307162</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206705206.65358207</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328532423.60332686</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328532423.60332686</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10951080.786777562</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2579896.0709580197</v>
      </c>
      <c r="E111" s="149">
        <f t="shared" si="9"/>
        <v>2579896.0709580197</v>
      </c>
      <c r="F111" s="149">
        <f t="shared" si="9"/>
        <v>2579896.0709580197</v>
      </c>
      <c r="G111" s="149">
        <f t="shared" si="9"/>
        <v>2579896.0709580197</v>
      </c>
      <c r="H111" s="149">
        <f t="shared" si="9"/>
        <v>2579896.0709580197</v>
      </c>
      <c r="I111" s="149">
        <f t="shared" si="9"/>
        <v>2579896.0709580197</v>
      </c>
      <c r="J111" s="149">
        <f t="shared" si="9"/>
        <v>2579896.0709580197</v>
      </c>
      <c r="K111" s="149">
        <f t="shared" si="9"/>
        <v>2579896.0709580197</v>
      </c>
      <c r="L111" s="149">
        <f t="shared" si="9"/>
        <v>2579896.0709580197</v>
      </c>
      <c r="M111" s="149">
        <f t="shared" si="9"/>
        <v>2579896.0709580197</v>
      </c>
      <c r="N111" s="149">
        <f t="shared" si="9"/>
        <v>2579896.0709580197</v>
      </c>
      <c r="O111" s="149">
        <f t="shared" si="9"/>
        <v>2579896.0709580197</v>
      </c>
      <c r="P111" s="149">
        <f t="shared" si="9"/>
        <v>2579896.0709580197</v>
      </c>
      <c r="Q111" s="149">
        <f t="shared" si="9"/>
        <v>2579896.0709580197</v>
      </c>
      <c r="R111" s="149">
        <f t="shared" si="9"/>
        <v>2579896.0709580197</v>
      </c>
      <c r="S111" s="149">
        <f t="shared" si="9"/>
        <v>2579896.0709580197</v>
      </c>
      <c r="T111" s="149">
        <f t="shared" si="9"/>
        <v>2579896.0709580197</v>
      </c>
      <c r="U111" s="149">
        <f t="shared" si="9"/>
        <v>2579896.0709580197</v>
      </c>
      <c r="V111" s="149">
        <f t="shared" si="9"/>
        <v>2579896.0709580197</v>
      </c>
      <c r="W111" s="149">
        <f t="shared" si="9"/>
        <v>2579896.0709580197</v>
      </c>
      <c r="X111" s="149">
        <f t="shared" si="9"/>
        <v>2579896.0709580197</v>
      </c>
      <c r="Y111" s="149">
        <f t="shared" si="9"/>
        <v>2579896.0709580197</v>
      </c>
      <c r="Z111" s="149">
        <f t="shared" si="9"/>
        <v>2579896.0709580197</v>
      </c>
      <c r="AA111" s="149">
        <f t="shared" si="9"/>
        <v>2579896.0709580197</v>
      </c>
      <c r="AB111" s="149">
        <f t="shared" si="9"/>
        <v>2579896.0709580197</v>
      </c>
      <c r="AC111" s="149">
        <f t="shared" si="9"/>
        <v>2579896.0709580197</v>
      </c>
      <c r="AD111" s="149">
        <f t="shared" si="9"/>
        <v>2579896.0709580197</v>
      </c>
      <c r="AE111" s="149">
        <f t="shared" si="9"/>
        <v>2579896.0709580197</v>
      </c>
      <c r="AF111" s="149">
        <f t="shared" si="9"/>
        <v>2579896.0709580197</v>
      </c>
      <c r="AG111" s="149">
        <f t="shared" si="9"/>
        <v>2579896.0709580197</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328532423.60332674</v>
      </c>
      <c r="D113" s="149">
        <f t="shared" ref="D113:AG113" si="10">$C$102</f>
        <v>10951080.786777562</v>
      </c>
      <c r="E113" s="149">
        <f t="shared" si="10"/>
        <v>10951080.786777562</v>
      </c>
      <c r="F113" s="149">
        <f t="shared" si="10"/>
        <v>10951080.786777562</v>
      </c>
      <c r="G113" s="149">
        <f t="shared" si="10"/>
        <v>10951080.786777562</v>
      </c>
      <c r="H113" s="149">
        <f t="shared" si="10"/>
        <v>10951080.786777562</v>
      </c>
      <c r="I113" s="149">
        <f t="shared" si="10"/>
        <v>10951080.786777562</v>
      </c>
      <c r="J113" s="149">
        <f t="shared" si="10"/>
        <v>10951080.786777562</v>
      </c>
      <c r="K113" s="149">
        <f t="shared" si="10"/>
        <v>10951080.786777562</v>
      </c>
      <c r="L113" s="149">
        <f t="shared" si="10"/>
        <v>10951080.786777562</v>
      </c>
      <c r="M113" s="149">
        <f t="shared" si="10"/>
        <v>10951080.786777562</v>
      </c>
      <c r="N113" s="149">
        <f t="shared" si="10"/>
        <v>10951080.786777562</v>
      </c>
      <c r="O113" s="149">
        <f t="shared" si="10"/>
        <v>10951080.786777562</v>
      </c>
      <c r="P113" s="149">
        <f t="shared" si="10"/>
        <v>10951080.786777562</v>
      </c>
      <c r="Q113" s="149">
        <f t="shared" si="10"/>
        <v>10951080.786777562</v>
      </c>
      <c r="R113" s="149">
        <f t="shared" si="10"/>
        <v>10951080.786777562</v>
      </c>
      <c r="S113" s="149">
        <f t="shared" si="10"/>
        <v>10951080.786777562</v>
      </c>
      <c r="T113" s="149">
        <f t="shared" si="10"/>
        <v>10951080.786777562</v>
      </c>
      <c r="U113" s="149">
        <f t="shared" si="10"/>
        <v>10951080.786777562</v>
      </c>
      <c r="V113" s="149">
        <f t="shared" si="10"/>
        <v>10951080.786777562</v>
      </c>
      <c r="W113" s="149">
        <f t="shared" si="10"/>
        <v>10951080.786777562</v>
      </c>
      <c r="X113" s="149">
        <f t="shared" si="10"/>
        <v>10951080.786777562</v>
      </c>
      <c r="Y113" s="149">
        <f t="shared" si="10"/>
        <v>10951080.786777562</v>
      </c>
      <c r="Z113" s="149">
        <f t="shared" si="10"/>
        <v>10951080.786777562</v>
      </c>
      <c r="AA113" s="149">
        <f t="shared" si="10"/>
        <v>10951080.786777562</v>
      </c>
      <c r="AB113" s="149">
        <f t="shared" si="10"/>
        <v>10951080.786777562</v>
      </c>
      <c r="AC113" s="149">
        <f t="shared" si="10"/>
        <v>10951080.786777562</v>
      </c>
      <c r="AD113" s="149">
        <f t="shared" si="10"/>
        <v>10951080.786777562</v>
      </c>
      <c r="AE113" s="149">
        <f t="shared" si="10"/>
        <v>10951080.786777562</v>
      </c>
      <c r="AF113" s="149">
        <f t="shared" si="10"/>
        <v>10951080.786777562</v>
      </c>
      <c r="AG113" s="149">
        <f t="shared" si="10"/>
        <v>10951080.786777562</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10951080.786777562</v>
      </c>
      <c r="E118" s="149">
        <f t="shared" ref="E118:AG118" si="13">E113+E115+E116</f>
        <v>10951080.786777562</v>
      </c>
      <c r="F118" s="149">
        <f>F113+F115+F116</f>
        <v>10951080.786777562</v>
      </c>
      <c r="G118" s="149">
        <f t="shared" si="13"/>
        <v>10951080.786777562</v>
      </c>
      <c r="H118" s="149">
        <f t="shared" si="13"/>
        <v>10951080.786777562</v>
      </c>
      <c r="I118" s="149">
        <f t="shared" si="13"/>
        <v>10951080.786777562</v>
      </c>
      <c r="J118" s="149">
        <f t="shared" si="13"/>
        <v>10951080.786777562</v>
      </c>
      <c r="K118" s="149">
        <f t="shared" si="13"/>
        <v>10951080.786777562</v>
      </c>
      <c r="L118" s="149">
        <f t="shared" si="13"/>
        <v>10951080.786777562</v>
      </c>
      <c r="M118" s="149">
        <f t="shared" si="13"/>
        <v>10951080.786777562</v>
      </c>
      <c r="N118" s="149">
        <f t="shared" si="13"/>
        <v>10951080.786777562</v>
      </c>
      <c r="O118" s="149">
        <f t="shared" si="13"/>
        <v>10951080.786777562</v>
      </c>
      <c r="P118" s="149">
        <f t="shared" si="13"/>
        <v>10951080.786777562</v>
      </c>
      <c r="Q118" s="149">
        <f t="shared" si="13"/>
        <v>10951080.786777562</v>
      </c>
      <c r="R118" s="149">
        <f t="shared" si="13"/>
        <v>10951080.786777562</v>
      </c>
      <c r="S118" s="149">
        <f t="shared" si="13"/>
        <v>10951080.786777562</v>
      </c>
      <c r="T118" s="149">
        <f t="shared" si="13"/>
        <v>10951080.786777562</v>
      </c>
      <c r="U118" s="149">
        <f t="shared" si="13"/>
        <v>10951080.786777562</v>
      </c>
      <c r="V118" s="149">
        <f t="shared" si="13"/>
        <v>10951080.786777562</v>
      </c>
      <c r="W118" s="149">
        <f t="shared" si="13"/>
        <v>10951080.786777562</v>
      </c>
      <c r="X118" s="149">
        <f t="shared" si="13"/>
        <v>10951080.786777562</v>
      </c>
      <c r="Y118" s="149">
        <f t="shared" si="13"/>
        <v>10951080.786777562</v>
      </c>
      <c r="Z118" s="149">
        <f t="shared" si="13"/>
        <v>10951080.786777562</v>
      </c>
      <c r="AA118" s="149">
        <f t="shared" si="13"/>
        <v>10951080.786777562</v>
      </c>
      <c r="AB118" s="149">
        <f t="shared" si="13"/>
        <v>10951080.786777562</v>
      </c>
      <c r="AC118" s="149">
        <f t="shared" si="13"/>
        <v>10951080.786777562</v>
      </c>
      <c r="AD118" s="149">
        <f t="shared" si="13"/>
        <v>10951080.786777562</v>
      </c>
      <c r="AE118" s="149">
        <f t="shared" si="13"/>
        <v>10951080.786777562</v>
      </c>
      <c r="AF118" s="149">
        <f t="shared" si="13"/>
        <v>10951080.786777562</v>
      </c>
      <c r="AG118" s="149">
        <f t="shared" si="13"/>
        <v>10951080.786777562</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262825.93888266146</v>
      </c>
      <c r="E120" s="149">
        <f>(SUM($D$118:E118)*$C$104/$C$106)+(SUM($D$118:E118)*$C$105/$C$107)</f>
        <v>525651.87776532292</v>
      </c>
      <c r="F120" s="149">
        <f>(SUM($D$118:F118)*$C$104/$C$106)+(SUM($D$118:F118)*$C$105/$C$107)</f>
        <v>788477.81664798444</v>
      </c>
      <c r="G120" s="149">
        <f>(SUM($D$118:G118)*$C$104/$C$106)+(SUM($D$118:G118)*$C$105/$C$107)</f>
        <v>1051303.7555306458</v>
      </c>
      <c r="H120" s="149">
        <f>(SUM($D$118:H118)*$C$104/$C$106)+(SUM($D$118:H118)*$C$105/$C$107)</f>
        <v>1314129.6944133074</v>
      </c>
      <c r="I120" s="149">
        <f>(SUM($D$118:I118)*$C$104/$C$106)+(SUM($D$118:I118)*$C$105/$C$107)</f>
        <v>1576955.6332959689</v>
      </c>
      <c r="J120" s="149">
        <f>(SUM($D$118:J118)*$C$104/$C$106)+(SUM($D$118:J118)*$C$105/$C$107)</f>
        <v>1839781.5721786304</v>
      </c>
      <c r="K120" s="149">
        <f>(SUM($D$118:K118)*$C$104/$C$106)+(SUM($D$118:K118)*$C$105/$C$107)</f>
        <v>2102607.5110612917</v>
      </c>
      <c r="L120" s="149">
        <f>(SUM($D$118:L118)*$C$104/$C$106)+(SUM($D$118:L118)*$C$105/$C$107)</f>
        <v>2365433.4499439532</v>
      </c>
      <c r="M120" s="149">
        <f>(SUM($D$118:M118)*$C$104/$C$106)+(SUM($D$118:M118)*$C$105/$C$107)</f>
        <v>2628259.3888266142</v>
      </c>
      <c r="N120" s="149">
        <f>(SUM($D$118:N118)*$C$104/$C$106)+(SUM($D$118:N118)*$C$105/$C$107)</f>
        <v>2891085.3277092753</v>
      </c>
      <c r="O120" s="149">
        <f>(SUM($D$118:O118)*$C$104/$C$106)+(SUM($D$118:O118)*$C$105/$C$107)</f>
        <v>3153911.2665919373</v>
      </c>
      <c r="P120" s="149">
        <f>(SUM($D$118:P118)*$C$104/$C$106)+(SUM($D$118:P118)*$C$105/$C$107)</f>
        <v>3416737.2054745993</v>
      </c>
      <c r="Q120" s="149">
        <f>(SUM($D$118:Q118)*$C$104/$C$106)+(SUM($D$118:Q118)*$C$105/$C$107)</f>
        <v>3679563.1443572599</v>
      </c>
      <c r="R120" s="149">
        <f>(SUM($D$118:R118)*$C$104/$C$106)+(SUM($D$118:R118)*$C$105/$C$107)</f>
        <v>3942389.0832399214</v>
      </c>
      <c r="S120" s="149">
        <f>(SUM($D$118:S118)*$C$104/$C$106)+(SUM($D$118:S118)*$C$105/$C$107)</f>
        <v>4205215.0221225834</v>
      </c>
      <c r="T120" s="149">
        <f>(SUM($D$118:T118)*$C$104/$C$106)+(SUM($D$118:T118)*$C$105/$C$107)</f>
        <v>4468040.9610052444</v>
      </c>
      <c r="U120" s="149">
        <f>(SUM($D$118:U118)*$C$104/$C$106)+(SUM($D$118:U118)*$C$105/$C$107)</f>
        <v>4730866.8998879055</v>
      </c>
      <c r="V120" s="149">
        <f>(SUM($D$118:V118)*$C$104/$C$106)+(SUM($D$118:V118)*$C$105/$C$107)</f>
        <v>4993692.8387705665</v>
      </c>
      <c r="W120" s="149">
        <f>(SUM($D$118:W118)*$C$104/$C$106)+(SUM($D$118:W118)*$C$105/$C$107)</f>
        <v>5256518.7776532276</v>
      </c>
      <c r="X120" s="149">
        <f>(SUM($D$118:X118)*$C$104/$C$106)+(SUM($D$118:X118)*$C$105/$C$107)</f>
        <v>5519344.7165358895</v>
      </c>
      <c r="Y120" s="149">
        <f>(SUM($D$118:Y118)*$C$104/$C$106)+(SUM($D$118:Y118)*$C$105/$C$107)</f>
        <v>5782170.6554185506</v>
      </c>
      <c r="Z120" s="149">
        <f>(SUM($D$118:Z118)*$C$104/$C$106)+(SUM($D$118:Z118)*$C$105/$C$107)</f>
        <v>6044996.5943012116</v>
      </c>
      <c r="AA120" s="149">
        <f>(SUM($D$118:AA118)*$C$104/$C$106)+(SUM($D$118:AA118)*$C$105/$C$107)</f>
        <v>6307822.5331838746</v>
      </c>
      <c r="AB120" s="149">
        <f>(SUM($D$118:AB118)*$C$104/$C$106)+(SUM($D$118:AB118)*$C$105/$C$107)</f>
        <v>6570648.4720665347</v>
      </c>
      <c r="AC120" s="149">
        <f>(SUM($D$118:AC118)*$C$104/$C$106)+(SUM($D$118:AC118)*$C$105/$C$107)</f>
        <v>6833474.4109491957</v>
      </c>
      <c r="AD120" s="149">
        <f>(SUM($D$118:AD118)*$C$104/$C$106)+(SUM($D$118:AD118)*$C$105/$C$107)</f>
        <v>7096300.3498318577</v>
      </c>
      <c r="AE120" s="149">
        <f>(SUM($D$118:AE118)*$C$104/$C$106)+(SUM($D$118:AE118)*$C$105/$C$107)</f>
        <v>7359126.2887145188</v>
      </c>
      <c r="AF120" s="149">
        <f>(SUM($D$118:AF118)*$C$104/$C$106)+(SUM($D$118:AF118)*$C$105/$C$107)</f>
        <v>7621952.2275971808</v>
      </c>
      <c r="AG120" s="149">
        <f>(SUM($D$118:AG118)*$C$104/$C$106)+(SUM($D$118:AG118)*$C$105/$C$107)</f>
        <v>7884778.1664798418</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328532.42360332684</v>
      </c>
      <c r="E122" s="72">
        <f>(SUM($D$118:E118)*$C$109)</f>
        <v>657064.84720665368</v>
      </c>
      <c r="F122" s="72">
        <f>(SUM($D$118:F118)*$C$109)</f>
        <v>985597.27080998046</v>
      </c>
      <c r="G122" s="72">
        <f>(SUM($D$118:G118)*$C$109)</f>
        <v>1314129.6944133074</v>
      </c>
      <c r="H122" s="72">
        <f>(SUM($D$118:H118)*$C$109)</f>
        <v>1642662.1180166341</v>
      </c>
      <c r="I122" s="72">
        <f>(SUM($D$118:I118)*$C$109)</f>
        <v>1971194.5416199611</v>
      </c>
      <c r="J122" s="72">
        <f>(SUM($D$118:J118)*$C$109)</f>
        <v>2299726.9652232882</v>
      </c>
      <c r="K122" s="72">
        <f>(SUM($D$118:K118)*$C$109)</f>
        <v>2628259.3888266147</v>
      </c>
      <c r="L122" s="72">
        <f>(SUM($D$118:L118)*$C$109)</f>
        <v>2956791.8124299413</v>
      </c>
      <c r="M122" s="72">
        <f>(SUM($D$118:M118)*$C$109)</f>
        <v>3285324.2360332678</v>
      </c>
      <c r="N122" s="72">
        <f>(SUM($D$118:N118)*$C$109)</f>
        <v>3613856.6596365948</v>
      </c>
      <c r="O122" s="72">
        <f>(SUM($D$118:O118)*$C$109)</f>
        <v>3942389.0832399214</v>
      </c>
      <c r="P122" s="72">
        <f>(SUM($D$118:P118)*$C$109)</f>
        <v>4270921.5068432484</v>
      </c>
      <c r="Q122" s="72">
        <f>(SUM($D$118:Q118)*$C$109)</f>
        <v>4599453.9304465754</v>
      </c>
      <c r="R122" s="72">
        <f>(SUM($D$118:R118)*$C$109)</f>
        <v>4927986.3540499015</v>
      </c>
      <c r="S122" s="72">
        <f>(SUM($D$118:S118)*$C$109)</f>
        <v>5256518.7776532285</v>
      </c>
      <c r="T122" s="72">
        <f>(SUM($D$118:T118)*$C$109)</f>
        <v>5585051.2012565555</v>
      </c>
      <c r="U122" s="72">
        <f>(SUM($D$118:U118)*$C$109)</f>
        <v>5913583.6248598816</v>
      </c>
      <c r="V122" s="72">
        <f>(SUM($D$118:V118)*$C$109)</f>
        <v>6242116.0484632086</v>
      </c>
      <c r="W122" s="72">
        <f>(SUM($D$118:W118)*$C$109)</f>
        <v>6570648.4720665347</v>
      </c>
      <c r="X122" s="72">
        <f>(SUM($D$118:X118)*$C$109)</f>
        <v>6899180.8956698617</v>
      </c>
      <c r="Y122" s="72">
        <f>(SUM($D$118:Y118)*$C$109)</f>
        <v>7227713.3192731887</v>
      </c>
      <c r="Z122" s="72">
        <f>(SUM($D$118:Z118)*$C$109)</f>
        <v>7556245.7428765148</v>
      </c>
      <c r="AA122" s="72">
        <f>(SUM($D$118:AA118)*$C$109)</f>
        <v>7884778.1664798418</v>
      </c>
      <c r="AB122" s="72">
        <f>(SUM($D$118:AB118)*$C$109)</f>
        <v>8213310.5900831688</v>
      </c>
      <c r="AC122" s="72">
        <f>(SUM($D$118:AC118)*$C$109)</f>
        <v>8541843.0136864949</v>
      </c>
      <c r="AD122" s="72">
        <f>(SUM($D$118:AD118)*$C$109)</f>
        <v>8870375.437289821</v>
      </c>
      <c r="AE122" s="72">
        <f>(SUM($D$118:AE118)*$C$109)</f>
        <v>9198907.8608931489</v>
      </c>
      <c r="AF122" s="72">
        <f>(SUM($D$118:AF118)*$C$109)</f>
        <v>9527440.284496475</v>
      </c>
      <c r="AG122" s="72">
        <f>(SUM($D$118:AG118)*$C$109)</f>
        <v>9855972.7080998011</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9870</v>
      </c>
      <c r="D126" s="140"/>
    </row>
    <row r="127" spans="1:33" x14ac:dyDescent="0.35">
      <c r="A127" s="77" t="s">
        <v>151</v>
      </c>
      <c r="B127" s="77" t="s">
        <v>133</v>
      </c>
      <c r="C127" s="126">
        <v>9672</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9771</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3618.8888888888887</v>
      </c>
      <c r="D135" s="157">
        <f t="shared" ref="D135:AG135" si="14">$C$135*D13</f>
        <v>3624.3370733158126</v>
      </c>
      <c r="E135" s="157">
        <f t="shared" si="14"/>
        <v>3629.7934599049081</v>
      </c>
      <c r="F135" s="157">
        <f t="shared" si="14"/>
        <v>3635.258061004412</v>
      </c>
      <c r="G135" s="157">
        <f t="shared" si="14"/>
        <v>3640.7308889811488</v>
      </c>
      <c r="H135" s="157">
        <f t="shared" si="14"/>
        <v>3646.211956220563</v>
      </c>
      <c r="I135" s="157">
        <f t="shared" si="14"/>
        <v>3651.7012751267434</v>
      </c>
      <c r="J135" s="157">
        <f t="shared" si="14"/>
        <v>3657.1988581224546</v>
      </c>
      <c r="K135" s="157">
        <f t="shared" si="14"/>
        <v>3662.7047176491619</v>
      </c>
      <c r="L135" s="157">
        <f t="shared" si="14"/>
        <v>3668.2188661670634</v>
      </c>
      <c r="M135" s="157">
        <f t="shared" si="14"/>
        <v>3673.7413161551135</v>
      </c>
      <c r="N135" s="157">
        <f t="shared" si="14"/>
        <v>3679.2720801110545</v>
      </c>
      <c r="O135" s="157">
        <f t="shared" si="14"/>
        <v>3684.8111705514443</v>
      </c>
      <c r="P135" s="157">
        <f t="shared" si="14"/>
        <v>3690.3586000116829</v>
      </c>
      <c r="Q135" s="157">
        <f t="shared" si="14"/>
        <v>3695.9143810460446</v>
      </c>
      <c r="R135" s="157">
        <f t="shared" si="14"/>
        <v>3701.4785262277001</v>
      </c>
      <c r="S135" s="157">
        <f t="shared" si="14"/>
        <v>3707.0510481487518</v>
      </c>
      <c r="T135" s="157">
        <f t="shared" si="14"/>
        <v>3712.6319594202596</v>
      </c>
      <c r="U135" s="157">
        <f t="shared" si="14"/>
        <v>3718.2212726722682</v>
      </c>
      <c r="V135" s="157">
        <f t="shared" si="14"/>
        <v>3723.8190005538368</v>
      </c>
      <c r="W135" s="157">
        <f t="shared" si="14"/>
        <v>3729.4251557330658</v>
      </c>
      <c r="X135" s="157">
        <f t="shared" si="14"/>
        <v>3735.0397508971309</v>
      </c>
      <c r="Y135" s="157">
        <f t="shared" si="14"/>
        <v>3740.6627987523043</v>
      </c>
      <c r="Z135" s="157">
        <f t="shared" si="14"/>
        <v>3746.2943120239902</v>
      </c>
      <c r="AA135" s="157">
        <f t="shared" si="14"/>
        <v>3751.9343034567496</v>
      </c>
      <c r="AB135" s="157">
        <f t="shared" si="14"/>
        <v>3757.5827858143307</v>
      </c>
      <c r="AC135" s="157">
        <f t="shared" si="14"/>
        <v>3763.239771879696</v>
      </c>
      <c r="AD135" s="157">
        <f t="shared" si="14"/>
        <v>3768.9052744550545</v>
      </c>
      <c r="AE135" s="157">
        <f t="shared" si="14"/>
        <v>3774.5793063618867</v>
      </c>
      <c r="AF135" s="157">
        <f t="shared" si="14"/>
        <v>3780.2618804409776</v>
      </c>
      <c r="AG135" s="157">
        <f t="shared" si="14"/>
        <v>3785.9530095524428</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0.25</v>
      </c>
      <c r="F4" s="65">
        <v>0.2</v>
      </c>
      <c r="G4" s="65">
        <v>0.2</v>
      </c>
      <c r="H4" s="65">
        <v>0.2</v>
      </c>
      <c r="I4" s="65">
        <v>0.2</v>
      </c>
      <c r="J4" s="65">
        <v>0.15</v>
      </c>
      <c r="K4" s="65">
        <v>0.1</v>
      </c>
      <c r="L4" s="65">
        <v>0.08</v>
      </c>
      <c r="M4" s="65">
        <v>0.08</v>
      </c>
      <c r="N4" s="65">
        <v>0.06</v>
      </c>
      <c r="O4" s="65">
        <v>0.06</v>
      </c>
      <c r="P4" s="65">
        <v>0.06</v>
      </c>
      <c r="Q4" s="65">
        <v>0.06</v>
      </c>
      <c r="R4" s="65">
        <v>0.06</v>
      </c>
      <c r="S4" s="65">
        <v>0.06</v>
      </c>
      <c r="T4" s="65">
        <v>0.06</v>
      </c>
      <c r="U4" s="65">
        <v>0.05</v>
      </c>
      <c r="V4" s="65">
        <v>0.05</v>
      </c>
      <c r="W4" s="65">
        <v>0.05</v>
      </c>
      <c r="X4" s="65">
        <v>0.05</v>
      </c>
      <c r="Y4" s="65">
        <v>0.05</v>
      </c>
      <c r="Z4" s="65">
        <v>0.05</v>
      </c>
      <c r="AA4" s="65">
        <v>0.05</v>
      </c>
      <c r="AB4" s="65">
        <v>0.05</v>
      </c>
      <c r="AC4" s="65">
        <v>0.05</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2.4891946845006951</v>
      </c>
      <c r="C6" s="25"/>
      <c r="D6" s="25"/>
      <c r="E6" s="27">
        <f>'Debt worksheet'!C5/'Profit and Loss'!C5</f>
        <v>1.0449580469129431</v>
      </c>
      <c r="F6" s="28">
        <f ca="1">'Debt worksheet'!D5/'Profit and Loss'!D5</f>
        <v>1.8023480440212785</v>
      </c>
      <c r="G6" s="28">
        <f ca="1">'Debt worksheet'!E5/'Profit and Loss'!E5</f>
        <v>2.255416236840639</v>
      </c>
      <c r="H6" s="28">
        <f ca="1">'Debt worksheet'!F5/'Profit and Loss'!F5</f>
        <v>2.4669335239779882</v>
      </c>
      <c r="I6" s="28">
        <f ca="1">'Debt worksheet'!G5/'Profit and Loss'!G5</f>
        <v>2.4891946845006951</v>
      </c>
      <c r="J6" s="28">
        <f ca="1">'Debt worksheet'!H5/'Profit and Loss'!H5</f>
        <v>2.46840145711767</v>
      </c>
      <c r="K6" s="28">
        <f ca="1">'Debt worksheet'!I5/'Profit and Loss'!I5</f>
        <v>2.4675502335666728</v>
      </c>
      <c r="L6" s="28">
        <f ca="1">'Debt worksheet'!J5/'Profit and Loss'!J5</f>
        <v>2.4699964616631211</v>
      </c>
      <c r="M6" s="28">
        <f ca="1">'Debt worksheet'!K5/'Profit and Loss'!K5</f>
        <v>2.4495068480923932</v>
      </c>
      <c r="N6" s="28">
        <f ca="1">'Debt worksheet'!L5/'Profit and Loss'!L5</f>
        <v>2.4520461120904189</v>
      </c>
      <c r="O6" s="28">
        <f ca="1">'Debt worksheet'!M5/'Profit and Loss'!M5</f>
        <v>2.4496533320579927</v>
      </c>
      <c r="P6" s="28">
        <f ca="1">'Debt worksheet'!N5/'Profit and Loss'!N5</f>
        <v>2.4416680667036981</v>
      </c>
      <c r="Q6" s="28">
        <f ca="1">'Debt worksheet'!O5/'Profit and Loss'!O5</f>
        <v>2.4275031460200758</v>
      </c>
      <c r="R6" s="28">
        <f ca="1">'Debt worksheet'!P5/'Profit and Loss'!P5</f>
        <v>2.4066398884781153</v>
      </c>
      <c r="S6" s="28">
        <f ca="1">'Debt worksheet'!Q5/'Profit and Loss'!Q5</f>
        <v>2.3786235747168964</v>
      </c>
      <c r="T6" s="28">
        <f ca="1">'Debt worksheet'!R5/'Profit and Loss'!R5</f>
        <v>2.3430591652963719</v>
      </c>
      <c r="U6" s="28">
        <f ca="1">'Debt worksheet'!S5/'Profit and Loss'!S5</f>
        <v>2.3215082720836797</v>
      </c>
      <c r="V6" s="28">
        <f ca="1">'Debt worksheet'!T5/'Profit and Loss'!T5</f>
        <v>2.3003879312497966</v>
      </c>
      <c r="W6" s="28">
        <f ca="1">'Debt worksheet'!U5/'Profit and Loss'!U5</f>
        <v>2.2791565840932497</v>
      </c>
      <c r="X6" s="28">
        <f ca="1">'Debt worksheet'!V5/'Profit and Loss'!V5</f>
        <v>2.2573066528165517</v>
      </c>
      <c r="Y6" s="28">
        <f ca="1">'Debt worksheet'!W5/'Profit and Loss'!W5</f>
        <v>2.2343630569666137</v>
      </c>
      <c r="Z6" s="28">
        <f ca="1">'Debt worksheet'!X5/'Profit and Loss'!X5</f>
        <v>2.2098817857399764</v>
      </c>
      <c r="AA6" s="28">
        <f ca="1">'Debt worksheet'!Y5/'Profit and Loss'!Y5</f>
        <v>2.1834485242015318</v>
      </c>
      <c r="AB6" s="28">
        <f ca="1">'Debt worksheet'!Z5/'Profit and Loss'!Z5</f>
        <v>2.1546773315306993</v>
      </c>
      <c r="AC6" s="28">
        <f ca="1">'Debt worksheet'!AA5/'Profit and Loss'!AA5</f>
        <v>2.1232093694721961</v>
      </c>
      <c r="AD6" s="28">
        <f ca="1">'Debt worksheet'!AB5/'Profit and Loss'!AB5</f>
        <v>2.14593665674278</v>
      </c>
      <c r="AE6" s="28">
        <f ca="1">'Debt worksheet'!AC5/'Profit and Loss'!AC5</f>
        <v>2.1925302090311467</v>
      </c>
      <c r="AF6" s="28">
        <f ca="1">'Debt worksheet'!AD5/'Profit and Loss'!AD5</f>
        <v>2.2634605077675833</v>
      </c>
      <c r="AG6" s="28">
        <f ca="1">'Debt worksheet'!AE5/'Profit and Loss'!AE5</f>
        <v>2.3592062287068978</v>
      </c>
      <c r="AH6" s="28">
        <f ca="1">'Debt worksheet'!AF5/'Profit and Loss'!AF5</f>
        <v>2.4802543678021882</v>
      </c>
      <c r="AI6" s="31"/>
    </row>
    <row r="7" spans="1:35" ht="21" x14ac:dyDescent="0.5">
      <c r="A7" s="19" t="s">
        <v>38</v>
      </c>
      <c r="B7" s="26">
        <f ca="1">MIN('Price and Financial ratios'!E7:AH7)</f>
        <v>0.22468181680859931</v>
      </c>
      <c r="C7" s="26"/>
      <c r="D7" s="26"/>
      <c r="E7" s="56">
        <f ca="1">'Cash Flow'!C7/'Debt worksheet'!C5</f>
        <v>0.50128730139492883</v>
      </c>
      <c r="F7" s="32">
        <f ca="1">'Cash Flow'!D7/'Debt worksheet'!D5</f>
        <v>0.29473209388380778</v>
      </c>
      <c r="G7" s="32">
        <f ca="1">'Cash Flow'!E7/'Debt worksheet'!E5</f>
        <v>0.24377077477617623</v>
      </c>
      <c r="H7" s="32">
        <f ca="1">'Cash Flow'!F7/'Debt worksheet'!F5</f>
        <v>0.23369220536124785</v>
      </c>
      <c r="I7" s="32">
        <f ca="1">'Cash Flow'!G7/'Debt worksheet'!G5</f>
        <v>0.24458669069549868</v>
      </c>
      <c r="J7" s="32">
        <f ca="1">'Cash Flow'!H7/'Debt worksheet'!H5</f>
        <v>0.2543259256339242</v>
      </c>
      <c r="K7" s="32">
        <f ca="1">'Cash Flow'!I7/'Debt worksheet'!I5</f>
        <v>0.25633169158285052</v>
      </c>
      <c r="L7" s="32">
        <f ca="1">'Cash Flow'!J7/'Debt worksheet'!J5</f>
        <v>0.25602679657941091</v>
      </c>
      <c r="M7" s="17">
        <f ca="1">'Cash Flow'!K7/'Debt worksheet'!K5</f>
        <v>0.25884318521885558</v>
      </c>
      <c r="N7" s="17">
        <f ca="1">'Cash Flow'!L7/'Debt worksheet'!L5</f>
        <v>0.25685451641035528</v>
      </c>
      <c r="O7" s="17">
        <f ca="1">'Cash Flow'!M7/'Debt worksheet'!M5</f>
        <v>0.25575508951465892</v>
      </c>
      <c r="P7" s="17">
        <f ca="1">'Cash Flow'!N7/'Debt worksheet'!N5</f>
        <v>0.25559988135419648</v>
      </c>
      <c r="Q7" s="17">
        <f ca="1">'Cash Flow'!O7/'Debt worksheet'!O5</f>
        <v>0.25644897379046777</v>
      </c>
      <c r="R7" s="17">
        <f ca="1">'Cash Flow'!P7/'Debt worksheet'!P5</f>
        <v>0.25837203868402903</v>
      </c>
      <c r="S7" s="17">
        <f ca="1">'Cash Flow'!Q7/'Debt worksheet'!Q5</f>
        <v>0.2614531695104394</v>
      </c>
      <c r="T7" s="17">
        <f ca="1">'Cash Flow'!R7/'Debt worksheet'!R5</f>
        <v>0.26579641802562026</v>
      </c>
      <c r="U7" s="17">
        <f ca="1">'Cash Flow'!S7/'Debt worksheet'!S5</f>
        <v>0.26728129721578281</v>
      </c>
      <c r="V7" s="17">
        <f ca="1">'Cash Flow'!T7/'Debt worksheet'!T5</f>
        <v>0.26892053163672597</v>
      </c>
      <c r="W7" s="17">
        <f ca="1">'Cash Flow'!U7/'Debt worksheet'!U5</f>
        <v>0.27078112939018684</v>
      </c>
      <c r="X7" s="17">
        <f ca="1">'Cash Flow'!V7/'Debt worksheet'!V5</f>
        <v>0.27293011424967356</v>
      </c>
      <c r="Y7" s="17">
        <f ca="1">'Cash Flow'!W7/'Debt worksheet'!W5</f>
        <v>0.27543526120336781</v>
      </c>
      <c r="Z7" s="17">
        <f ca="1">'Cash Flow'!X7/'Debt worksheet'!X5</f>
        <v>0.27836611637618486</v>
      </c>
      <c r="AA7" s="17">
        <f ca="1">'Cash Flow'!Y7/'Debt worksheet'!Y5</f>
        <v>0.28179530948256726</v>
      </c>
      <c r="AB7" s="17">
        <f ca="1">'Cash Flow'!Z7/'Debt worksheet'!Z5</f>
        <v>0.28580018603499974</v>
      </c>
      <c r="AC7" s="17">
        <f ca="1">'Cash Flow'!AA7/'Debt worksheet'!AA5</f>
        <v>0.29046481125049017</v>
      </c>
      <c r="AD7" s="17">
        <f ca="1">'Cash Flow'!AB7/'Debt worksheet'!AB5</f>
        <v>0.28265233585185862</v>
      </c>
      <c r="AE7" s="17">
        <f ca="1">'Cash Flow'!AC7/'Debt worksheet'!AC5</f>
        <v>0.27162435778491129</v>
      </c>
      <c r="AF7" s="17">
        <f ca="1">'Cash Flow'!AD7/'Debt worksheet'!AD5</f>
        <v>0.25786719213894765</v>
      </c>
      <c r="AG7" s="17">
        <f ca="1">'Cash Flow'!AE7/'Debt worksheet'!AE5</f>
        <v>0.24199634764619379</v>
      </c>
      <c r="AH7" s="17">
        <f ca="1">'Cash Flow'!AF7/'Debt worksheet'!AF5</f>
        <v>0.22468181680859931</v>
      </c>
      <c r="AI7" s="29"/>
    </row>
    <row r="8" spans="1:35" ht="21" x14ac:dyDescent="0.5">
      <c r="A8" s="19" t="s">
        <v>33</v>
      </c>
      <c r="B8" s="26">
        <f ca="1">MAX('Price and Financial ratios'!E8:AH8)</f>
        <v>0.38159703449633636</v>
      </c>
      <c r="C8" s="26"/>
      <c r="D8" s="176"/>
      <c r="E8" s="17">
        <f>'Balance Sheet'!B11/'Balance Sheet'!B8</f>
        <v>0.10403073258429929</v>
      </c>
      <c r="F8" s="17">
        <f ca="1">'Balance Sheet'!C11/'Balance Sheet'!C8</f>
        <v>0.21264504482093877</v>
      </c>
      <c r="G8" s="17">
        <f ca="1">'Balance Sheet'!D11/'Balance Sheet'!D8</f>
        <v>0.28355301508792191</v>
      </c>
      <c r="H8" s="17">
        <f ca="1">'Balance Sheet'!E11/'Balance Sheet'!E8</f>
        <v>0.33372969148573844</v>
      </c>
      <c r="I8" s="17">
        <f ca="1">'Balance Sheet'!F11/'Balance Sheet'!F8</f>
        <v>0.36528113617868491</v>
      </c>
      <c r="J8" s="17">
        <f ca="1">'Balance Sheet'!G11/'Balance Sheet'!G8</f>
        <v>0.37911516731659006</v>
      </c>
      <c r="K8" s="17">
        <f ca="1">'Balance Sheet'!H11/'Balance Sheet'!H8</f>
        <v>0.38159703449633636</v>
      </c>
      <c r="L8" s="17">
        <f ca="1">'Balance Sheet'!I11/'Balance Sheet'!I8</f>
        <v>0.37949340844476509</v>
      </c>
      <c r="M8" s="17">
        <f ca="1">'Balance Sheet'!J11/'Balance Sheet'!J8</f>
        <v>0.37551653288072656</v>
      </c>
      <c r="N8" s="17">
        <f ca="1">'Balance Sheet'!K11/'Balance Sheet'!K8</f>
        <v>0.36952800937576352</v>
      </c>
      <c r="O8" s="17">
        <f ca="1">'Balance Sheet'!L11/'Balance Sheet'!L8</f>
        <v>0.3641201888438903</v>
      </c>
      <c r="P8" s="17">
        <f ca="1">'Balance Sheet'!M11/'Balance Sheet'!M8</f>
        <v>0.35903879130131855</v>
      </c>
      <c r="Q8" s="17">
        <f ca="1">'Balance Sheet'!N11/'Balance Sheet'!N8</f>
        <v>0.35406828277045632</v>
      </c>
      <c r="R8" s="17">
        <f ca="1">'Balance Sheet'!O11/'Balance Sheet'!O8</f>
        <v>0.34902218499794696</v>
      </c>
      <c r="S8" s="17">
        <f ca="1">'Balance Sheet'!P11/'Balance Sheet'!P8</f>
        <v>0.34373599835534335</v>
      </c>
      <c r="T8" s="17">
        <f ca="1">'Balance Sheet'!Q11/'Balance Sheet'!Q8</f>
        <v>0.33806194576393622</v>
      </c>
      <c r="U8" s="17">
        <f ca="1">'Balance Sheet'!R11/'Balance Sheet'!R8</f>
        <v>0.33186500835279614</v>
      </c>
      <c r="V8" s="17">
        <f ca="1">'Balance Sheet'!S11/'Balance Sheet'!S8</f>
        <v>0.32635134286335865</v>
      </c>
      <c r="W8" s="17">
        <f ca="1">'Balance Sheet'!T11/'Balance Sheet'!T8</f>
        <v>0.32137206083313047</v>
      </c>
      <c r="X8" s="17">
        <f ca="1">'Balance Sheet'!U11/'Balance Sheet'!U8</f>
        <v>0.31679543285712514</v>
      </c>
      <c r="Y8" s="17">
        <f ca="1">'Balance Sheet'!V11/'Balance Sheet'!V8</f>
        <v>0.31250367143549573</v>
      </c>
      <c r="Z8" s="17">
        <f ca="1">'Balance Sheet'!W11/'Balance Sheet'!W8</f>
        <v>0.30839037356771443</v>
      </c>
      <c r="AA8" s="17">
        <f ca="1">'Balance Sheet'!X11/'Balance Sheet'!X8</f>
        <v>0.3043584696416135</v>
      </c>
      <c r="AB8" s="17">
        <f ca="1">'Balance Sheet'!Y11/'Balance Sheet'!Y8</f>
        <v>0.30031856462839884</v>
      </c>
      <c r="AC8" s="17">
        <f ca="1">'Balance Sheet'!Z11/'Balance Sheet'!Z8</f>
        <v>0.296187585995419</v>
      </c>
      <c r="AD8" s="17">
        <f ca="1">'Balance Sheet'!AA11/'Balance Sheet'!AA8</f>
        <v>0.2918876734284</v>
      </c>
      <c r="AE8" s="17">
        <f ca="1">'Balance Sheet'!AB11/'Balance Sheet'!AB8</f>
        <v>0.29102708804959115</v>
      </c>
      <c r="AF8" s="17">
        <f ca="1">'Balance Sheet'!AC11/'Balance Sheet'!AC8</f>
        <v>0.29342090560928441</v>
      </c>
      <c r="AG8" s="17">
        <f ca="1">'Balance Sheet'!AD11/'Balance Sheet'!AD8</f>
        <v>0.29890611114950255</v>
      </c>
      <c r="AH8" s="17">
        <f ca="1">'Balance Sheet'!AE11/'Balance Sheet'!AE8</f>
        <v>0.30733863885191826</v>
      </c>
      <c r="AI8" s="29"/>
    </row>
    <row r="9" spans="1:35" ht="21.5" thickBot="1" x14ac:dyDescent="0.55000000000000004">
      <c r="A9" s="20" t="s">
        <v>32</v>
      </c>
      <c r="B9" s="21">
        <f ca="1">MIN('Price and Financial ratios'!E9:AH9)</f>
        <v>6.2984430503106763</v>
      </c>
      <c r="C9" s="21"/>
      <c r="D9" s="177"/>
      <c r="E9" s="21">
        <f ca="1">('Cash Flow'!C7+'Profit and Loss'!C8)/('Profit and Loss'!C8)</f>
        <v>7.9094626828911316</v>
      </c>
      <c r="F9" s="21">
        <f ca="1">('Cash Flow'!D7+'Profit and Loss'!D8)/('Profit and Loss'!D8)</f>
        <v>6.5993390256390185</v>
      </c>
      <c r="G9" s="21">
        <f ca="1">('Cash Flow'!E7+'Profit and Loss'!E8)/('Profit and Loss'!E8)</f>
        <v>6.2984430503106763</v>
      </c>
      <c r="H9" s="21">
        <f ca="1">('Cash Flow'!F7+'Profit and Loss'!F8)/('Profit and Loss'!F8)</f>
        <v>6.5060504478502361</v>
      </c>
      <c r="I9" s="21">
        <f ca="1">('Cash Flow'!G7+'Profit and Loss'!G8)/('Profit and Loss'!G8)</f>
        <v>7.1186649823422128</v>
      </c>
      <c r="J9" s="21">
        <f ca="1">('Cash Flow'!H7+'Profit and Loss'!H8)/('Profit and Loss'!H8)</f>
        <v>7.5982134910682362</v>
      </c>
      <c r="K9" s="21">
        <f ca="1">('Cash Flow'!I7+'Profit and Loss'!I8)/('Profit and Loss'!I8)</f>
        <v>7.7643620270097742</v>
      </c>
      <c r="L9" s="21">
        <f ca="1">('Cash Flow'!J7+'Profit and Loss'!J8)/('Profit and Loss'!J8)</f>
        <v>7.8195852588520358</v>
      </c>
      <c r="M9" s="21">
        <f ca="1">('Cash Flow'!K7+'Profit and Loss'!K8)/('Profit and Loss'!K8)</f>
        <v>7.9592032132378012</v>
      </c>
      <c r="N9" s="21">
        <f ca="1">('Cash Flow'!L7+'Profit and Loss'!L8)/('Profit and Loss'!L8)</f>
        <v>7.9196474656817992</v>
      </c>
      <c r="O9" s="21">
        <f ca="1">('Cash Flow'!M7+'Profit and Loss'!M8)/('Profit and Loss'!M8)</f>
        <v>7.905816723379127</v>
      </c>
      <c r="P9" s="21">
        <f ca="1">('Cash Flow'!N7+'Profit and Loss'!N8)/('Profit and Loss'!N8)</f>
        <v>7.9192692051099129</v>
      </c>
      <c r="Q9" s="21">
        <f ca="1">('Cash Flow'!O7+'Profit and Loss'!O8)/('Profit and Loss'!O8)</f>
        <v>7.9618139750208083</v>
      </c>
      <c r="R9" s="21">
        <f ca="1">('Cash Flow'!P7+'Profit and Loss'!P8)/('Profit and Loss'!P8)</f>
        <v>8.0356408488195914</v>
      </c>
      <c r="S9" s="21">
        <f ca="1">('Cash Flow'!Q7+'Profit and Loss'!Q8)/('Profit and Loss'!Q8)</f>
        <v>8.1434684788386296</v>
      </c>
      <c r="T9" s="21">
        <f ca="1">('Cash Flow'!R7+'Profit and Loss'!R8)/('Profit and Loss'!R8)</f>
        <v>8.2887233734855563</v>
      </c>
      <c r="U9" s="21">
        <f ca="1">('Cash Flow'!S7+'Profit and Loss'!S8)/('Profit and Loss'!S8)</f>
        <v>8.3287017800719436</v>
      </c>
      <c r="V9" s="21">
        <f ca="1">('Cash Flow'!T7+'Profit and Loss'!T8)/('Profit and Loss'!T8)</f>
        <v>8.3746294343226904</v>
      </c>
      <c r="W9" s="21">
        <f ca="1">('Cash Flow'!U7+'Profit and Loss'!U8)/('Profit and Loss'!U8)</f>
        <v>8.428332267115465</v>
      </c>
      <c r="X9" s="21">
        <f ca="1">('Cash Flow'!V7+'Profit and Loss'!V8)/('Profit and Loss'!V8)</f>
        <v>8.4916520901270207</v>
      </c>
      <c r="Y9" s="21">
        <f ca="1">('Cash Flow'!W7+'Profit and Loss'!W8)/('Profit and Loss'!W8)</f>
        <v>8.5664743086153603</v>
      </c>
      <c r="Z9" s="21">
        <f ca="1">('Cash Flow'!X7+'Profit and Loss'!X8)/('Profit and Loss'!X8)</f>
        <v>8.6547635352035623</v>
      </c>
      <c r="AA9" s="21">
        <f ca="1">('Cash Flow'!Y7+'Profit and Loss'!Y8)/('Profit and Loss'!Y8)</f>
        <v>8.7586078093195763</v>
      </c>
      <c r="AB9" s="21">
        <f ca="1">('Cash Flow'!Z7+'Profit and Loss'!Z8)/('Profit and Loss'!Z8)</f>
        <v>8.8802727969214228</v>
      </c>
      <c r="AC9" s="21">
        <f ca="1">('Cash Flow'!AA7+'Profit and Loss'!AA8)/('Profit and Loss'!AA8)</f>
        <v>9.0222682118230395</v>
      </c>
      <c r="AD9" s="21">
        <f ca="1">('Cash Flow'!AB7+'Profit and Loss'!AB8)/('Profit and Loss'!AB8)</f>
        <v>8.7223880104647922</v>
      </c>
      <c r="AE9" s="21">
        <f ca="1">('Cash Flow'!AC7+'Profit and Loss'!AC8)/('Profit and Loss'!AC8)</f>
        <v>8.3446161693210037</v>
      </c>
      <c r="AF9" s="21">
        <f ca="1">('Cash Flow'!AD7+'Profit and Loss'!AD8)/('Profit and Loss'!AD8)</f>
        <v>7.9060677435189755</v>
      </c>
      <c r="AG9" s="21">
        <f ca="1">('Cash Flow'!AE7+'Profit and Loss'!AE8)/('Profit and Loss'!AE8)</f>
        <v>7.4254895550062798</v>
      </c>
      <c r="AH9" s="21">
        <f ca="1">('Cash Flow'!AF7+'Profit and Loss'!AF8)/('Profit and Loss'!AF8)</f>
        <v>6.9212747387694993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2579896.0709580197</v>
      </c>
      <c r="D5" s="1">
        <f>Assumptions!E111</f>
        <v>2579896.0709580197</v>
      </c>
      <c r="E5" s="1">
        <f>Assumptions!F111</f>
        <v>2579896.0709580197</v>
      </c>
      <c r="F5" s="1">
        <f>Assumptions!G111</f>
        <v>2579896.0709580197</v>
      </c>
      <c r="G5" s="1">
        <f>Assumptions!H111</f>
        <v>2579896.0709580197</v>
      </c>
      <c r="H5" s="1">
        <f>Assumptions!I111</f>
        <v>2579896.0709580197</v>
      </c>
      <c r="I5" s="1">
        <f>Assumptions!J111</f>
        <v>2579896.0709580197</v>
      </c>
      <c r="J5" s="1">
        <f>Assumptions!K111</f>
        <v>2579896.0709580197</v>
      </c>
      <c r="K5" s="1">
        <f>Assumptions!L111</f>
        <v>2579896.0709580197</v>
      </c>
      <c r="L5" s="1">
        <f>Assumptions!M111</f>
        <v>2579896.0709580197</v>
      </c>
      <c r="M5" s="1">
        <f>Assumptions!N111</f>
        <v>2579896.0709580197</v>
      </c>
      <c r="N5" s="1">
        <f>Assumptions!O111</f>
        <v>2579896.0709580197</v>
      </c>
      <c r="O5" s="1">
        <f>Assumptions!P111</f>
        <v>2579896.0709580197</v>
      </c>
      <c r="P5" s="1">
        <f>Assumptions!Q111</f>
        <v>2579896.0709580197</v>
      </c>
      <c r="Q5" s="1">
        <f>Assumptions!R111</f>
        <v>2579896.0709580197</v>
      </c>
      <c r="R5" s="1">
        <f>Assumptions!S111</f>
        <v>2579896.0709580197</v>
      </c>
      <c r="S5" s="1">
        <f>Assumptions!T111</f>
        <v>2579896.0709580197</v>
      </c>
      <c r="T5" s="1">
        <f>Assumptions!U111</f>
        <v>2579896.0709580197</v>
      </c>
      <c r="U5" s="1">
        <f>Assumptions!V111</f>
        <v>2579896.0709580197</v>
      </c>
      <c r="V5" s="1">
        <f>Assumptions!W111</f>
        <v>2579896.0709580197</v>
      </c>
      <c r="W5" s="1">
        <f>Assumptions!X111</f>
        <v>2579896.0709580197</v>
      </c>
      <c r="X5" s="1">
        <f>Assumptions!Y111</f>
        <v>2579896.0709580197</v>
      </c>
      <c r="Y5" s="1">
        <f>Assumptions!Z111</f>
        <v>2579896.0709580197</v>
      </c>
      <c r="Z5" s="1">
        <f>Assumptions!AA111</f>
        <v>2579896.0709580197</v>
      </c>
      <c r="AA5" s="1">
        <f>Assumptions!AB111</f>
        <v>2579896.0709580197</v>
      </c>
      <c r="AB5" s="1">
        <f>Assumptions!AC111</f>
        <v>2579896.0709580197</v>
      </c>
      <c r="AC5" s="1">
        <f>Assumptions!AD111</f>
        <v>2579896.0709580197</v>
      </c>
      <c r="AD5" s="1">
        <f>Assumptions!AE111</f>
        <v>2579896.0709580197</v>
      </c>
      <c r="AE5" s="1">
        <f>Assumptions!AF111</f>
        <v>2579896.0709580197</v>
      </c>
      <c r="AF5" s="1">
        <f>Assumptions!AG111</f>
        <v>2579896.0709580197</v>
      </c>
    </row>
    <row r="6" spans="1:32" x14ac:dyDescent="0.35">
      <c r="A6" t="s">
        <v>68</v>
      </c>
      <c r="C6" s="1">
        <f>Assumptions!D113</f>
        <v>10951080.786777562</v>
      </c>
      <c r="D6" s="1">
        <f>Assumptions!E113</f>
        <v>10951080.786777562</v>
      </c>
      <c r="E6" s="1">
        <f>Assumptions!F113</f>
        <v>10951080.786777562</v>
      </c>
      <c r="F6" s="1">
        <f>Assumptions!G113</f>
        <v>10951080.786777562</v>
      </c>
      <c r="G6" s="1">
        <f>Assumptions!H113</f>
        <v>10951080.786777562</v>
      </c>
      <c r="H6" s="1">
        <f>Assumptions!I113</f>
        <v>10951080.786777562</v>
      </c>
      <c r="I6" s="1">
        <f>Assumptions!J113</f>
        <v>10951080.786777562</v>
      </c>
      <c r="J6" s="1">
        <f>Assumptions!K113</f>
        <v>10951080.786777562</v>
      </c>
      <c r="K6" s="1">
        <f>Assumptions!L113</f>
        <v>10951080.786777562</v>
      </c>
      <c r="L6" s="1">
        <f>Assumptions!M113</f>
        <v>10951080.786777562</v>
      </c>
      <c r="M6" s="1">
        <f>Assumptions!N113</f>
        <v>10951080.786777562</v>
      </c>
      <c r="N6" s="1">
        <f>Assumptions!O113</f>
        <v>10951080.786777562</v>
      </c>
      <c r="O6" s="1">
        <f>Assumptions!P113</f>
        <v>10951080.786777562</v>
      </c>
      <c r="P6" s="1">
        <f>Assumptions!Q113</f>
        <v>10951080.786777562</v>
      </c>
      <c r="Q6" s="1">
        <f>Assumptions!R113</f>
        <v>10951080.786777562</v>
      </c>
      <c r="R6" s="1">
        <f>Assumptions!S113</f>
        <v>10951080.786777562</v>
      </c>
      <c r="S6" s="1">
        <f>Assumptions!T113</f>
        <v>10951080.786777562</v>
      </c>
      <c r="T6" s="1">
        <f>Assumptions!U113</f>
        <v>10951080.786777562</v>
      </c>
      <c r="U6" s="1">
        <f>Assumptions!V113</f>
        <v>10951080.786777562</v>
      </c>
      <c r="V6" s="1">
        <f>Assumptions!W113</f>
        <v>10951080.786777562</v>
      </c>
      <c r="W6" s="1">
        <f>Assumptions!X113</f>
        <v>10951080.786777562</v>
      </c>
      <c r="X6" s="1">
        <f>Assumptions!Y113</f>
        <v>10951080.786777562</v>
      </c>
      <c r="Y6" s="1">
        <f>Assumptions!Z113</f>
        <v>10951080.786777562</v>
      </c>
      <c r="Z6" s="1">
        <f>Assumptions!AA113</f>
        <v>10951080.786777562</v>
      </c>
      <c r="AA6" s="1">
        <f>Assumptions!AB113</f>
        <v>10951080.786777562</v>
      </c>
      <c r="AB6" s="1">
        <f>Assumptions!AC113</f>
        <v>10951080.786777562</v>
      </c>
      <c r="AC6" s="1">
        <f>Assumptions!AD113</f>
        <v>10951080.786777562</v>
      </c>
      <c r="AD6" s="1">
        <f>Assumptions!AE113</f>
        <v>10951080.786777562</v>
      </c>
      <c r="AE6" s="1">
        <f>Assumptions!AF113</f>
        <v>10951080.786777562</v>
      </c>
      <c r="AF6" s="1">
        <f>Assumptions!AG113</f>
        <v>10951080.786777562</v>
      </c>
    </row>
    <row r="7" spans="1:32" x14ac:dyDescent="0.35">
      <c r="A7" t="s">
        <v>73</v>
      </c>
      <c r="C7" s="1">
        <f>Assumptions!D120</f>
        <v>262825.93888266146</v>
      </c>
      <c r="D7" s="1">
        <f>Assumptions!E120</f>
        <v>525651.87776532292</v>
      </c>
      <c r="E7" s="1">
        <f>Assumptions!F120</f>
        <v>788477.81664798444</v>
      </c>
      <c r="F7" s="1">
        <f>Assumptions!G120</f>
        <v>1051303.7555306458</v>
      </c>
      <c r="G7" s="1">
        <f>Assumptions!H120</f>
        <v>1314129.6944133074</v>
      </c>
      <c r="H7" s="1">
        <f>Assumptions!I120</f>
        <v>1576955.6332959689</v>
      </c>
      <c r="I7" s="1">
        <f>Assumptions!J120</f>
        <v>1839781.5721786304</v>
      </c>
      <c r="J7" s="1">
        <f>Assumptions!K120</f>
        <v>2102607.5110612917</v>
      </c>
      <c r="K7" s="1">
        <f>Assumptions!L120</f>
        <v>2365433.4499439532</v>
      </c>
      <c r="L7" s="1">
        <f>Assumptions!M120</f>
        <v>2628259.3888266142</v>
      </c>
      <c r="M7" s="1">
        <f>Assumptions!N120</f>
        <v>2891085.3277092753</v>
      </c>
      <c r="N7" s="1">
        <f>Assumptions!O120</f>
        <v>3153911.2665919373</v>
      </c>
      <c r="O7" s="1">
        <f>Assumptions!P120</f>
        <v>3416737.2054745993</v>
      </c>
      <c r="P7" s="1">
        <f>Assumptions!Q120</f>
        <v>3679563.1443572599</v>
      </c>
      <c r="Q7" s="1">
        <f>Assumptions!R120</f>
        <v>3942389.0832399214</v>
      </c>
      <c r="R7" s="1">
        <f>Assumptions!S120</f>
        <v>4205215.0221225834</v>
      </c>
      <c r="S7" s="1">
        <f>Assumptions!T120</f>
        <v>4468040.9610052444</v>
      </c>
      <c r="T7" s="1">
        <f>Assumptions!U120</f>
        <v>4730866.8998879055</v>
      </c>
      <c r="U7" s="1">
        <f>Assumptions!V120</f>
        <v>4993692.8387705665</v>
      </c>
      <c r="V7" s="1">
        <f>Assumptions!W120</f>
        <v>5256518.7776532276</v>
      </c>
      <c r="W7" s="1">
        <f>Assumptions!X120</f>
        <v>5519344.7165358895</v>
      </c>
      <c r="X7" s="1">
        <f>Assumptions!Y120</f>
        <v>5782170.6554185506</v>
      </c>
      <c r="Y7" s="1">
        <f>Assumptions!Z120</f>
        <v>6044996.5943012116</v>
      </c>
      <c r="Z7" s="1">
        <f>Assumptions!AA120</f>
        <v>6307822.5331838746</v>
      </c>
      <c r="AA7" s="1">
        <f>Assumptions!AB120</f>
        <v>6570648.4720665347</v>
      </c>
      <c r="AB7" s="1">
        <f>Assumptions!AC120</f>
        <v>6833474.4109491957</v>
      </c>
      <c r="AC7" s="1">
        <f>Assumptions!AD120</f>
        <v>7096300.3498318577</v>
      </c>
      <c r="AD7" s="1">
        <f>Assumptions!AE120</f>
        <v>7359126.2887145188</v>
      </c>
      <c r="AE7" s="1">
        <f>Assumptions!AF120</f>
        <v>7621952.2275971808</v>
      </c>
      <c r="AF7" s="1">
        <f>Assumptions!AG120</f>
        <v>7884778.1664798418</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2662452.7452286766</v>
      </c>
      <c r="D11" s="1">
        <f>D5*D$9</f>
        <v>2747651.2330759941</v>
      </c>
      <c r="E11" s="1">
        <f t="shared" ref="D11:AF13" si="1">E5*E$9</f>
        <v>2835576.0725344256</v>
      </c>
      <c r="F11" s="1">
        <f t="shared" si="1"/>
        <v>2926314.5068555274</v>
      </c>
      <c r="G11" s="1">
        <f t="shared" si="1"/>
        <v>3019956.5710749044</v>
      </c>
      <c r="H11" s="1">
        <f t="shared" si="1"/>
        <v>3116595.1813493008</v>
      </c>
      <c r="I11" s="1">
        <f t="shared" si="1"/>
        <v>3216326.2271524779</v>
      </c>
      <c r="J11" s="1">
        <f t="shared" si="1"/>
        <v>3319248.666421358</v>
      </c>
      <c r="K11" s="1">
        <f t="shared" si="1"/>
        <v>3425464.6237468417</v>
      </c>
      <c r="L11" s="1">
        <f t="shared" si="1"/>
        <v>3535079.4917067401</v>
      </c>
      <c r="M11" s="1">
        <f t="shared" si="1"/>
        <v>3648202.0354413558</v>
      </c>
      <c r="N11" s="1">
        <f t="shared" si="1"/>
        <v>3764944.5005754791</v>
      </c>
      <c r="O11" s="1">
        <f t="shared" si="1"/>
        <v>3885422.724593895</v>
      </c>
      <c r="P11" s="1">
        <f t="shared" si="1"/>
        <v>4009756.2517808988</v>
      </c>
      <c r="Q11" s="1">
        <f t="shared" si="1"/>
        <v>4138068.4518378871</v>
      </c>
      <c r="R11" s="1">
        <f t="shared" si="1"/>
        <v>4270486.6422967007</v>
      </c>
      <c r="S11" s="1">
        <f t="shared" si="1"/>
        <v>4407142.2148501948</v>
      </c>
      <c r="T11" s="1">
        <f t="shared" si="1"/>
        <v>4548170.7657254003</v>
      </c>
      <c r="U11" s="1">
        <f t="shared" si="1"/>
        <v>4693712.2302286131</v>
      </c>
      <c r="V11" s="1">
        <f t="shared" si="1"/>
        <v>4843911.0215959297</v>
      </c>
      <c r="W11" s="1">
        <f t="shared" si="1"/>
        <v>4998916.1742869997</v>
      </c>
      <c r="X11" s="1">
        <f t="shared" si="1"/>
        <v>5158881.491864183</v>
      </c>
      <c r="Y11" s="1">
        <f t="shared" si="1"/>
        <v>5323965.6996038361</v>
      </c>
      <c r="Z11" s="1">
        <f t="shared" si="1"/>
        <v>5494332.6019911589</v>
      </c>
      <c r="AA11" s="1">
        <f t="shared" si="1"/>
        <v>5670151.245254877</v>
      </c>
      <c r="AB11" s="1">
        <f t="shared" si="1"/>
        <v>5851596.0851030322</v>
      </c>
      <c r="AC11" s="1">
        <f t="shared" si="1"/>
        <v>6038847.159826329</v>
      </c>
      <c r="AD11" s="1">
        <f t="shared" si="1"/>
        <v>6232090.2689407719</v>
      </c>
      <c r="AE11" s="1">
        <f t="shared" si="1"/>
        <v>6431517.1575468769</v>
      </c>
      <c r="AF11" s="1">
        <f t="shared" si="1"/>
        <v>6637325.7065883763</v>
      </c>
    </row>
    <row r="12" spans="1:32" x14ac:dyDescent="0.35">
      <c r="A12" t="s">
        <v>71</v>
      </c>
      <c r="C12" s="1">
        <f t="shared" ref="C12:R12" si="2">C6*C$9</f>
        <v>11301515.371954443</v>
      </c>
      <c r="D12" s="1">
        <f t="shared" si="2"/>
        <v>11663163.863856986</v>
      </c>
      <c r="E12" s="1">
        <f t="shared" si="2"/>
        <v>12036385.107500408</v>
      </c>
      <c r="F12" s="1">
        <f t="shared" si="2"/>
        <v>12421549.430940421</v>
      </c>
      <c r="G12" s="1">
        <f t="shared" si="2"/>
        <v>12819039.012730516</v>
      </c>
      <c r="H12" s="1">
        <f t="shared" si="2"/>
        <v>13229248.261137892</v>
      </c>
      <c r="I12" s="1">
        <f t="shared" si="2"/>
        <v>13652584.205494301</v>
      </c>
      <c r="J12" s="1">
        <f t="shared" si="2"/>
        <v>14089466.900070122</v>
      </c>
      <c r="K12" s="1">
        <f t="shared" si="2"/>
        <v>14540329.840872366</v>
      </c>
      <c r="L12" s="1">
        <f t="shared" si="2"/>
        <v>15005620.39578028</v>
      </c>
      <c r="M12" s="1">
        <f t="shared" si="2"/>
        <v>15485800.248445248</v>
      </c>
      <c r="N12" s="1">
        <f t="shared" si="2"/>
        <v>15981345.856395498</v>
      </c>
      <c r="O12" s="1">
        <f t="shared" si="2"/>
        <v>16492748.923800156</v>
      </c>
      <c r="P12" s="1">
        <f t="shared" si="2"/>
        <v>17020516.889361758</v>
      </c>
      <c r="Q12" s="1">
        <f t="shared" si="2"/>
        <v>17565173.429821331</v>
      </c>
      <c r="R12" s="1">
        <f t="shared" si="2"/>
        <v>18127258.979575615</v>
      </c>
      <c r="S12" s="1">
        <f t="shared" si="1"/>
        <v>18707331.266922038</v>
      </c>
      <c r="T12" s="1">
        <f t="shared" si="1"/>
        <v>19305965.86746354</v>
      </c>
      <c r="U12" s="1">
        <f t="shared" si="1"/>
        <v>19923756.775222372</v>
      </c>
      <c r="V12" s="1">
        <f t="shared" si="1"/>
        <v>20561316.992029492</v>
      </c>
      <c r="W12" s="1">
        <f t="shared" si="1"/>
        <v>21219279.135774437</v>
      </c>
      <c r="X12" s="1">
        <f t="shared" si="1"/>
        <v>21898296.068119217</v>
      </c>
      <c r="Y12" s="1">
        <f t="shared" si="1"/>
        <v>22599041.542299028</v>
      </c>
      <c r="Z12" s="1">
        <f t="shared" si="1"/>
        <v>23322210.871652596</v>
      </c>
      <c r="AA12" s="1">
        <f t="shared" si="1"/>
        <v>24068521.619545486</v>
      </c>
      <c r="AB12" s="1">
        <f t="shared" si="1"/>
        <v>24838714.311370939</v>
      </c>
      <c r="AC12" s="1">
        <f t="shared" si="1"/>
        <v>25633553.169334807</v>
      </c>
      <c r="AD12" s="1">
        <f t="shared" si="1"/>
        <v>26453826.870753523</v>
      </c>
      <c r="AE12" s="1">
        <f t="shared" si="1"/>
        <v>27300349.330617636</v>
      </c>
      <c r="AF12" s="1">
        <f t="shared" si="1"/>
        <v>28173960.509197395</v>
      </c>
    </row>
    <row r="13" spans="1:32" x14ac:dyDescent="0.35">
      <c r="A13" t="s">
        <v>74</v>
      </c>
      <c r="C13" s="1">
        <f>C7*C$9</f>
        <v>271236.36892690661</v>
      </c>
      <c r="D13" s="1">
        <f t="shared" si="1"/>
        <v>559831.86546513531</v>
      </c>
      <c r="E13" s="1">
        <f t="shared" si="1"/>
        <v>866619.72774002934</v>
      </c>
      <c r="F13" s="1">
        <f t="shared" si="1"/>
        <v>1192468.7453702805</v>
      </c>
      <c r="G13" s="1">
        <f t="shared" si="1"/>
        <v>1538284.6815276619</v>
      </c>
      <c r="H13" s="1">
        <f t="shared" si="1"/>
        <v>1905011.7496038564</v>
      </c>
      <c r="I13" s="1">
        <f t="shared" si="1"/>
        <v>2293634.1465230426</v>
      </c>
      <c r="J13" s="1">
        <f t="shared" si="1"/>
        <v>2705177.6448134631</v>
      </c>
      <c r="K13" s="1">
        <f t="shared" si="1"/>
        <v>3140711.245628431</v>
      </c>
      <c r="L13" s="1">
        <f t="shared" si="1"/>
        <v>3601348.8949872665</v>
      </c>
      <c r="M13" s="1">
        <f t="shared" si="1"/>
        <v>4088251.2655895445</v>
      </c>
      <c r="N13" s="1">
        <f t="shared" si="1"/>
        <v>4602627.6066419026</v>
      </c>
      <c r="O13" s="1">
        <f t="shared" si="1"/>
        <v>5145737.6642256482</v>
      </c>
      <c r="P13" s="1">
        <f t="shared" si="1"/>
        <v>5718893.6748255491</v>
      </c>
      <c r="Q13" s="1">
        <f t="shared" si="1"/>
        <v>6323462.4347356772</v>
      </c>
      <c r="R13" s="1">
        <f t="shared" si="1"/>
        <v>6960867.4481570367</v>
      </c>
      <c r="S13" s="1">
        <f t="shared" si="1"/>
        <v>7632591.1569041908</v>
      </c>
      <c r="T13" s="1">
        <f t="shared" si="1"/>
        <v>8340177.2547442475</v>
      </c>
      <c r="U13" s="1">
        <f t="shared" si="1"/>
        <v>9085233.0895013995</v>
      </c>
      <c r="V13" s="1">
        <f t="shared" si="1"/>
        <v>9869432.1561741512</v>
      </c>
      <c r="W13" s="1">
        <f t="shared" si="1"/>
        <v>10694516.684430314</v>
      </c>
      <c r="X13" s="1">
        <f t="shared" si="1"/>
        <v>11562300.323966943</v>
      </c>
      <c r="Y13" s="1">
        <f t="shared" si="1"/>
        <v>12474670.931349058</v>
      </c>
      <c r="Z13" s="1">
        <f t="shared" si="1"/>
        <v>13433593.462071894</v>
      </c>
      <c r="AA13" s="1">
        <f t="shared" si="1"/>
        <v>14441112.971727287</v>
      </c>
      <c r="AB13" s="1">
        <f t="shared" si="1"/>
        <v>15499357.730295459</v>
      </c>
      <c r="AC13" s="1">
        <f t="shared" si="1"/>
        <v>16610542.453728948</v>
      </c>
      <c r="AD13" s="1">
        <f t="shared" si="1"/>
        <v>17776971.657146361</v>
      </c>
      <c r="AE13" s="1">
        <f t="shared" si="1"/>
        <v>19001043.13410987</v>
      </c>
      <c r="AF13" s="1">
        <f t="shared" si="1"/>
        <v>20285251.566622119</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14235204.486110026</v>
      </c>
      <c r="D25" s="40">
        <f>SUM(D11:D13,D18:D23)</f>
        <v>14970646.962398116</v>
      </c>
      <c r="E25" s="40">
        <f t="shared" ref="E25:AF25" si="7">SUM(E11:E13,E18:E23)</f>
        <v>15738580.907774862</v>
      </c>
      <c r="F25" s="40">
        <f t="shared" si="7"/>
        <v>16540332.683166228</v>
      </c>
      <c r="G25" s="40">
        <f t="shared" si="7"/>
        <v>17377280.265333083</v>
      </c>
      <c r="H25" s="40">
        <f t="shared" si="7"/>
        <v>18250855.192091048</v>
      </c>
      <c r="I25" s="40">
        <f t="shared" si="7"/>
        <v>19162544.579169825</v>
      </c>
      <c r="J25" s="40">
        <f t="shared" si="7"/>
        <v>20113893.211304944</v>
      </c>
      <c r="K25" s="40">
        <f t="shared" si="7"/>
        <v>21106505.71024764</v>
      </c>
      <c r="L25" s="40">
        <f t="shared" si="7"/>
        <v>22142048.782474287</v>
      </c>
      <c r="M25" s="40">
        <f t="shared" si="7"/>
        <v>23222253.549476147</v>
      </c>
      <c r="N25" s="40">
        <f t="shared" si="7"/>
        <v>24348917.963612881</v>
      </c>
      <c r="O25" s="40">
        <f t="shared" si="7"/>
        <v>25523909.312619701</v>
      </c>
      <c r="P25" s="40">
        <f t="shared" si="7"/>
        <v>26749166.815968204</v>
      </c>
      <c r="Q25" s="40">
        <f t="shared" si="7"/>
        <v>28026704.316394895</v>
      </c>
      <c r="R25" s="40">
        <f t="shared" si="7"/>
        <v>29358613.070029356</v>
      </c>
      <c r="S25" s="40">
        <f t="shared" si="7"/>
        <v>30747064.638676424</v>
      </c>
      <c r="T25" s="40">
        <f t="shared" si="7"/>
        <v>32194313.887933187</v>
      </c>
      <c r="U25" s="40">
        <f t="shared" si="7"/>
        <v>33702702.09495239</v>
      </c>
      <c r="V25" s="40">
        <f t="shared" si="7"/>
        <v>35274660.169799574</v>
      </c>
      <c r="W25" s="40">
        <f t="shared" si="7"/>
        <v>36912711.994491749</v>
      </c>
      <c r="X25" s="40">
        <f t="shared" si="7"/>
        <v>38619477.883950338</v>
      </c>
      <c r="Y25" s="40">
        <f t="shared" si="7"/>
        <v>40397678.173251927</v>
      </c>
      <c r="Z25" s="40">
        <f t="shared" si="7"/>
        <v>42250136.935715646</v>
      </c>
      <c r="AA25" s="40">
        <f t="shared" si="7"/>
        <v>44179785.836527653</v>
      </c>
      <c r="AB25" s="40">
        <f t="shared" si="7"/>
        <v>46189668.126769431</v>
      </c>
      <c r="AC25" s="40">
        <f t="shared" si="7"/>
        <v>48282942.782890081</v>
      </c>
      <c r="AD25" s="40">
        <f t="shared" si="7"/>
        <v>50462888.796840653</v>
      </c>
      <c r="AE25" s="40">
        <f t="shared" si="7"/>
        <v>52732909.622274384</v>
      </c>
      <c r="AF25" s="40">
        <f t="shared" si="7"/>
        <v>55096537.782407895</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8653935.941940628</v>
      </c>
      <c r="D5" s="59">
        <f>C5*('Price and Financial ratios'!F4+1)*(1+Assumptions!$C$13)</f>
        <v>10400357.179500666</v>
      </c>
      <c r="E5" s="59">
        <f>D5*('Price and Financial ratios'!G4+1)*(1+Assumptions!$C$13)</f>
        <v>12499217.718606627</v>
      </c>
      <c r="F5" s="59">
        <f>E5*('Price and Financial ratios'!H4+1)*(1+Assumptions!$C$13)</f>
        <v>15021642.130239865</v>
      </c>
      <c r="G5" s="59">
        <f>F5*('Price and Financial ratios'!I4+1)*(1+Assumptions!$C$13)</f>
        <v>18053108.391982786</v>
      </c>
      <c r="H5" s="59">
        <f>G5*('Price and Financial ratios'!J4+1)*(1+Assumptions!$C$13)</f>
        <v>20792330.145787485</v>
      </c>
      <c r="I5" s="59">
        <f>H5*('Price and Financial ratios'!K4+1)*(1+Assumptions!$C$13)</f>
        <v>22905995.965035174</v>
      </c>
      <c r="J5" s="59">
        <f>I5*('Price and Financial ratios'!L4+1)*(1+Assumptions!$C$13)</f>
        <v>24775719.05641235</v>
      </c>
      <c r="K5" s="59">
        <f>J5*('Price and Financial ratios'!M4+1)*(1+Assumptions!$C$13)</f>
        <v>26798060.023203686</v>
      </c>
      <c r="L5" s="59">
        <f>K5*('Price and Financial ratios'!N4+1)*(1+Assumptions!$C$13)</f>
        <v>28448708.358313698</v>
      </c>
      <c r="M5" s="59">
        <f>L5*('Price and Financial ratios'!O4+1)*(1+Assumptions!$C$13)</f>
        <v>30201029.722137064</v>
      </c>
      <c r="N5" s="59">
        <f>M5*('Price and Financial ratios'!P4+1)*(1+Assumptions!$C$13)</f>
        <v>32061286.747693714</v>
      </c>
      <c r="O5" s="59">
        <f>N5*('Price and Financial ratios'!Q4+1)*(1+Assumptions!$C$13)</f>
        <v>34036127.819985576</v>
      </c>
      <c r="P5" s="59">
        <f>O5*('Price and Financial ratios'!R4+1)*(1+Assumptions!$C$13)</f>
        <v>36132610.836704127</v>
      </c>
      <c r="Q5" s="59">
        <f>P5*('Price and Financial ratios'!S4+1)*(1+Assumptions!$C$13)</f>
        <v>38358228.432498045</v>
      </c>
      <c r="R5" s="59">
        <f>Q5*('Price and Financial ratios'!T4+1)*(1+Assumptions!$C$13)</f>
        <v>40720934.756950222</v>
      </c>
      <c r="S5" s="59">
        <f>R5*('Price and Financial ratios'!U4+1)*(1+Assumptions!$C$13)</f>
        <v>42821351.506664485</v>
      </c>
      <c r="T5" s="59">
        <f>S5*('Price and Financial ratios'!V4+1)*(1+Assumptions!$C$13)</f>
        <v>45030109.347977266</v>
      </c>
      <c r="U5" s="59">
        <f>T5*('Price and Financial ratios'!W4+1)*(1+Assumptions!$C$13)</f>
        <v>47352796.596697979</v>
      </c>
      <c r="V5" s="59">
        <f>U5*('Price and Financial ratios'!X4+1)*(1+Assumptions!$C$13)</f>
        <v>49795289.818210803</v>
      </c>
      <c r="W5" s="59">
        <f>V5*('Price and Financial ratios'!Y4+1)*(1+Assumptions!$C$13)</f>
        <v>52363768.695606776</v>
      </c>
      <c r="X5" s="59">
        <f>W5*('Price and Financial ratios'!Z4+1)*(1+Assumptions!$C$13)</f>
        <v>55064731.664725348</v>
      </c>
      <c r="Y5" s="59">
        <f>X5*('Price and Financial ratios'!AA4+1)*(1+Assumptions!$C$13)</f>
        <v>57905012.355663314</v>
      </c>
      <c r="Z5" s="59">
        <f>Y5*('Price and Financial ratios'!AB4+1)*(1+Assumptions!$C$13)</f>
        <v>60891796.882349253</v>
      </c>
      <c r="AA5" s="59">
        <f>Z5*('Price and Financial ratios'!AC4+1)*(1+Assumptions!$C$13)</f>
        <v>64032642.023927331</v>
      </c>
      <c r="AB5" s="59">
        <f>AA5*('Price and Financial ratios'!AD4+1)*(1+Assumptions!$C$13)</f>
        <v>65539881.161445372</v>
      </c>
      <c r="AC5" s="59">
        <f>AB5*('Price and Financial ratios'!AE4+1)*(1+Assumptions!$C$13)</f>
        <v>67082598.607305236</v>
      </c>
      <c r="AD5" s="59">
        <f>AC5*('Price and Financial ratios'!AF4+1)*(1+Assumptions!$C$13)</f>
        <v>68661629.471431717</v>
      </c>
      <c r="AE5" s="59">
        <f>AD5*('Price and Financial ratios'!AG4+1)*(1+Assumptions!$C$13)</f>
        <v>70277828.521073192</v>
      </c>
      <c r="AF5" s="59">
        <f>AE5*('Price and Financial ratios'!AH4+1)*(1+Assumptions!$C$13)</f>
        <v>71932070.643507585</v>
      </c>
    </row>
    <row r="6" spans="1:32" s="11" customFormat="1" x14ac:dyDescent="0.35">
      <c r="A6" s="11" t="s">
        <v>20</v>
      </c>
      <c r="C6" s="59">
        <f>C27</f>
        <v>3464717.6557404385</v>
      </c>
      <c r="D6" s="59">
        <f t="shared" ref="D6:AF6" si="1">D27</f>
        <v>3888902.5371961542</v>
      </c>
      <c r="E6" s="59">
        <f>E27</f>
        <v>4330082.0372989029</v>
      </c>
      <c r="F6" s="59">
        <f t="shared" si="1"/>
        <v>4788798.7881418876</v>
      </c>
      <c r="G6" s="59">
        <f t="shared" si="1"/>
        <v>5265611.0763390725</v>
      </c>
      <c r="H6" s="59">
        <f t="shared" si="1"/>
        <v>5761093.2692867611</v>
      </c>
      <c r="I6" s="59">
        <f t="shared" si="1"/>
        <v>6275836.2526061833</v>
      </c>
      <c r="J6" s="59">
        <f t="shared" si="1"/>
        <v>6810447.8790527713</v>
      </c>
      <c r="K6" s="59">
        <f t="shared" si="1"/>
        <v>7365553.4291850161</v>
      </c>
      <c r="L6" s="59">
        <f t="shared" si="1"/>
        <v>7941796.0840930939</v>
      </c>
      <c r="M6" s="59">
        <f t="shared" si="1"/>
        <v>8539837.4104949925</v>
      </c>
      <c r="N6" s="59">
        <f t="shared" si="1"/>
        <v>9160357.8585155606</v>
      </c>
      <c r="O6" s="59">
        <f t="shared" si="1"/>
        <v>9804057.2724718153</v>
      </c>
      <c r="P6" s="59">
        <f t="shared" si="1"/>
        <v>10471655.414995898</v>
      </c>
      <c r="Q6" s="59">
        <f t="shared" si="1"/>
        <v>11163892.504835397</v>
      </c>
      <c r="R6" s="59">
        <f t="shared" si="1"/>
        <v>11881529.768679231</v>
      </c>
      <c r="S6" s="59">
        <f t="shared" si="1"/>
        <v>12625350.007365972</v>
      </c>
      <c r="T6" s="59">
        <f t="shared" si="1"/>
        <v>13396158.176840406</v>
      </c>
      <c r="U6" s="59">
        <f t="shared" si="1"/>
        <v>14194781.98423337</v>
      </c>
      <c r="V6" s="59">
        <f t="shared" si="1"/>
        <v>15022072.499449009</v>
      </c>
      <c r="W6" s="59">
        <f t="shared" si="1"/>
        <v>15878904.782653539</v>
      </c>
      <c r="X6" s="59">
        <f t="shared" si="1"/>
        <v>16766178.528069094</v>
      </c>
      <c r="Y6" s="59">
        <f t="shared" si="1"/>
        <v>17684818.724486552</v>
      </c>
      <c r="Z6" s="59">
        <f t="shared" si="1"/>
        <v>18635776.332921412</v>
      </c>
      <c r="AA6" s="59">
        <f t="shared" si="1"/>
        <v>19620028.981847376</v>
      </c>
      <c r="AB6" s="59">
        <f t="shared" si="1"/>
        <v>20638581.680453256</v>
      </c>
      <c r="AC6" s="59">
        <f t="shared" si="1"/>
        <v>21692467.550379708</v>
      </c>
      <c r="AD6" s="59">
        <f t="shared" si="1"/>
        <v>22782748.576403853</v>
      </c>
      <c r="AE6" s="59">
        <f t="shared" si="1"/>
        <v>23910516.376551345</v>
      </c>
      <c r="AF6" s="59">
        <f t="shared" si="1"/>
        <v>25076892.992127549</v>
      </c>
    </row>
    <row r="7" spans="1:32" x14ac:dyDescent="0.35">
      <c r="A7" t="s">
        <v>21</v>
      </c>
      <c r="C7" s="4">
        <f>Depreciation!C8+Depreciation!C9</f>
        <v>2933689.1141555831</v>
      </c>
      <c r="D7" s="4">
        <f>Depreciation!D8+Depreciation!D9</f>
        <v>3307483.0985411294</v>
      </c>
      <c r="E7" s="4">
        <f>Depreciation!E8+Depreciation!E9</f>
        <v>3702195.800274455</v>
      </c>
      <c r="F7" s="4">
        <f>Depreciation!F8+Depreciation!F9</f>
        <v>4118783.2522258079</v>
      </c>
      <c r="G7" s="4">
        <f>Depreciation!G8+Depreciation!G9</f>
        <v>4558241.252602566</v>
      </c>
      <c r="H7" s="4">
        <f>Depreciation!H8+Depreciation!H9</f>
        <v>5021606.9309531571</v>
      </c>
      <c r="I7" s="4">
        <f>Depreciation!I8+Depreciation!I9</f>
        <v>5509960.3736755205</v>
      </c>
      <c r="J7" s="4">
        <f>Depreciation!J8+Depreciation!J9</f>
        <v>6024426.3112348206</v>
      </c>
      <c r="K7" s="4">
        <f>Depreciation!K8+Depreciation!K9</f>
        <v>6566175.8693752727</v>
      </c>
      <c r="L7" s="4">
        <f>Depreciation!L8+Depreciation!L9</f>
        <v>7136428.3866940066</v>
      </c>
      <c r="M7" s="4">
        <f>Depreciation!M8+Depreciation!M9</f>
        <v>7736453.3010309003</v>
      </c>
      <c r="N7" s="4">
        <f>Depreciation!N8+Depreciation!N9</f>
        <v>8367572.1072173817</v>
      </c>
      <c r="O7" s="4">
        <f>Depreciation!O8+Depreciation!O9</f>
        <v>9031160.3888195436</v>
      </c>
      <c r="P7" s="4">
        <f>Depreciation!P8+Depreciation!P9</f>
        <v>9728649.9266064484</v>
      </c>
      <c r="Q7" s="4">
        <f>Depreciation!Q8+Depreciation!Q9</f>
        <v>10461530.886573564</v>
      </c>
      <c r="R7" s="4">
        <f>Depreciation!R8+Depreciation!R9</f>
        <v>11231354.090453736</v>
      </c>
      <c r="S7" s="4">
        <f>Depreciation!S8+Depreciation!S9</f>
        <v>12039733.371754386</v>
      </c>
      <c r="T7" s="4">
        <f>Depreciation!T8+Depreciation!T9</f>
        <v>12888348.020469647</v>
      </c>
      <c r="U7" s="4">
        <f>Depreciation!U8+Depreciation!U9</f>
        <v>13778945.319730014</v>
      </c>
      <c r="V7" s="4">
        <f>Depreciation!V8+Depreciation!V9</f>
        <v>14713343.177770082</v>
      </c>
      <c r="W7" s="4">
        <f>Depreciation!W8+Depreciation!W9</f>
        <v>15693432.858717315</v>
      </c>
      <c r="X7" s="4">
        <f>Depreciation!X8+Depreciation!X9</f>
        <v>16721181.815831125</v>
      </c>
      <c r="Y7" s="4">
        <f>Depreciation!Y8+Depreciation!Y9</f>
        <v>17798636.630952895</v>
      </c>
      <c r="Z7" s="4">
        <f>Depreciation!Z8+Depreciation!Z9</f>
        <v>18927926.064063054</v>
      </c>
      <c r="AA7" s="4">
        <f>Depreciation!AA8+Depreciation!AA9</f>
        <v>20111264.216982163</v>
      </c>
      <c r="AB7" s="4">
        <f>Depreciation!AB8+Depreciation!AB9</f>
        <v>21350953.815398492</v>
      </c>
      <c r="AC7" s="4">
        <f>Depreciation!AC8+Depreciation!AC9</f>
        <v>22649389.613555275</v>
      </c>
      <c r="AD7" s="4">
        <f>Depreciation!AD8+Depreciation!AD9</f>
        <v>24009061.926087134</v>
      </c>
      <c r="AE7" s="4">
        <f>Depreciation!AE8+Depreciation!AE9</f>
        <v>25432560.291656747</v>
      </c>
      <c r="AF7" s="4">
        <f>Depreciation!AF8+Depreciation!AF9</f>
        <v>26922577.273210496</v>
      </c>
    </row>
    <row r="8" spans="1:32" x14ac:dyDescent="0.35">
      <c r="A8" t="s">
        <v>6</v>
      </c>
      <c r="C8" s="4">
        <f ca="1">'Debt worksheet'!C8</f>
        <v>656077.21968584904</v>
      </c>
      <c r="D8" s="4">
        <f ca="1">'Debt worksheet'!D8</f>
        <v>986682.85066230595</v>
      </c>
      <c r="E8" s="4">
        <f ca="1">'Debt worksheet'!E8</f>
        <v>1297008.7394701098</v>
      </c>
      <c r="F8" s="4">
        <f ca="1">'Debt worksheet'!F8</f>
        <v>1572819.5506813456</v>
      </c>
      <c r="G8" s="4">
        <f ca="1">'Debt worksheet'!G8</f>
        <v>1796333.631005672</v>
      </c>
      <c r="H8" s="4">
        <f ca="1">'Debt worksheet'!H8</f>
        <v>1978259.3492759934</v>
      </c>
      <c r="I8" s="4">
        <f ca="1">'Debt worksheet'!I8</f>
        <v>2141857.8441574327</v>
      </c>
      <c r="J8" s="4">
        <f ca="1">'Debt worksheet'!J8</f>
        <v>2297471.1039849953</v>
      </c>
      <c r="K8" s="4">
        <f ca="1">'Debt worksheet'!K8</f>
        <v>2441514.0653399061</v>
      </c>
      <c r="L8" s="4">
        <f ca="1">'Debt worksheet'!L8</f>
        <v>2589371.8581645442</v>
      </c>
      <c r="M8" s="4">
        <f ca="1">'Debt worksheet'!M8</f>
        <v>2739905.7010245975</v>
      </c>
      <c r="N8" s="4">
        <f ca="1">'Debt worksheet'!N8</f>
        <v>2891798.2576474748</v>
      </c>
      <c r="O8" s="4">
        <f ca="1">'Debt worksheet'!O8</f>
        <v>3043536.3880064068</v>
      </c>
      <c r="P8" s="4">
        <f ca="1">'Debt worksheet'!P8</f>
        <v>3193392.5251870533</v>
      </c>
      <c r="Q8" s="4">
        <f ca="1">'Debt worksheet'!Q8</f>
        <v>3339404.5790597736</v>
      </c>
      <c r="R8" s="4">
        <f ca="1">'Debt worksheet'!R8</f>
        <v>3479354.2610583594</v>
      </c>
      <c r="S8" s="4">
        <f ca="1">'Debt worksheet'!S8</f>
        <v>3625535.2030430944</v>
      </c>
      <c r="T8" s="4">
        <f ca="1">'Debt worksheet'!T8</f>
        <v>3777355.334850742</v>
      </c>
      <c r="U8" s="4">
        <f ca="1">'Debt worksheet'!U8</f>
        <v>3934113.3644951442</v>
      </c>
      <c r="V8" s="4">
        <f ca="1">'Debt worksheet'!V8</f>
        <v>4094988.4603953022</v>
      </c>
      <c r="W8" s="4">
        <f ca="1">'Debt worksheet'!W8</f>
        <v>4259029.163988756</v>
      </c>
      <c r="X8" s="4">
        <f ca="1">'Debt worksheet'!X8</f>
        <v>4425141.4820145592</v>
      </c>
      <c r="Y8" s="4">
        <f ca="1">'Debt worksheet'!Y8</f>
        <v>4592076.1046499377</v>
      </c>
      <c r="Z8" s="4">
        <f ca="1">'Debt worksheet'!Z8</f>
        <v>4758414.6924041556</v>
      </c>
      <c r="AA8" s="4">
        <f ca="1">'Debt worksheet'!AA8</f>
        <v>4922555.1712018922</v>
      </c>
      <c r="AB8" s="4">
        <f ca="1">'Debt worksheet'!AB8</f>
        <v>5147821.8381389622</v>
      </c>
      <c r="AC8" s="4">
        <f ca="1">'Debt worksheet'!AC8</f>
        <v>5439451.034764478</v>
      </c>
      <c r="AD8" s="4">
        <f ca="1">'Debt worksheet'!AD8</f>
        <v>5802996.1775418911</v>
      </c>
      <c r="AE8" s="4">
        <f ca="1">'Debt worksheet'!AE8</f>
        <v>6244344.1339515336</v>
      </c>
      <c r="AF8" s="4">
        <f ca="1">'Debt worksheet'!AF8</f>
        <v>6769732.37154146</v>
      </c>
    </row>
    <row r="9" spans="1:32" x14ac:dyDescent="0.35">
      <c r="A9" t="s">
        <v>22</v>
      </c>
      <c r="C9" s="4">
        <f ca="1">C5-C6-C7-C8</f>
        <v>1599451.9523587578</v>
      </c>
      <c r="D9" s="4">
        <f t="shared" ref="D9:AF9" ca="1" si="2">D5-D6-D7-D8</f>
        <v>2217288.6931010764</v>
      </c>
      <c r="E9" s="4">
        <f t="shared" ca="1" si="2"/>
        <v>3169931.1415631589</v>
      </c>
      <c r="F9" s="4">
        <f t="shared" ca="1" si="2"/>
        <v>4541240.5391908232</v>
      </c>
      <c r="G9" s="4">
        <f t="shared" ca="1" si="2"/>
        <v>6432922.432035475</v>
      </c>
      <c r="H9" s="4">
        <f t="shared" ca="1" si="2"/>
        <v>8031370.5962715726</v>
      </c>
      <c r="I9" s="4">
        <f t="shared" ca="1" si="2"/>
        <v>8978341.4945960362</v>
      </c>
      <c r="J9" s="4">
        <f t="shared" ca="1" si="2"/>
        <v>9643373.7621397655</v>
      </c>
      <c r="K9" s="4">
        <f t="shared" ca="1" si="2"/>
        <v>10424816.659303488</v>
      </c>
      <c r="L9" s="4">
        <f t="shared" ca="1" si="2"/>
        <v>10781112.029362053</v>
      </c>
      <c r="M9" s="4">
        <f t="shared" ca="1" si="2"/>
        <v>11184833.309586575</v>
      </c>
      <c r="N9" s="4">
        <f t="shared" ca="1" si="2"/>
        <v>11641558.524313295</v>
      </c>
      <c r="O9" s="4">
        <f t="shared" ca="1" si="2"/>
        <v>12157373.770687811</v>
      </c>
      <c r="P9" s="4">
        <f t="shared" ca="1" si="2"/>
        <v>12738912.969914729</v>
      </c>
      <c r="Q9" s="4">
        <f t="shared" ca="1" si="2"/>
        <v>13393400.46202931</v>
      </c>
      <c r="R9" s="4">
        <f t="shared" ca="1" si="2"/>
        <v>14128696.636758894</v>
      </c>
      <c r="S9" s="4">
        <f t="shared" ca="1" si="2"/>
        <v>14530732.924501033</v>
      </c>
      <c r="T9" s="4">
        <f t="shared" ca="1" si="2"/>
        <v>14968247.815816471</v>
      </c>
      <c r="U9" s="4">
        <f t="shared" ca="1" si="2"/>
        <v>15444955.92823945</v>
      </c>
      <c r="V9" s="4">
        <f t="shared" ca="1" si="2"/>
        <v>15964885.680596411</v>
      </c>
      <c r="W9" s="4">
        <f t="shared" ca="1" si="2"/>
        <v>16532401.890247164</v>
      </c>
      <c r="X9" s="4">
        <f t="shared" ca="1" si="2"/>
        <v>17152229.838810571</v>
      </c>
      <c r="Y9" s="4">
        <f t="shared" ca="1" si="2"/>
        <v>17829480.895573929</v>
      </c>
      <c r="Z9" s="4">
        <f t="shared" ca="1" si="2"/>
        <v>18569679.792960629</v>
      </c>
      <c r="AA9" s="4">
        <f t="shared" ca="1" si="2"/>
        <v>19378793.6538959</v>
      </c>
      <c r="AB9" s="4">
        <f t="shared" ca="1" si="2"/>
        <v>18402523.827454664</v>
      </c>
      <c r="AC9" s="4">
        <f t="shared" ca="1" si="2"/>
        <v>17301290.408605777</v>
      </c>
      <c r="AD9" s="4">
        <f t="shared" ca="1" si="2"/>
        <v>16066822.791398836</v>
      </c>
      <c r="AE9" s="4">
        <f t="shared" ca="1" si="2"/>
        <v>14690407.718913566</v>
      </c>
      <c r="AF9" s="4">
        <f t="shared" ca="1" si="2"/>
        <v>13162868.006628077</v>
      </c>
    </row>
    <row r="12" spans="1:32" x14ac:dyDescent="0.35">
      <c r="A12" t="s">
        <v>79</v>
      </c>
      <c r="C12" s="2">
        <f>Assumptions!$C$25*Assumptions!D9*Assumptions!D13</f>
        <v>3128957.5188178383</v>
      </c>
      <c r="D12" s="2">
        <f>Assumptions!$C$25*Assumptions!E9*Assumptions!E13</f>
        <v>3202608.8173263599</v>
      </c>
      <c r="E12" s="2">
        <f>Assumptions!$C$25*Assumptions!F9*Assumptions!F13</f>
        <v>3277993.7647385076</v>
      </c>
      <c r="F12" s="2">
        <f>Assumptions!$C$25*Assumptions!G9*Assumptions!G13</f>
        <v>3355153.168732923</v>
      </c>
      <c r="G12" s="2">
        <f>Assumptions!$C$25*Assumptions!H9*Assumptions!H13</f>
        <v>3434128.7975441203</v>
      </c>
      <c r="H12" s="2">
        <f>Assumptions!$C$25*Assumptions!I9*Assumptions!I13</f>
        <v>3514963.4025726318</v>
      </c>
      <c r="I12" s="2">
        <f>Assumptions!$C$25*Assumptions!J9*Assumptions!J13</f>
        <v>3597700.7415273692</v>
      </c>
      <c r="J12" s="2">
        <f>Assumptions!$C$25*Assumptions!K9*Assumptions!K13</f>
        <v>3682385.6021127165</v>
      </c>
      <c r="K12" s="2">
        <f>Assumptions!$C$25*Assumptions!L9*Assumptions!L13</f>
        <v>3769063.826273188</v>
      </c>
      <c r="L12" s="2">
        <f>Assumptions!$C$25*Assumptions!M9*Assumptions!M13</f>
        <v>3857782.335008774</v>
      </c>
      <c r="M12" s="2">
        <f>Assumptions!$C$25*Assumptions!N9*Assumptions!N13</f>
        <v>3948589.1537743998</v>
      </c>
      <c r="N12" s="2">
        <f>Assumptions!$C$25*Assumptions!O9*Assumptions!O13</f>
        <v>4041533.4384772568</v>
      </c>
      <c r="O12" s="2">
        <f>Assumptions!$C$25*Assumptions!P9*Assumptions!P13</f>
        <v>4136665.5020860722</v>
      </c>
      <c r="P12" s="2">
        <f>Assumptions!$C$25*Assumptions!Q9*Assumptions!Q13</f>
        <v>4234036.841866727</v>
      </c>
      <c r="Q12" s="2">
        <f>Assumptions!$C$25*Assumptions!R9*Assumptions!R13</f>
        <v>4333700.1672589565</v>
      </c>
      <c r="R12" s="2">
        <f>Assumptions!$C$25*Assumptions!S9*Assumptions!S13</f>
        <v>4435709.4284092346</v>
      </c>
      <c r="S12" s="2">
        <f>Assumptions!$C$25*Assumptions!T9*Assumptions!T13</f>
        <v>4540119.8453752864</v>
      </c>
      <c r="T12" s="2">
        <f>Assumptions!$C$25*Assumptions!U9*Assumptions!U13</f>
        <v>4646987.9380180184</v>
      </c>
      <c r="U12" s="2">
        <f>Assumptions!$C$25*Assumptions!V9*Assumptions!V13</f>
        <v>4756371.5565970838</v>
      </c>
      <c r="V12" s="2">
        <f>Assumptions!$C$25*Assumptions!W9*Assumptions!W13</f>
        <v>4868329.9130866043</v>
      </c>
      <c r="W12" s="2">
        <f>Assumptions!$C$25*Assumptions!X9*Assumptions!X13</f>
        <v>4982923.6132280417</v>
      </c>
      <c r="X12" s="2">
        <f>Assumptions!$C$25*Assumptions!Y9*Assumptions!Y13</f>
        <v>5100214.6893375292</v>
      </c>
      <c r="Y12" s="2">
        <f>Assumptions!$C$25*Assumptions!Z9*Assumptions!Z13</f>
        <v>5220266.6338854581</v>
      </c>
      <c r="Z12" s="2">
        <f>Assumptions!$C$25*Assumptions!AA9*Assumptions!AA13</f>
        <v>5343144.4338664683</v>
      </c>
      <c r="AA12" s="2">
        <f>Assumptions!$C$25*Assumptions!AB9*Assumptions!AB13</f>
        <v>5468914.6059784647</v>
      </c>
      <c r="AB12" s="2">
        <f>Assumptions!$C$25*Assumptions!AC9*Assumptions!AC13</f>
        <v>5597645.2326297071</v>
      </c>
      <c r="AC12" s="2">
        <f>Assumptions!$C$25*Assumptions!AD9*Assumptions!AD13</f>
        <v>5729405.9987934409</v>
      </c>
      <c r="AD12" s="2">
        <f>Assumptions!$C$25*Assumptions!AE9*Assumptions!AE13</f>
        <v>5864268.2297300501</v>
      </c>
      <c r="AE12" s="2">
        <f>Assumptions!$C$25*Assumptions!AF9*Assumptions!AF13</f>
        <v>6002304.9295971254</v>
      </c>
      <c r="AF12" s="2">
        <f>Assumptions!$C$25*Assumptions!AG9*Assumptions!AG13</f>
        <v>6143590.8209683681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335760.13692260004</v>
      </c>
      <c r="D14" s="5">
        <f>Assumptions!E122*Assumptions!E9</f>
        <v>686293.71986979444</v>
      </c>
      <c r="E14" s="5">
        <f>Assumptions!F122*Assumptions!F9</f>
        <v>1052088.2725603948</v>
      </c>
      <c r="F14" s="5">
        <f>Assumptions!G122*Assumptions!G9</f>
        <v>1433645.6194089649</v>
      </c>
      <c r="G14" s="5">
        <f>Assumptions!H122*Assumptions!H9</f>
        <v>1831482.2787949524</v>
      </c>
      <c r="H14" s="5">
        <f>Assumptions!I122*Assumptions!I9</f>
        <v>2246129.8667141297</v>
      </c>
      <c r="I14" s="5">
        <f>Assumptions!J122*Assumptions!J9</f>
        <v>2678135.5110788145</v>
      </c>
      <c r="J14" s="5">
        <f>Assumptions!K122*Assumptions!K9</f>
        <v>3128062.2769400552</v>
      </c>
      <c r="K14" s="5">
        <f>Assumptions!L122*Assumptions!L9</f>
        <v>3596489.6029118281</v>
      </c>
      <c r="L14" s="5">
        <f>Assumptions!M122*Assumptions!M9</f>
        <v>4084013.7490843199</v>
      </c>
      <c r="M14" s="5">
        <f>Assumptions!N122*Assumptions!N9</f>
        <v>4591248.2567205932</v>
      </c>
      <c r="N14" s="5">
        <f>Assumptions!O122*Assumptions!O9</f>
        <v>5118824.4200383043</v>
      </c>
      <c r="O14" s="5">
        <f>Assumptions!P122*Assumptions!P9</f>
        <v>5667391.7703857431</v>
      </c>
      <c r="P14" s="5">
        <f>Assumptions!Q122*Assumptions!Q9</f>
        <v>6237618.5731291696</v>
      </c>
      <c r="Q14" s="5">
        <f>Assumptions!R122*Assumptions!R9</f>
        <v>6830192.3375764405</v>
      </c>
      <c r="R14" s="5">
        <f>Assumptions!S122*Assumptions!S9</f>
        <v>7445820.3402699977</v>
      </c>
      <c r="S14" s="5">
        <f>Assumptions!T122*Assumptions!T9</f>
        <v>8085230.1619906845</v>
      </c>
      <c r="T14" s="5">
        <f>Assumptions!U122*Assumptions!U9</f>
        <v>8749170.2388223875</v>
      </c>
      <c r="U14" s="5">
        <f>Assumptions!V122*Assumptions!V9</f>
        <v>9438410.4276362862</v>
      </c>
      <c r="V14" s="5">
        <f>Assumptions!W122*Assumptions!W9</f>
        <v>10153742.586362405</v>
      </c>
      <c r="W14" s="5">
        <f>Assumptions!X122*Assumptions!X9</f>
        <v>10895981.169425497</v>
      </c>
      <c r="X14" s="5">
        <f>Assumptions!Y122*Assumptions!Y9</f>
        <v>11665963.838731565</v>
      </c>
      <c r="Y14" s="5">
        <f>Assumptions!Z122*Assumptions!Z9</f>
        <v>12464552.090601096</v>
      </c>
      <c r="Z14" s="5">
        <f>Assumptions!AA122*Assumptions!AA9</f>
        <v>13292631.899054945</v>
      </c>
      <c r="AA14" s="5">
        <f>Assumptions!AB122*Assumptions!AB9</f>
        <v>14151114.375868911</v>
      </c>
      <c r="AB14" s="5">
        <f>Assumptions!AC122*Assumptions!AC9</f>
        <v>15040936.447823547</v>
      </c>
      <c r="AC14" s="5">
        <f>Assumptions!AD122*Assumptions!AD9</f>
        <v>15963061.551586267</v>
      </c>
      <c r="AD14" s="5">
        <f>Assumptions!AE122*Assumptions!AE9</f>
        <v>16918480.346673802</v>
      </c>
      <c r="AE14" s="5">
        <f>Assumptions!AF122*Assumptions!AF9</f>
        <v>17908211.446954221</v>
      </c>
      <c r="AF14" s="5">
        <f>Assumptions!AG122*Assumptions!AG9</f>
        <v>18933302.171159182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3464717.6557404385</v>
      </c>
      <c r="D27" s="2">
        <f t="shared" ref="D27:AF27" si="8">D12+D13+D14+D19+D20+D22+D24+D25</f>
        <v>3888902.5371961542</v>
      </c>
      <c r="E27" s="2">
        <f t="shared" si="8"/>
        <v>4330082.0372989029</v>
      </c>
      <c r="F27" s="2">
        <f t="shared" si="8"/>
        <v>4788798.7881418876</v>
      </c>
      <c r="G27" s="2">
        <f t="shared" si="8"/>
        <v>5265611.0763390725</v>
      </c>
      <c r="H27" s="2">
        <f t="shared" si="8"/>
        <v>5761093.2692867611</v>
      </c>
      <c r="I27" s="2">
        <f t="shared" si="8"/>
        <v>6275836.2526061833</v>
      </c>
      <c r="J27" s="2">
        <f t="shared" si="8"/>
        <v>6810447.8790527713</v>
      </c>
      <c r="K27" s="2">
        <f t="shared" si="8"/>
        <v>7365553.4291850161</v>
      </c>
      <c r="L27" s="2">
        <f t="shared" si="8"/>
        <v>7941796.0840930939</v>
      </c>
      <c r="M27" s="2">
        <f t="shared" si="8"/>
        <v>8539837.4104949925</v>
      </c>
      <c r="N27" s="2">
        <f t="shared" si="8"/>
        <v>9160357.8585155606</v>
      </c>
      <c r="O27" s="2">
        <f t="shared" si="8"/>
        <v>9804057.2724718153</v>
      </c>
      <c r="P27" s="2">
        <f t="shared" si="8"/>
        <v>10471655.414995898</v>
      </c>
      <c r="Q27" s="2">
        <f t="shared" si="8"/>
        <v>11163892.504835397</v>
      </c>
      <c r="R27" s="2">
        <f t="shared" si="8"/>
        <v>11881529.768679231</v>
      </c>
      <c r="S27" s="2">
        <f t="shared" si="8"/>
        <v>12625350.007365972</v>
      </c>
      <c r="T27" s="2">
        <f t="shared" si="8"/>
        <v>13396158.176840406</v>
      </c>
      <c r="U27" s="2">
        <f t="shared" si="8"/>
        <v>14194781.98423337</v>
      </c>
      <c r="V27" s="2">
        <f t="shared" si="8"/>
        <v>15022072.499449009</v>
      </c>
      <c r="W27" s="2">
        <f t="shared" si="8"/>
        <v>15878904.782653539</v>
      </c>
      <c r="X27" s="2">
        <f t="shared" si="8"/>
        <v>16766178.528069094</v>
      </c>
      <c r="Y27" s="2">
        <f t="shared" si="8"/>
        <v>17684818.724486552</v>
      </c>
      <c r="Z27" s="2">
        <f t="shared" si="8"/>
        <v>18635776.332921412</v>
      </c>
      <c r="AA27" s="2">
        <f t="shared" si="8"/>
        <v>19620028.981847376</v>
      </c>
      <c r="AB27" s="2">
        <f t="shared" si="8"/>
        <v>20638581.680453256</v>
      </c>
      <c r="AC27" s="2">
        <f t="shared" si="8"/>
        <v>21692467.550379708</v>
      </c>
      <c r="AD27" s="2">
        <f t="shared" si="8"/>
        <v>22782748.576403853</v>
      </c>
      <c r="AE27" s="2">
        <f t="shared" si="8"/>
        <v>23910516.376551345</v>
      </c>
      <c r="AF27" s="2">
        <f t="shared" si="8"/>
        <v>25076892.992127549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3W2DU3RAJ5R2-1900874439-778</_dlc_DocId>
    <_dlc_DocIdUrl xmlns="f54e2983-00ce-40fc-8108-18f351fc47bf">
      <Url>https://dia.cohesion.net.nz/Sites/LGV/TWRP/CAE/_layouts/15/DocIdRedir.aspx?ID=3W2DU3RAJ5R2-1900874439-778</Url>
      <Description>3W2DU3RAJ5R2-1900874439-778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D45C1FC-410F-400D-A543-53B4713F8AFD}"/>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CBCC2D2A-763C-48F8-A3E5-6B0A81386C39}">
  <ds:schemaRefs>
    <ds:schemaRef ds:uri="http://schemas.microsoft.com/office/2006/documentManagement/types"/>
    <ds:schemaRef ds:uri="http://www.w3.org/XML/1998/namespace"/>
    <ds:schemaRef ds:uri="http://schemas.microsoft.com/office/infopath/2007/PartnerControls"/>
    <ds:schemaRef ds:uri="http://purl.org/dc/dcmitype/"/>
    <ds:schemaRef ds:uri="http://purl.org/dc/terms/"/>
    <ds:schemaRef ds:uri="http://purl.org/dc/elements/1.1/"/>
    <ds:schemaRef ds:uri="http://schemas.microsoft.com/office/2006/metadata/properties"/>
    <ds:schemaRef ds:uri="65b6d800-2dda-48d6-88d8-9e2b35e6f7ea"/>
    <ds:schemaRef ds:uri="http://schemas.openxmlformats.org/package/2006/metadata/core-properties"/>
    <ds:schemaRef ds:uri="08a23fc5-e034-477c-ac83-93bc1440f322"/>
    <ds:schemaRef ds:uri="http://schemas.microsoft.com/sharepoint/v3"/>
  </ds:schemaRefs>
</ds:datastoreItem>
</file>

<file path=customXml/itemProps4.xml><?xml version="1.0" encoding="utf-8"?>
<ds:datastoreItem xmlns:ds="http://schemas.openxmlformats.org/officeDocument/2006/customXml" ds:itemID="{93819DD4-2D2E-4A3D-92C9-6F64A472E5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2021-07-01T15:05:16Z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355b80b7-3600-44a5-b051-4427b60ea902</vt:lpwstr>
  </property>
</Properties>
</file>