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105" documentId="8_{6AF10AE1-15BB-4015-888A-CA5B98FA83B8}" xr6:coauthVersionLast="47" xr6:coauthVersionMax="47" xr10:uidLastSave="{555423D6-C928-4696-97D2-56FAF642A964}"/>
  <bookViews>
    <workbookView xWindow="2070" yWindow="2660" windowWidth="36330" windowHeight="7080" tabRatio="721" firstSheet="1" activeTab="4"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5" i="2" l="1"/>
  <c r="C7" i="21"/>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<sst xmlns="http://schemas.openxmlformats.org/spreadsheetml/2006/main" count="277" uniqueCount="205">
  <si>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</si>
  <si>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</si>
  <si>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</si>
  <si>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</si>
  <si>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</si>
  <si>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</si>
  <si>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</si>
  <si>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</si>
  <si>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</si>
  <si>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</si>
  <si>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</si>
  <si>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</si>
  <si>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</si>
  <si>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</si>
  <si>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</si>
  <si>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</si>
  <si>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</si>
  <si>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</si>
  <si>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</si>
  <si>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</si>
  <si>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</si>
  <si>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</si>
  <si>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</si>
  <si>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</si>
  <si>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</si>
  <si>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</si>
  <si>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</si>
  <si>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</si>
  <si>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</si>
  <si>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</si>
  <si>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</si>
  <si>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</si>
  <si>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</si>
  <si>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</si>
  <si>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</si>
  <si>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</si>
  <si>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</si>
  <si>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</si>
  <si>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</si>
  <si>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</si>
  <si>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</si>
  <si>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</si>
  <si>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</si>
  <si>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</si>
  <si>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</si>
  <si>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</si>
  <si>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</si>
  <si>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</si>
  <si>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</si>
  <si>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</si>
  <si>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</si>
  <si>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</si>
  <si>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</si>
  <si>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</si>
  <si>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</si>
  <si>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</si>
  <si>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</si>
  <si>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</si>
  <si>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</si>
  <si>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</si>
  <si>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</si>
  <si>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</si>
  <si>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</si>
  <si>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</si>
  <si>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</si>
  <si>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</si>
  <si>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</si>
  <si>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</si>
  <si>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</si>
  <si>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</si>
  <si>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</si>
  <si>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</si>
  <si>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</si>
  <si>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</si>
  <si>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</si>
  <si>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</si>
  <si>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</si>
  <si>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</si>
  <si>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</si>
  <si>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</si>
  <si>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</si>
  <si>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</si>
  <si>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</si>
  <si>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</si>
  <si>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</si>
  <si>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</si>
  <si>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</si>
  <si>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</si>
  <si>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</si>
  <si>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</si>
  <si>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</si>
  <si>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</si>
  <si>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</si>
  <si>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</si>
  <si>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</si>
  <si>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</si>
  <si>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</si>
  <si>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</si>
  <si>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</si>
  <si>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</si>
  <si>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</si>
  <si>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</si>
  <si>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</si>
  <si>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</si>
  <si>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</si>
  <si>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</si>
  <si>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</si>
  <si>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</si>
  <si>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</si>
  <si>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</si>
  <si>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</si>
  <si>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</si>
  <si>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</si>
  <si>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</si>
  <si>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</si>
  <si>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</si>
  <si>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</si>
  <si>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</si>
  <si>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</si>
  <si>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</si>
  <si>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</si>
  <si>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</si>
  <si>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</si>
  <si>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</si>
  <si>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</si>
  <si>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</si>
  <si>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</si>
  <si>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</si>
  <si>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</si>
  <si>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</si>
  <si>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</si>
  <si>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</si>
  <si>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</si>
  <si>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</si>
  <si>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</si>
  <si>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</si>
  <si>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</si>
  <si>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</si>
  <si>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</si>
  <si>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</si>
  <si>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</si>
  <si>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</si>
  <si>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</si>
  <si>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</si>
  <si>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</si>
  <si>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</si>
  <si>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</si>
  <si>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</si>
  <si>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</si>
  <si>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</si>
  <si>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</si>
  <si>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</si>
  <si>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</si>
  <si>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</si>
  <si>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</si>
  <si>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</si>
  <si>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</si>
  <si>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</si>
  <si>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</si>
  <si>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</si>
  <si>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</si>
  <si>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</si>
  <si>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</si>
  <si>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</si>
  <si>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</si>
  <si>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</si>
  <si>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</si>
  <si>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</si>
  <si>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</si>
  <si>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</si>
  <si>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</si>
  <si>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</si>
  <si>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</si>
  <si>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</si>
  <si>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</si>
  <si>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</si>
  <si>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</si>
  <si>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</si>
  <si>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</si>
  <si>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</si>
  <si>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</si>
  <si>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</si>
  <si>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</si>
  <si>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</si>
  <si>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</si>
  <si>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</si>
  <si>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</si>
  <si>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</si>
  <si>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</si>
  <si>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</si>
  <si>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</si>
  <si>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</si>
  <si>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</si>
  <si>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</si>
  <si>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</si>
  <si>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A1.43</t>
  </si>
  <si>
    <t>Gisborne Stand-alone Council</t>
  </si>
  <si>
    <t>Estimate from the RFI supporting spreadsheet 'Supporting Data -  population and household data and forecasts#2'</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</si>
  <si>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</si>
  <si>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</si>
  <si>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</si>
  <si>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Assumed inflation of 2.2% per annum from DIA's commercial and financial advisors</t>
  </si>
  <si>
    <t>Calculated based on the RFI supporting spreadsheet 'Supporting Data -  population and household data and forecasts#2'</t>
  </si>
  <si>
    <t>Consistent with reaching a percentage split of 30% for short-medium life assets by 2051. This split is in line with international experience</t>
  </si>
  <si>
    <t>Consistent with reaching a percentage split of 70% for long life assets by 2051. This split is in line with international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</si>
</sst>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8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0" fillId="0" borderId="0" xfId="0" applyNumberFormat="1" applyFont="1" applyFill="1" applyAlignment="1">
      <alignment vertical="top" wrapText="1"/>
    </xf>
    <xf numFmtId="9" fontId="10" fillId="0" borderId="9" xfId="3" applyNumberFormat="1" applyFont="1" applyFill="1" applyBorder="1" applyAlignment="1">
      <alignment vertical="top"/>
    </xf>
    <xf numFmtId="0" fontId="18" fillId="0" borderId="0" xfId="0" applyFont="1" applyAlignment="1">
      <alignment horizontal="left" vertical="center" wrapText="1"/>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zoomScale="80" zoomScaleNormal="8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95</v>
      </c>
      <c r="D1" s="61"/>
      <c r="E1" s="61"/>
      <c r="F1" s="61"/>
    </row>
    <row r="2" spans="1:6" x14ac:dyDescent="0.35">
      <c r="A2" s="63" t="s">
        <v>96</v>
      </c>
      <c r="B2" s="60" t="s">
        <v>196</v>
      </c>
      <c r="C2" s="171"/>
      <c r="D2" s="60"/>
      <c r="E2" s="14"/>
      <c r="F2" s="60"/>
    </row>
    <row r="3" spans="1:6" x14ac:dyDescent="0.35">
      <c r="C3" s="14"/>
      <c r="D3" s="14"/>
    </row>
    <row r="4" spans="1:6" x14ac:dyDescent="0.35">
      <c r="A4" s="14" t="s">
        <v>156</v>
      </c>
      <c r="B4" s="14"/>
      <c r="D4" s="14"/>
    </row>
    <row r="6" spans="1:6" ht="21" x14ac:dyDescent="0.5">
      <c r="A6" s="15" t="s">
        <v>165</v>
      </c>
    </row>
    <row r="7" spans="1:6" ht="241" customHeight="1" x14ac:dyDescent="0.35">
      <c r="A7" s="107">
        <v>1</v>
      </c>
      <c r="B7" s="104" t="s">
        <v>166</v>
      </c>
    </row>
    <row r="8" spans="1:6" ht="408" customHeight="1" x14ac:dyDescent="0.35">
      <c r="A8" s="107">
        <v>2</v>
      </c>
      <c r="B8" s="104" t="s">
        <v>187</v>
      </c>
    </row>
    <row r="9" spans="1:6" ht="195.5" customHeight="1" x14ac:dyDescent="0.35">
      <c r="A9" s="107">
        <f>A8+1</f>
        <v>3</v>
      </c>
      <c r="B9" s="105" t="s">
        <v>170</v>
      </c>
    </row>
    <row r="10" spans="1:6" ht="236" customHeight="1" x14ac:dyDescent="0.35">
      <c r="A10" s="107">
        <v>4</v>
      </c>
      <c r="B10" s="105" t="s">
        <v>171</v>
      </c>
    </row>
    <row r="11" spans="1:6" ht="21" x14ac:dyDescent="0.35">
      <c r="A11" s="107">
        <f>A10+1</f>
        <v>5</v>
      </c>
      <c r="B11" s="63" t="s">
        <v>185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162</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188</v>
      </c>
      <c r="B6" s="1">
        <f>Assumptions!C17</f>
        <v>525302925.27200919</v>
      </c>
      <c r="C6" s="12">
        <f ca="1">B6+Depreciation!C18+'Cash Flow'!C13</f>
        <v>537236896.13121974</v>
      </c>
      <c r="D6" s="1">
        <f ca="1">C6+Depreciation!D18</f>
        <v>634954975.69588161</v>
      </c>
      <c r="E6" s="1">
        <f ca="1">D6+Depreciation!E18</f>
        <v>737923570.31880641</v>
      </c>
      <c r="F6" s="1">
        <f ca="1">E6+Depreciation!F18</f>
        <v>846378649.65024877</v>
      </c>
      <c r="G6" s="1">
        <f ca="1">F6+Depreciation!G18</f>
        <v>960565908.87065995</v>
      </c>
      <c r="H6" s="1">
        <f ca="1">G6+Depreciation!H18</f>
        <v>1080741149.4916985</v>
      </c>
      <c r="I6" s="1">
        <f ca="1">H6+Depreciation!I18</f>
        <v>1207170674.5695629</v>
      </c>
      <c r="J6" s="1">
        <f ca="1">I6+Depreciation!J18</f>
        <v>1340131698.8630943</v>
      </c>
      <c r="K6" s="1">
        <f ca="1">J6+Depreciation!K18</f>
        <v>1479912774.4884155</v>
      </c>
      <c r="L6" s="1">
        <f ca="1">K6+Depreciation!L18</f>
        <v>1626814232.6418843</v>
      </c>
      <c r="M6" s="1">
        <f ca="1">L6+Depreciation!M18</f>
        <v>1781148641.9838619</v>
      </c>
      <c r="N6" s="1">
        <f ca="1">M6+Depreciation!N18</f>
        <v>1943241284.2972636</v>
      </c>
      <c r="O6" s="1">
        <f ca="1">N6+Depreciation!O18</f>
        <v>2113430648.0570946</v>
      </c>
      <c r="P6" s="1">
        <f ca="1">O6+Depreciation!P18</f>
        <v>2292068940.5701971</v>
      </c>
      <c r="Q6" s="1">
        <f ca="1">P6+Depreciation!Q18</f>
        <v>2479522619.3682909</v>
      </c>
      <c r="R6" s="1">
        <f ca="1">Q6+Depreciation!R18</f>
        <v>2676172943.5620818</v>
      </c>
      <c r="S6" s="1">
        <f ca="1">R6+Depreciation!S18</f>
        <v>2882416545.8898053</v>
      </c>
      <c r="T6" s="1">
        <f ca="1">S6+Depreciation!T18</f>
        <v>3098666026.2200584</v>
      </c>
      <c r="U6" s="1">
        <f ca="1">T6+Depreciation!U18</f>
        <v>3325350567.2962193</v>
      </c>
      <c r="V6" s="1">
        <f ca="1">U6+Depreciation!V18</f>
        <v>3562916573.5381684</v>
      </c>
      <c r="W6" s="1">
        <f ca="1">V6+Depreciation!W18</f>
        <v>3811828333.7464538</v>
      </c>
      <c r="X6" s="1">
        <f ca="1">W6+Depreciation!X18</f>
        <v>4072568708.5845294</v>
      </c>
      <c r="Y6" s="1">
        <f ca="1">X6+Depreciation!Y18</f>
        <v>4345639843.7462482</v>
      </c>
      <c r="Z6" s="1">
        <f ca="1">Y6+Depreciation!Z18</f>
        <v>4631563909.7484894</v>
      </c>
      <c r="AA6" s="1">
        <f ca="1">Z6+Depreciation!AA18</f>
        <v>4930883869.3226414</v>
      </c>
      <c r="AB6" s="1">
        <f ca="1">AA6+Depreciation!AB18</f>
        <v>5244164273.4137192</v>
      </c>
      <c r="AC6" s="1">
        <f ca="1">AB6+Depreciation!AC18</f>
        <v>5571992086.8322029</v>
      </c>
      <c r="AD6" s="1">
        <f ca="1">AC6+Depreciation!AD18</f>
        <v>5914977544.6412563</v>
      </c>
      <c r="AE6" s="1">
        <f ca="1">AD6+Depreciation!AE18</f>
        <v>6273755040.4009361</v>
      </c>
      <c r="AF6" s="1"/>
      <c r="AG6" s="1"/>
      <c r="AH6" s="1"/>
      <c r="AI6" s="1"/>
      <c r="AJ6" s="1"/>
      <c r="AK6" s="1"/>
      <c r="AL6" s="1"/>
      <c r="AM6" s="1"/>
      <c r="AN6" s="1"/>
      <c r="AO6" s="1"/>
      <c r="AP6" s="1"/>
    </row>
    <row r="7" spans="1:42" x14ac:dyDescent="0.35">
      <c r="A7" t="s">
        <v>12</v>
      </c>
      <c r="B7" s="1">
        <f>Depreciation!C12</f>
        <v>272267052.13489223</v>
      </c>
      <c r="C7" s="1">
        <f>Depreciation!D12</f>
        <v>284248030.91653669</v>
      </c>
      <c r="D7" s="1">
        <f>Depreciation!E12</f>
        <v>298735937.53138757</v>
      </c>
      <c r="E7" s="1">
        <f>Depreciation!F12</f>
        <v>315878946.83849758</v>
      </c>
      <c r="F7" s="1">
        <f>Depreciation!G12</f>
        <v>335832149.79379779</v>
      </c>
      <c r="G7" s="1">
        <f>Depreciation!H12</f>
        <v>358757844.34924191</v>
      </c>
      <c r="H7" s="1">
        <f>Depreciation!I12</f>
        <v>384825837.88741291</v>
      </c>
      <c r="I7" s="1">
        <f>Depreciation!J12</f>
        <v>414213761.63198048</v>
      </c>
      <c r="J7" s="1">
        <f>Depreciation!K12</f>
        <v>447107397.490771</v>
      </c>
      <c r="K7" s="1">
        <f>Depreciation!L12</f>
        <v>483701017.80518019</v>
      </c>
      <c r="L7" s="1">
        <f>Depreciation!M12</f>
        <v>524197738.49724835</v>
      </c>
      <c r="M7" s="1">
        <f>Depreciation!N12</f>
        <v>568809886.12394357</v>
      </c>
      <c r="N7" s="1">
        <f>Depreciation!O12</f>
        <v>617759379.36709344</v>
      </c>
      <c r="O7" s="1">
        <f>Depreciation!P12</f>
        <v>671278125.50698125</v>
      </c>
      <c r="P7" s="1">
        <f>Depreciation!Q12</f>
        <v>729608432.44791722</v>
      </c>
      <c r="Q7" s="1">
        <f>Depreciation!R12</f>
        <v>793003436.88512135</v>
      </c>
      <c r="R7" s="1">
        <f>Depreciation!S12</f>
        <v>861727549.22404706</v>
      </c>
      <c r="S7" s="1">
        <f>Depreciation!T12</f>
        <v>936056915.88586104</v>
      </c>
      <c r="T7" s="1">
        <f>Depreciation!U12</f>
        <v>1016279899.6561929</v>
      </c>
      <c r="U7" s="1">
        <f>Depreciation!V12</f>
        <v>1102697578.7585261</v>
      </c>
      <c r="V7" s="1">
        <f>Depreciation!W12</f>
        <v>1195624265.3587279</v>
      </c>
      <c r="W7" s="1">
        <f>Depreciation!X12</f>
        <v>1295388044.2332613</v>
      </c>
      <c r="X7" s="1">
        <f>Depreciation!Y12</f>
        <v>1402331332.3606048</v>
      </c>
      <c r="Y7" s="1">
        <f>Depreciation!Z12</f>
        <v>1516811460.2233706</v>
      </c>
      <c r="Z7" s="1">
        <f>Depreciation!AA12</f>
        <v>1639201275.6375835</v>
      </c>
      <c r="AA7" s="1">
        <f>Depreciation!AB12</f>
        <v>1769889770.9556046</v>
      </c>
      <c r="AB7" s="1">
        <f>Depreciation!AC12</f>
        <v>1909282734.5202932</v>
      </c>
      <c r="AC7" s="1">
        <f>Depreciation!AD12</f>
        <v>2057803427.2802308</v>
      </c>
      <c r="AD7" s="1">
        <f>Depreciation!AE12</f>
        <v>2215893285.509223</v>
      </c>
      <c r="AE7" s="1">
        <f>Depreciation!AF12</f>
        <v>2384012650.607903</v>
      </c>
      <c r="AF7" s="1"/>
      <c r="AG7" s="1"/>
      <c r="AH7" s="1"/>
      <c r="AI7" s="1"/>
      <c r="AJ7" s="1"/>
      <c r="AK7" s="1"/>
      <c r="AL7" s="1"/>
      <c r="AM7" s="1"/>
      <c r="AN7" s="1"/>
      <c r="AO7" s="1"/>
      <c r="AP7" s="1"/>
    </row>
    <row r="8" spans="1:42" x14ac:dyDescent="0.35">
      <c r="A8" t="s">
        <v>189</v>
      </c>
      <c r="B8" s="1">
        <f t="shared" ref="B8:AE8" si="1">B6-B7</f>
        <v>253035873.13711697</v>
      </c>
      <c r="C8" s="1">
        <f t="shared" ca="1" si="1"/>
        <v>252988865.21468306</v>
      </c>
      <c r="D8" s="1">
        <f ca="1">D6-D7</f>
        <v>336219038.16449404</v>
      </c>
      <c r="E8" s="1">
        <f t="shared" ca="1" si="1"/>
        <v>422044623.48030883</v>
      </c>
      <c r="F8" s="1">
        <f t="shared" ca="1" si="1"/>
        <v>510546499.85645097</v>
      </c>
      <c r="G8" s="1">
        <f t="shared" ca="1" si="1"/>
        <v>601808064.52141809</v>
      </c>
      <c r="H8" s="1">
        <f t="shared" ca="1" si="1"/>
        <v>695915311.6042856</v>
      </c>
      <c r="I8" s="1">
        <f t="shared" ca="1" si="1"/>
        <v>792956912.93758249</v>
      </c>
      <c r="J8" s="1">
        <f t="shared" ca="1" si="1"/>
        <v>893024301.37232327</v>
      </c>
      <c r="K8" s="1">
        <f t="shared" ca="1" si="1"/>
        <v>996211756.68323529</v>
      </c>
      <c r="L8" s="1">
        <f t="shared" ca="1" si="1"/>
        <v>1102616494.1446359</v>
      </c>
      <c r="M8" s="1">
        <f t="shared" ca="1" si="1"/>
        <v>1212338755.8599184</v>
      </c>
      <c r="N8" s="1">
        <f t="shared" ca="1" si="1"/>
        <v>1325481904.9301701</v>
      </c>
      <c r="O8" s="1">
        <f t="shared" ca="1" si="1"/>
        <v>1442152522.5501132</v>
      </c>
      <c r="P8" s="1">
        <f t="shared" ca="1" si="1"/>
        <v>1562460508.1222799</v>
      </c>
      <c r="Q8" s="1">
        <f t="shared" ca="1" si="1"/>
        <v>1686519182.4831696</v>
      </c>
      <c r="R8" s="1">
        <f t="shared" ca="1" si="1"/>
        <v>1814445394.3380346</v>
      </c>
      <c r="S8" s="1">
        <f t="shared" ca="1" si="1"/>
        <v>1946359630.0039444</v>
      </c>
      <c r="T8" s="1">
        <f t="shared" ca="1" si="1"/>
        <v>2082386126.5638657</v>
      </c>
      <c r="U8" s="1">
        <f t="shared" ca="1" si="1"/>
        <v>2222652988.537693</v>
      </c>
      <c r="V8" s="1">
        <f t="shared" ca="1" si="1"/>
        <v>2367292308.1794405</v>
      </c>
      <c r="W8" s="1">
        <f t="shared" ca="1" si="1"/>
        <v>2516440289.5131922</v>
      </c>
      <c r="X8" s="1">
        <f t="shared" ca="1" si="1"/>
        <v>2670237376.2239246</v>
      </c>
      <c r="Y8" s="1">
        <f t="shared" ca="1" si="1"/>
        <v>2828828383.5228777</v>
      </c>
      <c r="Z8" s="1">
        <f t="shared" ca="1" si="1"/>
        <v>2992362634.1109056</v>
      </c>
      <c r="AA8" s="1">
        <f t="shared" ca="1" si="1"/>
        <v>3160994098.3670368</v>
      </c>
      <c r="AB8" s="1">
        <f t="shared" ca="1" si="1"/>
        <v>3334881538.8934259</v>
      </c>
      <c r="AC8" s="1">
        <f t="shared" ca="1" si="1"/>
        <v>3514188659.5519724</v>
      </c>
      <c r="AD8" s="1">
        <f t="shared" ca="1" si="1"/>
        <v>3699084259.1320333</v>
      </c>
      <c r="AE8" s="1">
        <f t="shared" ca="1" si="1"/>
        <v>3889742389.7930331</v>
      </c>
      <c r="AF8" s="1"/>
      <c r="AG8" s="1"/>
      <c r="AH8" s="1"/>
      <c r="AI8" s="1"/>
      <c r="AJ8" s="1"/>
      <c r="AK8" s="1"/>
      <c r="AL8" s="1"/>
      <c r="AM8" s="1"/>
      <c r="AN8" s="1"/>
      <c r="AO8" s="1"/>
      <c r="AP8" s="1"/>
    </row>
    <row r="10" spans="1:42" x14ac:dyDescent="0.35">
      <c r="A10" t="s">
        <v>17</v>
      </c>
      <c r="B10" s="1">
        <f>B8-B11</f>
        <v>221234873.13711697</v>
      </c>
      <c r="C10" s="1">
        <f ca="1">C8-C11</f>
        <v>140427660.54495043</v>
      </c>
      <c r="D10" s="1">
        <f ca="1">D8-D11</f>
        <v>150206383.49576235</v>
      </c>
      <c r="E10" s="1">
        <f t="shared" ref="E10:AE10" ca="1" si="2">E8-E11</f>
        <v>177549297.2321153</v>
      </c>
      <c r="F10" s="1">
        <f t="shared" ca="1" si="2"/>
        <v>220406086.60585696</v>
      </c>
      <c r="G10" s="1">
        <f ca="1">G8-G11</f>
        <v>276067720.28880161</v>
      </c>
      <c r="H10" s="1">
        <f t="shared" ca="1" si="2"/>
        <v>336583224.77146816</v>
      </c>
      <c r="I10" s="1">
        <f t="shared" ca="1" si="2"/>
        <v>403090566.38700145</v>
      </c>
      <c r="J10" s="1">
        <f t="shared" ca="1" si="2"/>
        <v>473872335.67370057</v>
      </c>
      <c r="K10" s="1">
        <f t="shared" ca="1" si="2"/>
        <v>548095383.15551496</v>
      </c>
      <c r="L10" s="1">
        <f t="shared" ca="1" si="2"/>
        <v>626353620.27893829</v>
      </c>
      <c r="M10" s="1">
        <f t="shared" ca="1" si="2"/>
        <v>707410576.81542087</v>
      </c>
      <c r="N10" s="1">
        <f t="shared" ca="1" si="2"/>
        <v>791679081.57522929</v>
      </c>
      <c r="O10" s="1">
        <f t="shared" ca="1" si="2"/>
        <v>878538684.21562183</v>
      </c>
      <c r="P10" s="1">
        <f t="shared" ca="1" si="2"/>
        <v>968330870.34666479</v>
      </c>
      <c r="Q10" s="1">
        <f t="shared" ca="1" si="2"/>
        <v>1061438234.0066082</v>
      </c>
      <c r="R10" s="1">
        <f t="shared" ca="1" si="2"/>
        <v>1156992253.8472681</v>
      </c>
      <c r="S10" s="1">
        <f t="shared" ca="1" si="2"/>
        <v>1255269948.939214</v>
      </c>
      <c r="T10" s="1">
        <f t="shared" ca="1" si="2"/>
        <v>1356581036.0120347</v>
      </c>
      <c r="U10" s="1">
        <f t="shared" ca="1" si="2"/>
        <v>1461270870.403744</v>
      </c>
      <c r="V10" s="1">
        <f t="shared" ca="1" si="2"/>
        <v>1569723610.1327887</v>
      </c>
      <c r="W10" s="1">
        <f t="shared" ca="1" si="2"/>
        <v>1682365618.3698997</v>
      </c>
      <c r="X10" s="1">
        <f t="shared" ca="1" si="2"/>
        <v>1799669120.5676885</v>
      </c>
      <c r="Y10" s="1">
        <f t="shared" ca="1" si="2"/>
        <v>1922156133.5468569</v>
      </c>
      <c r="Z10" s="1">
        <f t="shared" ca="1" si="2"/>
        <v>2050402684.9428806</v>
      </c>
      <c r="AA10" s="1">
        <f t="shared" ca="1" si="2"/>
        <v>2185043342.5897346</v>
      </c>
      <c r="AB10" s="1">
        <f t="shared" ca="1" si="2"/>
        <v>2314225315.9152369</v>
      </c>
      <c r="AC10" s="1">
        <f t="shared" ca="1" si="2"/>
        <v>2437200291.9472551</v>
      </c>
      <c r="AD10" s="1">
        <f t="shared" ca="1" si="2"/>
        <v>2553169623.1285796</v>
      </c>
      <c r="AE10" s="1">
        <f t="shared" ca="1" si="2"/>
        <v>2661281603.8526602</v>
      </c>
      <c r="AF10" s="1"/>
      <c r="AG10" s="1"/>
      <c r="AH10" s="1"/>
      <c r="AI10" s="1"/>
      <c r="AJ10" s="1"/>
      <c r="AK10" s="1"/>
      <c r="AL10" s="1"/>
      <c r="AM10" s="1"/>
      <c r="AN10" s="1"/>
      <c r="AO10" s="1"/>
    </row>
    <row r="11" spans="1:42" x14ac:dyDescent="0.35">
      <c r="A11" t="s">
        <v>9</v>
      </c>
      <c r="B11" s="1">
        <f>Assumptions!$C$20</f>
        <v>31801000</v>
      </c>
      <c r="C11" s="1">
        <f ca="1">'Debt worksheet'!D5</f>
        <v>112561204.66973265</v>
      </c>
      <c r="D11" s="1">
        <f ca="1">'Debt worksheet'!E5</f>
        <v>186012654.66873169</v>
      </c>
      <c r="E11" s="1">
        <f ca="1">'Debt worksheet'!F5</f>
        <v>244495326.24819353</v>
      </c>
      <c r="F11" s="1">
        <f ca="1">'Debt worksheet'!G5</f>
        <v>290140413.25059402</v>
      </c>
      <c r="G11" s="1">
        <f ca="1">'Debt worksheet'!H5</f>
        <v>325740344.23261648</v>
      </c>
      <c r="H11" s="1">
        <f ca="1">'Debt worksheet'!I5</f>
        <v>359332086.83281744</v>
      </c>
      <c r="I11" s="1">
        <f ca="1">'Debt worksheet'!J5</f>
        <v>389866346.55058104</v>
      </c>
      <c r="J11" s="1">
        <f ca="1">'Debt worksheet'!K5</f>
        <v>419151965.6986227</v>
      </c>
      <c r="K11" s="1">
        <f ca="1">'Debt worksheet'!L5</f>
        <v>448116373.52772027</v>
      </c>
      <c r="L11" s="1">
        <f ca="1">'Debt worksheet'!M5</f>
        <v>476262873.86569756</v>
      </c>
      <c r="M11" s="1">
        <f ca="1">'Debt worksheet'!N5</f>
        <v>504928179.04449755</v>
      </c>
      <c r="N11" s="1">
        <f ca="1">'Debt worksheet'!O5</f>
        <v>533802823.35494077</v>
      </c>
      <c r="O11" s="1">
        <f ca="1">'Debt worksheet'!P5</f>
        <v>563613838.33449137</v>
      </c>
      <c r="P11" s="1">
        <f ca="1">'Debt worksheet'!Q5</f>
        <v>594129637.7756151</v>
      </c>
      <c r="Q11" s="1">
        <f ca="1">'Debt worksheet'!R5</f>
        <v>625080948.47656131</v>
      </c>
      <c r="R11" s="1">
        <f ca="1">'Debt worksheet'!S5</f>
        <v>657453140.49076653</v>
      </c>
      <c r="S11" s="1">
        <f ca="1">'Debt worksheet'!T5</f>
        <v>691089681.06473041</v>
      </c>
      <c r="T11" s="1">
        <f ca="1">'Debt worksheet'!U5</f>
        <v>725805090.55183101</v>
      </c>
      <c r="U11" s="1">
        <f ca="1">'Debt worksheet'!V5</f>
        <v>761382118.13394904</v>
      </c>
      <c r="V11" s="1">
        <f ca="1">'Debt worksheet'!W5</f>
        <v>797568698.04665172</v>
      </c>
      <c r="W11" s="1">
        <f ca="1">'Debt worksheet'!X5</f>
        <v>834074671.14329255</v>
      </c>
      <c r="X11" s="1">
        <f ca="1">'Debt worksheet'!Y5</f>
        <v>870568255.65623629</v>
      </c>
      <c r="Y11" s="1">
        <f ca="1">'Debt worksheet'!Z5</f>
        <v>906672249.97602069</v>
      </c>
      <c r="Z11" s="1">
        <f ca="1">'Debt worksheet'!AA5</f>
        <v>941959949.16802502</v>
      </c>
      <c r="AA11" s="1">
        <f ca="1">'Debt worksheet'!AB5</f>
        <v>975950755.77730227</v>
      </c>
      <c r="AB11" s="1">
        <f ca="1">'Debt worksheet'!AC5</f>
        <v>1020656222.9781891</v>
      </c>
      <c r="AC11" s="1">
        <f ca="1">'Debt worksheet'!AD5</f>
        <v>1076988367.6047173</v>
      </c>
      <c r="AD11" s="1">
        <f ca="1">'Debt worksheet'!AE5</f>
        <v>1145914636.0034537</v>
      </c>
      <c r="AE11" s="1">
        <f ca="1">'Debt worksheet'!AF5</f>
        <v>1228460785.9403732</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163</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2318381.3603229709</v>
      </c>
      <c r="D5" s="4">
        <f ca="1">'Profit and Loss'!D9</f>
        <v>12285650.784018334</v>
      </c>
      <c r="E5" s="4">
        <f ca="1">'Profit and Loss'!E9</f>
        <v>29998016.428612109</v>
      </c>
      <c r="F5" s="4">
        <f ca="1">'Profit and Loss'!F9</f>
        <v>45666983.021931797</v>
      </c>
      <c r="G5" s="4">
        <f ca="1">'Profit and Loss'!G9</f>
        <v>58634125.283088498</v>
      </c>
      <c r="H5" s="4">
        <f ca="1">'Profit and Loss'!H9</f>
        <v>63657803.465393528</v>
      </c>
      <c r="I5" s="4">
        <f ca="1">'Profit and Loss'!I9</f>
        <v>69827271.821929902</v>
      </c>
      <c r="J5" s="4">
        <f ca="1">'Profit and Loss'!J9</f>
        <v>74287481.40092209</v>
      </c>
      <c r="K5" s="4">
        <f ca="1">'Profit and Loss'!K9</f>
        <v>77923031.937433004</v>
      </c>
      <c r="L5" s="4">
        <f ca="1">'Profit and Loss'!L9</f>
        <v>82161337.501082227</v>
      </c>
      <c r="M5" s="4">
        <f ca="1">'Profit and Loss'!M9</f>
        <v>85172383.47110942</v>
      </c>
      <c r="N5" s="4">
        <f ca="1">'Profit and Loss'!N9</f>
        <v>88605850.376263365</v>
      </c>
      <c r="O5" s="4">
        <f ca="1">'Profit and Loss'!O9</f>
        <v>91428855.537130579</v>
      </c>
      <c r="P5" s="4">
        <f ca="1">'Profit and Loss'!P9</f>
        <v>94603746.932091236</v>
      </c>
      <c r="Q5" s="4">
        <f ca="1">'Profit and Loss'!Q9</f>
        <v>98172061.156211644</v>
      </c>
      <c r="R5" s="4">
        <f ca="1">'Profit and Loss'!R9</f>
        <v>100883127.74238166</v>
      </c>
      <c r="S5" s="4">
        <f ca="1">'Profit and Loss'!S9</f>
        <v>103882949.41483377</v>
      </c>
      <c r="T5" s="4">
        <f ca="1">'Profit and Loss'!T9</f>
        <v>107204704.18133859</v>
      </c>
      <c r="U5" s="4">
        <f ca="1">'Profit and Loss'!U9</f>
        <v>110884529.72371112</v>
      </c>
      <c r="V5" s="4">
        <f ca="1">'Profit and Loss'!V9</f>
        <v>114961747.22691309</v>
      </c>
      <c r="W5" s="4">
        <f ca="1">'Profit and Loss'!W9</f>
        <v>119479100.51144263</v>
      </c>
      <c r="X5" s="4">
        <f ca="1">'Profit and Loss'!X9</f>
        <v>124483011.45059839</v>
      </c>
      <c r="Y5" s="4">
        <f ca="1">'Profit and Loss'!Y9</f>
        <v>130023852.71459104</v>
      </c>
      <c r="Z5" s="4">
        <f ca="1">'Profit and Loss'!Z9</f>
        <v>136156238.94747117</v>
      </c>
      <c r="AA5" s="4">
        <f ca="1">'Profit and Loss'!AA9</f>
        <v>142939337.55066144</v>
      </c>
      <c r="AB5" s="4">
        <f ca="1">'Profit and Loss'!AB9</f>
        <v>137886441.57216993</v>
      </c>
      <c r="AC5" s="4">
        <f ca="1">'Profit and Loss'!AC9</f>
        <v>132102705.22726655</v>
      </c>
      <c r="AD5" s="4">
        <f ca="1">'Profit and Loss'!AD9</f>
        <v>125538496.65037943</v>
      </c>
      <c r="AE5" s="4">
        <f ca="1">'Profit and Loss'!AE9</f>
        <v>118141487.59376813</v>
      </c>
      <c r="AF5" s="4">
        <f ca="1">'Profit and Loss'!AF9</f>
        <v>109856522.27327031</v>
      </c>
      <c r="AG5" s="4"/>
      <c r="AH5" s="4"/>
      <c r="AI5" s="4"/>
      <c r="AJ5" s="4"/>
      <c r="AK5" s="4"/>
      <c r="AL5" s="4"/>
      <c r="AM5" s="4"/>
      <c r="AN5" s="4"/>
      <c r="AO5" s="4"/>
      <c r="AP5" s="4"/>
    </row>
    <row r="6" spans="1:42" x14ac:dyDescent="0.35">
      <c r="A6" t="s">
        <v>21</v>
      </c>
      <c r="C6" s="4">
        <f>Depreciation!C8+Depreciation!C9</f>
        <v>9615589.4988876395</v>
      </c>
      <c r="D6" s="4">
        <f>Depreciation!D8+Depreciation!D9</f>
        <v>11980978.78164446</v>
      </c>
      <c r="E6" s="4">
        <f>Depreciation!E8+Depreciation!E9</f>
        <v>14487906.614850856</v>
      </c>
      <c r="F6" s="4">
        <f>Depreciation!F8+Depreciation!F9</f>
        <v>17143009.30711006</v>
      </c>
      <c r="G6" s="4">
        <f>Depreciation!G8+Depreciation!G9</f>
        <v>19953202.955300245</v>
      </c>
      <c r="H6" s="4">
        <f>Depreciation!H8+Depreciation!H9</f>
        <v>22925694.555444121</v>
      </c>
      <c r="I6" s="4">
        <f>Depreciation!I8+Depreciation!I9</f>
        <v>26067993.538170975</v>
      </c>
      <c r="J6" s="4">
        <f>Depreciation!J8+Depreciation!J9</f>
        <v>29387923.744567581</v>
      </c>
      <c r="K6" s="4">
        <f>Depreciation!K8+Depreciation!K9</f>
        <v>32893635.85879048</v>
      </c>
      <c r="L6" s="4">
        <f>Depreciation!L8+Depreciation!L9</f>
        <v>36593620.314409196</v>
      </c>
      <c r="M6" s="4">
        <f>Depreciation!M8+Depreciation!M9</f>
        <v>40496720.692068115</v>
      </c>
      <c r="N6" s="4">
        <f>Depreciation!N8+Depreciation!N9</f>
        <v>44612147.62669526</v>
      </c>
      <c r="O6" s="4">
        <f>Depreciation!O8+Depreciation!O9</f>
        <v>48949493.243149862</v>
      </c>
      <c r="P6" s="4">
        <f>Depreciation!P8+Depreciation!P9</f>
        <v>53518746.139887802</v>
      </c>
      <c r="Q6" s="4">
        <f>Depreciation!Q8+Depreciation!Q9</f>
        <v>58330306.940935992</v>
      </c>
      <c r="R6" s="4">
        <f>Depreciation!R8+Depreciation!R9</f>
        <v>63395004.437204048</v>
      </c>
      <c r="S6" s="4">
        <f>Depreciation!S8+Depreciation!S9</f>
        <v>68724112.338925719</v>
      </c>
      <c r="T6" s="4">
        <f>Depreciation!T8+Depreciation!T9</f>
        <v>74329366.66181387</v>
      </c>
      <c r="U6" s="4">
        <f>Depreciation!U8+Depreciation!U9</f>
        <v>80222983.770331815</v>
      </c>
      <c r="V6" s="4">
        <f>Depreciation!V8+Depreciation!V9</f>
        <v>86417679.102333233</v>
      </c>
      <c r="W6" s="4">
        <f>Depreciation!W8+Depreciation!W9</f>
        <v>92926686.600201905</v>
      </c>
      <c r="X6" s="4">
        <f>Depreciation!X8+Depreciation!X9</f>
        <v>99763778.874533355</v>
      </c>
      <c r="Y6" s="4">
        <f>Depreciation!Y8+Depreciation!Y9</f>
        <v>106943288.12734345</v>
      </c>
      <c r="Z6" s="4">
        <f>Depreciation!Z8+Depreciation!Z9</f>
        <v>114480127.86276582</v>
      </c>
      <c r="AA6" s="4">
        <f>Depreciation!AA8+Depreciation!AA9</f>
        <v>122389815.4142129</v>
      </c>
      <c r="AB6" s="4">
        <f>Depreciation!AB8+Depreciation!AB9</f>
        <v>130688495.31802106</v>
      </c>
      <c r="AC6" s="4">
        <f>Depreciation!AC8+Depreciation!AC9</f>
        <v>139392963.56468874</v>
      </c>
      <c r="AD6" s="4">
        <f>Depreciation!AD8+Depreciation!AD9</f>
        <v>148520692.75993761</v>
      </c>
      <c r="AE6" s="4">
        <f>Depreciation!AE8+Depreciation!AE9</f>
        <v>158089858.22899213</v>
      </c>
      <c r="AF6" s="4">
        <f>Depreciation!AF8+Depreciation!AF9</f>
        <v>168119365.09867993</v>
      </c>
      <c r="AG6" s="4"/>
      <c r="AH6" s="4"/>
      <c r="AI6" s="4"/>
      <c r="AJ6" s="4"/>
      <c r="AK6" s="4"/>
      <c r="AL6" s="4"/>
      <c r="AM6" s="4"/>
      <c r="AN6" s="4"/>
      <c r="AO6" s="4"/>
      <c r="AP6" s="4"/>
    </row>
    <row r="7" spans="1:42" x14ac:dyDescent="0.35">
      <c r="A7" t="s">
        <v>23</v>
      </c>
      <c r="C7" s="4">
        <f ca="1">C6+C5</f>
        <v>11933970.85921061</v>
      </c>
      <c r="D7" s="4">
        <f ca="1">D6+D5</f>
        <v>24266629.565662794</v>
      </c>
      <c r="E7" s="4">
        <f t="shared" ref="E7:AF7" ca="1" si="1">E6+E5</f>
        <v>44485923.043462962</v>
      </c>
      <c r="F7" s="4">
        <f t="shared" ca="1" si="1"/>
        <v>62809992.329041854</v>
      </c>
      <c r="G7" s="4">
        <f ca="1">G6+G5</f>
        <v>78587328.238388747</v>
      </c>
      <c r="H7" s="4">
        <f t="shared" ca="1" si="1"/>
        <v>86583498.02083765</v>
      </c>
      <c r="I7" s="4">
        <f t="shared" ca="1" si="1"/>
        <v>95895265.36010088</v>
      </c>
      <c r="J7" s="4">
        <f t="shared" ca="1" si="1"/>
        <v>103675405.14548966</v>
      </c>
      <c r="K7" s="4">
        <f t="shared" ca="1" si="1"/>
        <v>110816667.79622349</v>
      </c>
      <c r="L7" s="4">
        <f t="shared" ca="1" si="1"/>
        <v>118754957.81549142</v>
      </c>
      <c r="M7" s="4">
        <f t="shared" ca="1" si="1"/>
        <v>125669104.16317753</v>
      </c>
      <c r="N7" s="4">
        <f t="shared" ca="1" si="1"/>
        <v>133217998.00295863</v>
      </c>
      <c r="O7" s="4">
        <f t="shared" ca="1" si="1"/>
        <v>140378348.78028044</v>
      </c>
      <c r="P7" s="4">
        <f t="shared" ca="1" si="1"/>
        <v>148122493.07197905</v>
      </c>
      <c r="Q7" s="4">
        <f t="shared" ca="1" si="1"/>
        <v>156502368.09714764</v>
      </c>
      <c r="R7" s="4">
        <f t="shared" ca="1" si="1"/>
        <v>164278132.1795857</v>
      </c>
      <c r="S7" s="4">
        <f t="shared" ca="1" si="1"/>
        <v>172607061.7537595</v>
      </c>
      <c r="T7" s="4">
        <f t="shared" ca="1" si="1"/>
        <v>181534070.84315246</v>
      </c>
      <c r="U7" s="4">
        <f t="shared" ca="1" si="1"/>
        <v>191107513.49404293</v>
      </c>
      <c r="V7" s="4">
        <f t="shared" ca="1" si="1"/>
        <v>201379426.32924634</v>
      </c>
      <c r="W7" s="4">
        <f t="shared" ca="1" si="1"/>
        <v>212405787.11164454</v>
      </c>
      <c r="X7" s="4">
        <f t="shared" ca="1" si="1"/>
        <v>224246790.32513174</v>
      </c>
      <c r="Y7" s="4">
        <f t="shared" ca="1" si="1"/>
        <v>236967140.8419345</v>
      </c>
      <c r="Z7" s="4">
        <f t="shared" ca="1" si="1"/>
        <v>250636366.81023699</v>
      </c>
      <c r="AA7" s="4">
        <f t="shared" ca="1" si="1"/>
        <v>265329152.96487433</v>
      </c>
      <c r="AB7" s="4">
        <f t="shared" ca="1" si="1"/>
        <v>268574936.89019096</v>
      </c>
      <c r="AC7" s="4">
        <f t="shared" ca="1" si="1"/>
        <v>271495668.79195529</v>
      </c>
      <c r="AD7" s="4">
        <f t="shared" ca="1" si="1"/>
        <v>274059189.41031706</v>
      </c>
      <c r="AE7" s="4">
        <f t="shared" ca="1" si="1"/>
        <v>276231345.82276028</v>
      </c>
      <c r="AF7" s="4">
        <f t="shared" ca="1" si="1"/>
        <v>277975887.37195027</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92694175.528943256</v>
      </c>
      <c r="D10" s="9">
        <f>Investment!D25</f>
        <v>97718079.56466186</v>
      </c>
      <c r="E10" s="9">
        <f>Investment!E25</f>
        <v>102968594.6229248</v>
      </c>
      <c r="F10" s="9">
        <f>Investment!F25</f>
        <v>108455079.33144237</v>
      </c>
      <c r="G10" s="9">
        <f>Investment!G25</f>
        <v>114187259.22041121</v>
      </c>
      <c r="H10" s="9">
        <f>Investment!H25</f>
        <v>120175240.62103862</v>
      </c>
      <c r="I10" s="9">
        <f>Investment!I25</f>
        <v>126429525.07786447</v>
      </c>
      <c r="J10" s="9">
        <f>Investment!J25</f>
        <v>132961024.29353131</v>
      </c>
      <c r="K10" s="9">
        <f>Investment!K25</f>
        <v>139781075.62532106</v>
      </c>
      <c r="L10" s="9">
        <f>Investment!L25</f>
        <v>146901458.15346873</v>
      </c>
      <c r="M10" s="9">
        <f>Investment!M25</f>
        <v>154334409.34197754</v>
      </c>
      <c r="N10" s="9">
        <f>Investment!N25</f>
        <v>162092642.31340182</v>
      </c>
      <c r="O10" s="9">
        <f>Investment!O25</f>
        <v>170189363.75983101</v>
      </c>
      <c r="P10" s="9">
        <f>Investment!P25</f>
        <v>178638292.51310274</v>
      </c>
      <c r="Q10" s="9">
        <f>Investment!Q25</f>
        <v>187453678.7980938</v>
      </c>
      <c r="R10" s="9">
        <f>Investment!R25</f>
        <v>196650324.19379091</v>
      </c>
      <c r="S10" s="9">
        <f>Investment!S25</f>
        <v>206243602.32772338</v>
      </c>
      <c r="T10" s="9">
        <f>Investment!T25</f>
        <v>216249480.33025306</v>
      </c>
      <c r="U10" s="9">
        <f>Investment!U25</f>
        <v>226684541.07616103</v>
      </c>
      <c r="V10" s="9">
        <f>Investment!V25</f>
        <v>237566006.24194902</v>
      </c>
      <c r="W10" s="9">
        <f>Investment!W25</f>
        <v>248911760.20828539</v>
      </c>
      <c r="X10" s="9">
        <f>Investment!X25</f>
        <v>260740374.83807549</v>
      </c>
      <c r="Y10" s="9">
        <f>Investment!Y25</f>
        <v>273071135.1617189</v>
      </c>
      <c r="Z10" s="9">
        <f>Investment!Z25</f>
        <v>285924066.00224131</v>
      </c>
      <c r="AA10" s="9">
        <f>Investment!AA25</f>
        <v>299319959.57415164</v>
      </c>
      <c r="AB10" s="9">
        <f>Investment!AB25</f>
        <v>313280404.0910778</v>
      </c>
      <c r="AC10" s="9">
        <f>Investment!AC25</f>
        <v>327827813.41848332</v>
      </c>
      <c r="AD10" s="9">
        <f>Investment!AD25</f>
        <v>342985457.8090536</v>
      </c>
      <c r="AE10" s="9">
        <f>Investment!AE25</f>
        <v>358777495.75967979</v>
      </c>
      <c r="AF10" s="9">
        <f>Investment!AF25</f>
        <v>375229007.03034961</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-80760204.669732645</v>
      </c>
      <c r="D12" s="1">
        <f t="shared" ref="D12:AF12" ca="1" si="2">D7-D9-D10</f>
        <v>-73451449.998999059</v>
      </c>
      <c r="E12" s="1">
        <f ca="1">E7-E9-E10</f>
        <v>-58482671.579461843</v>
      </c>
      <c r="F12" s="1">
        <f t="shared" ca="1" si="2"/>
        <v>-45645087.002400517</v>
      </c>
      <c r="G12" s="1">
        <f ca="1">G7-G9-G10</f>
        <v>-35599930.982022464</v>
      </c>
      <c r="H12" s="1">
        <f t="shared" ca="1" si="2"/>
        <v>-33591742.600200966</v>
      </c>
      <c r="I12" s="1">
        <f t="shared" ca="1" si="2"/>
        <v>-30534259.717763588</v>
      </c>
      <c r="J12" s="1">
        <f t="shared" ca="1" si="2"/>
        <v>-29285619.148041651</v>
      </c>
      <c r="K12" s="1">
        <f t="shared" ca="1" si="2"/>
        <v>-28964407.829097569</v>
      </c>
      <c r="L12" s="1">
        <f t="shared" ca="1" si="2"/>
        <v>-28146500.337977305</v>
      </c>
      <c r="M12" s="1">
        <f t="shared" ca="1" si="2"/>
        <v>-28665305.178800002</v>
      </c>
      <c r="N12" s="1">
        <f t="shared" ca="1" si="2"/>
        <v>-28874644.310443193</v>
      </c>
      <c r="O12" s="1">
        <f t="shared" ca="1" si="2"/>
        <v>-29811014.97955057</v>
      </c>
      <c r="P12" s="1">
        <f t="shared" ca="1" si="2"/>
        <v>-30515799.441123694</v>
      </c>
      <c r="Q12" s="1">
        <f t="shared" ca="1" si="2"/>
        <v>-30951310.700946152</v>
      </c>
      <c r="R12" s="1">
        <f t="shared" ca="1" si="2"/>
        <v>-32372192.014205217</v>
      </c>
      <c r="S12" s="1">
        <f t="shared" ca="1" si="2"/>
        <v>-33636540.573963881</v>
      </c>
      <c r="T12" s="1">
        <f t="shared" ca="1" si="2"/>
        <v>-34715409.487100601</v>
      </c>
      <c r="U12" s="1">
        <f t="shared" ca="1" si="2"/>
        <v>-35577027.582118094</v>
      </c>
      <c r="V12" s="1">
        <f t="shared" ca="1" si="2"/>
        <v>-36186579.91270268</v>
      </c>
      <c r="W12" s="1">
        <f t="shared" ca="1" si="2"/>
        <v>-36505973.096640855</v>
      </c>
      <c r="X12" s="1">
        <f t="shared" ca="1" si="2"/>
        <v>-36493584.512943745</v>
      </c>
      <c r="Y12" s="1">
        <f t="shared" ca="1" si="2"/>
        <v>-36103994.319784403</v>
      </c>
      <c r="Z12" s="1">
        <f t="shared" ca="1" si="2"/>
        <v>-35287699.192004323</v>
      </c>
      <c r="AA12" s="1">
        <f t="shared" ca="1" si="2"/>
        <v>-33990806.609277308</v>
      </c>
      <c r="AB12" s="1">
        <f t="shared" ca="1" si="2"/>
        <v>-44705467.200886846</v>
      </c>
      <c r="AC12" s="1">
        <f t="shared" ca="1" si="2"/>
        <v>-56332144.626528025</v>
      </c>
      <c r="AD12" s="1">
        <f t="shared" ca="1" si="2"/>
        <v>-68926268.398736537</v>
      </c>
      <c r="AE12" s="1">
        <f t="shared" ca="1" si="2"/>
        <v>-82546149.93691951</v>
      </c>
      <c r="AF12" s="1">
        <f t="shared" ca="1" si="2"/>
        <v>-97253119.658399343</v>
      </c>
      <c r="AG12" s="1"/>
      <c r="AH12" s="1"/>
      <c r="AI12" s="1"/>
      <c r="AJ12" s="1"/>
      <c r="AK12" s="1"/>
      <c r="AL12" s="1"/>
      <c r="AM12" s="1"/>
      <c r="AN12" s="1"/>
      <c r="AO12" s="1"/>
      <c r="AP12" s="1"/>
    </row>
    <row r="13" spans="1:42" x14ac:dyDescent="0.35">
      <c r="A13" t="s">
        <v>19</v>
      </c>
      <c r="C13" s="1">
        <f ca="1">C12</f>
        <v>-80760204.669732645</v>
      </c>
      <c r="D13" s="1">
        <f ca="1">D12</f>
        <v>-73451449.998999059</v>
      </c>
      <c r="E13" s="1">
        <f ca="1">E12</f>
        <v>-58482671.579461843</v>
      </c>
      <c r="F13" s="1">
        <f t="shared" ref="F13:AF13" ca="1" si="3">F12</f>
        <v>-45645087.002400517</v>
      </c>
      <c r="G13" s="1">
        <f ca="1">G12</f>
        <v>-35599930.982022464</v>
      </c>
      <c r="H13" s="1">
        <f t="shared" ca="1" si="3"/>
        <v>-33591742.600200966</v>
      </c>
      <c r="I13" s="1">
        <f t="shared" ca="1" si="3"/>
        <v>-30534259.717763588</v>
      </c>
      <c r="J13" s="1">
        <f t="shared" ca="1" si="3"/>
        <v>-29285619.148041651</v>
      </c>
      <c r="K13" s="1">
        <f t="shared" ca="1" si="3"/>
        <v>-28964407.829097569</v>
      </c>
      <c r="L13" s="1">
        <f t="shared" ca="1" si="3"/>
        <v>-28146500.337977305</v>
      </c>
      <c r="M13" s="1">
        <f t="shared" ca="1" si="3"/>
        <v>-28665305.178800002</v>
      </c>
      <c r="N13" s="1">
        <f t="shared" ca="1" si="3"/>
        <v>-28874644.310443193</v>
      </c>
      <c r="O13" s="1">
        <f t="shared" ca="1" si="3"/>
        <v>-29811014.97955057</v>
      </c>
      <c r="P13" s="1">
        <f t="shared" ca="1" si="3"/>
        <v>-30515799.441123694</v>
      </c>
      <c r="Q13" s="1">
        <f t="shared" ca="1" si="3"/>
        <v>-30951310.700946152</v>
      </c>
      <c r="R13" s="1">
        <f t="shared" ca="1" si="3"/>
        <v>-32372192.014205217</v>
      </c>
      <c r="S13" s="1">
        <f t="shared" ca="1" si="3"/>
        <v>-33636540.573963881</v>
      </c>
      <c r="T13" s="1">
        <f t="shared" ca="1" si="3"/>
        <v>-34715409.487100601</v>
      </c>
      <c r="U13" s="1">
        <f t="shared" ca="1" si="3"/>
        <v>-35577027.582118094</v>
      </c>
      <c r="V13" s="1">
        <f t="shared" ca="1" si="3"/>
        <v>-36186579.91270268</v>
      </c>
      <c r="W13" s="1">
        <f t="shared" ca="1" si="3"/>
        <v>-36505973.096640855</v>
      </c>
      <c r="X13" s="1">
        <f t="shared" ca="1" si="3"/>
        <v>-36493584.512943745</v>
      </c>
      <c r="Y13" s="1">
        <f t="shared" ca="1" si="3"/>
        <v>-36103994.319784403</v>
      </c>
      <c r="Z13" s="1">
        <f t="shared" ca="1" si="3"/>
        <v>-35287699.192004323</v>
      </c>
      <c r="AA13" s="1">
        <f t="shared" ca="1" si="3"/>
        <v>-33990806.609277308</v>
      </c>
      <c r="AB13" s="1">
        <f t="shared" ca="1" si="3"/>
        <v>-44705467.200886846</v>
      </c>
      <c r="AC13" s="1">
        <f t="shared" ca="1" si="3"/>
        <v>-56332144.626528025</v>
      </c>
      <c r="AD13" s="1">
        <f t="shared" ca="1" si="3"/>
        <v>-68926268.398736537</v>
      </c>
      <c r="AE13" s="1">
        <f t="shared" ca="1" si="3"/>
        <v>-82546149.93691951</v>
      </c>
      <c r="AF13" s="1">
        <f t="shared" ca="1" si="3"/>
        <v>-97253119.658399343</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137</v>
      </c>
      <c r="C6" s="9">
        <f>Assumptions!C17</f>
        <v>525302925.27200919</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262651462.6360046</v>
      </c>
      <c r="D7" s="9">
        <f>C12</f>
        <v>272267052.13489223</v>
      </c>
      <c r="E7" s="9">
        <f>D12</f>
        <v>284248030.91653669</v>
      </c>
      <c r="F7" s="9">
        <f t="shared" ref="F7:H7" si="1">E12</f>
        <v>298735937.53138757</v>
      </c>
      <c r="G7" s="9">
        <f t="shared" si="1"/>
        <v>315878946.83849758</v>
      </c>
      <c r="H7" s="9">
        <f t="shared" si="1"/>
        <v>335832149.79379779</v>
      </c>
      <c r="I7" s="9">
        <f t="shared" ref="I7" si="2">H12</f>
        <v>358757844.34924191</v>
      </c>
      <c r="J7" s="9">
        <f t="shared" ref="J7" si="3">I12</f>
        <v>384825837.88741291</v>
      </c>
      <c r="K7" s="9">
        <f t="shared" ref="K7" si="4">J12</f>
        <v>414213761.63198048</v>
      </c>
      <c r="L7" s="9">
        <f t="shared" ref="L7" si="5">K12</f>
        <v>447107397.490771</v>
      </c>
      <c r="M7" s="9">
        <f t="shared" ref="M7" si="6">L12</f>
        <v>483701017.80518019</v>
      </c>
      <c r="N7" s="9">
        <f t="shared" ref="N7" si="7">M12</f>
        <v>524197738.49724835</v>
      </c>
      <c r="O7" s="9">
        <f t="shared" ref="O7" si="8">N12</f>
        <v>568809886.12394357</v>
      </c>
      <c r="P7" s="9">
        <f t="shared" ref="P7" si="9">O12</f>
        <v>617759379.36709344</v>
      </c>
      <c r="Q7" s="9">
        <f t="shared" ref="Q7" si="10">P12</f>
        <v>671278125.50698125</v>
      </c>
      <c r="R7" s="9">
        <f t="shared" ref="R7" si="11">Q12</f>
        <v>729608432.44791722</v>
      </c>
      <c r="S7" s="9">
        <f t="shared" ref="S7" si="12">R12</f>
        <v>793003436.88512135</v>
      </c>
      <c r="T7" s="9">
        <f t="shared" ref="T7" si="13">S12</f>
        <v>861727549.22404706</v>
      </c>
      <c r="U7" s="9">
        <f t="shared" ref="U7" si="14">T12</f>
        <v>936056915.88586104</v>
      </c>
      <c r="V7" s="9">
        <f t="shared" ref="V7" si="15">U12</f>
        <v>1016279899.6561929</v>
      </c>
      <c r="W7" s="9">
        <f t="shared" ref="W7" si="16">V12</f>
        <v>1102697578.7585261</v>
      </c>
      <c r="X7" s="9">
        <f t="shared" ref="X7" si="17">W12</f>
        <v>1195624265.3587279</v>
      </c>
      <c r="Y7" s="9">
        <f t="shared" ref="Y7" si="18">X12</f>
        <v>1295388044.2332613</v>
      </c>
      <c r="Z7" s="9">
        <f t="shared" ref="Z7" si="19">Y12</f>
        <v>1402331332.3606048</v>
      </c>
      <c r="AA7" s="9">
        <f t="shared" ref="AA7" si="20">Z12</f>
        <v>1516811460.2233706</v>
      </c>
      <c r="AB7" s="9">
        <f t="shared" ref="AB7" si="21">AA12</f>
        <v>1639201275.6375835</v>
      </c>
      <c r="AC7" s="9">
        <f t="shared" ref="AC7" si="22">AB12</f>
        <v>1769889770.9556046</v>
      </c>
      <c r="AD7" s="9">
        <f t="shared" ref="AD7" si="23">AC12</f>
        <v>1909282734.5202932</v>
      </c>
      <c r="AE7" s="9">
        <f t="shared" ref="AE7" si="24">AD12</f>
        <v>2057803427.2802308</v>
      </c>
      <c r="AF7" s="9">
        <f t="shared" ref="AF7" si="25">AE12</f>
        <v>2215893285.509223</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138</v>
      </c>
      <c r="C8" s="9">
        <f>Assumptions!D111*Assumptions!D11</f>
        <v>7621703.4341663038</v>
      </c>
      <c r="D8" s="9">
        <f>Assumptions!E111*Assumptions!E11</f>
        <v>7865597.9440596243</v>
      </c>
      <c r="E8" s="9">
        <f>Assumptions!F111*Assumptions!F11</f>
        <v>8117297.078269532</v>
      </c>
      <c r="F8" s="9">
        <f>Assumptions!G111*Assumptions!G11</f>
        <v>8377050.584774157</v>
      </c>
      <c r="G8" s="9">
        <f>Assumptions!H111*Assumptions!H11</f>
        <v>8645116.2034869306</v>
      </c>
      <c r="H8" s="9">
        <f>Assumptions!I111*Assumptions!I11</f>
        <v>8921759.921998512</v>
      </c>
      <c r="I8" s="9">
        <f>Assumptions!J111*Assumptions!J11</f>
        <v>9207256.2395024635</v>
      </c>
      <c r="J8" s="9">
        <f>Assumptions!K111*Assumptions!K11</f>
        <v>9501888.439166544</v>
      </c>
      <c r="K8" s="9">
        <f>Assumptions!L111*Assumptions!L11</f>
        <v>9805948.8692198731</v>
      </c>
      <c r="L8" s="9">
        <f>Assumptions!M111*Assumptions!M11</f>
        <v>10119739.233034909</v>
      </c>
      <c r="M8" s="9">
        <f>Assumptions!N111*Assumptions!N11</f>
        <v>10443570.888492025</v>
      </c>
      <c r="N8" s="9">
        <f>Assumptions!O111*Assumptions!O11</f>
        <v>10777765.156923771</v>
      </c>
      <c r="O8" s="9">
        <f>Assumptions!P111*Assumptions!P11</f>
        <v>11122653.641945332</v>
      </c>
      <c r="P8" s="9">
        <f>Assumptions!Q111*Assumptions!Q11</f>
        <v>11478578.558487581</v>
      </c>
      <c r="Q8" s="9">
        <f>Assumptions!R111*Assumptions!R11</f>
        <v>11845893.072359182</v>
      </c>
      <c r="R8" s="9">
        <f>Assumptions!S111*Assumptions!S11</f>
        <v>12224961.650674678</v>
      </c>
      <c r="S8" s="9">
        <f>Assumptions!T111*Assumptions!T11</f>
        <v>12616160.423496269</v>
      </c>
      <c r="T8" s="9">
        <f>Assumptions!U111*Assumptions!U11</f>
        <v>13019877.557048148</v>
      </c>
      <c r="U8" s="9">
        <f>Assumptions!V111*Assumptions!V11</f>
        <v>13436513.638873687</v>
      </c>
      <c r="V8" s="9">
        <f>Assumptions!W111*Assumptions!W11</f>
        <v>13866482.075317647</v>
      </c>
      <c r="W8" s="9">
        <f>Assumptions!X111*Assumptions!X11</f>
        <v>14310209.501727812</v>
      </c>
      <c r="X8" s="9">
        <f>Assumptions!Y111*Assumptions!Y11</f>
        <v>14768136.205783101</v>
      </c>
      <c r="Y8" s="9">
        <f>Assumptions!Z111*Assumptions!Z11</f>
        <v>15240716.564368157</v>
      </c>
      <c r="Z8" s="9">
        <f>Assumptions!AA111*Assumptions!AA11</f>
        <v>15728419.49442794</v>
      </c>
      <c r="AA8" s="9">
        <f>Assumptions!AB111*Assumptions!AB11</f>
        <v>16231728.918249637</v>
      </c>
      <c r="AB8" s="9">
        <f>Assumptions!AC111*Assumptions!AC11</f>
        <v>16751144.243633622</v>
      </c>
      <c r="AC8" s="9">
        <f>Assumptions!AD111*Assumptions!AD11</f>
        <v>17287180.859429896</v>
      </c>
      <c r="AD8" s="9">
        <f>Assumptions!AE111*Assumptions!AE11</f>
        <v>17840370.646931656</v>
      </c>
      <c r="AE8" s="9">
        <f>Assumptions!AF111*Assumptions!AF11</f>
        <v>18411262.50763347</v>
      </c>
      <c r="AF8" s="9">
        <f>Assumptions!AG111*Assumptions!AG11</f>
        <v>19000422.907877736</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1993886.064721335</v>
      </c>
      <c r="D9" s="9">
        <f>Assumptions!E120*Assumptions!E11</f>
        <v>4115380.8375848355</v>
      </c>
      <c r="E9" s="9">
        <f>Assumptions!F120*Assumptions!F11</f>
        <v>6370609.5365813244</v>
      </c>
      <c r="F9" s="9">
        <f>Assumptions!G120*Assumptions!G11</f>
        <v>8765958.722335903</v>
      </c>
      <c r="G9" s="9">
        <f>Assumptions!H120*Assumptions!H11</f>
        <v>11308086.751813315</v>
      </c>
      <c r="H9" s="9">
        <f>Assumptions!I120*Assumptions!I11</f>
        <v>14003934.633445607</v>
      </c>
      <c r="I9" s="9">
        <f>Assumptions!J120*Assumptions!J11</f>
        <v>16860737.298668511</v>
      </c>
      <c r="J9" s="9">
        <f>Assumptions!K120*Assumptions!K11</f>
        <v>19886035.305401038</v>
      </c>
      <c r="K9" s="9">
        <f>Assumptions!L120*Assumptions!L11</f>
        <v>23087686.989570606</v>
      </c>
      <c r="L9" s="9">
        <f>Assumptions!M120*Assumptions!M11</f>
        <v>26473881.081374291</v>
      </c>
      <c r="M9" s="9">
        <f>Assumptions!N120*Assumptions!N11</f>
        <v>30053149.803576093</v>
      </c>
      <c r="N9" s="9">
        <f>Assumptions!O120*Assumptions!O11</f>
        <v>33834382.46977149</v>
      </c>
      <c r="O9" s="9">
        <f>Assumptions!P120*Assumptions!P11</f>
        <v>37826839.601204529</v>
      </c>
      <c r="P9" s="9">
        <f>Assumptions!Q120*Assumptions!Q11</f>
        <v>42040167.581400223</v>
      </c>
      <c r="Q9" s="9">
        <f>Assumptions!R120*Assumptions!R11</f>
        <v>46484413.86857681</v>
      </c>
      <c r="R9" s="9">
        <f>Assumptions!S120*Assumptions!S11</f>
        <v>51170042.78652937</v>
      </c>
      <c r="S9" s="9">
        <f>Assumptions!T120*Assumptions!T11</f>
        <v>56107951.915429458</v>
      </c>
      <c r="T9" s="9">
        <f>Assumptions!U120*Assumptions!U11</f>
        <v>61309489.104765728</v>
      </c>
      <c r="U9" s="9">
        <f>Assumptions!V120*Assumptions!V11</f>
        <v>66786470.131458126</v>
      </c>
      <c r="V9" s="9">
        <f>Assumptions!W120*Assumptions!W11</f>
        <v>72551197.027015582</v>
      </c>
      <c r="W9" s="9">
        <f>Assumptions!X120*Assumptions!X11</f>
        <v>78616477.0984741</v>
      </c>
      <c r="X9" s="9">
        <f>Assumptions!Y120*Assumptions!Y11</f>
        <v>84995642.668750256</v>
      </c>
      <c r="Y9" s="9">
        <f>Assumptions!Z120*Assumptions!Z11</f>
        <v>91702571.562975287</v>
      </c>
      <c r="Z9" s="9">
        <f>Assumptions!AA120*Assumptions!AA11</f>
        <v>98751708.368337885</v>
      </c>
      <c r="AA9" s="9">
        <f>Assumptions!AB120*Assumptions!AB11</f>
        <v>106158086.49596326</v>
      </c>
      <c r="AB9" s="9">
        <f>Assumptions!AC120*Assumptions!AC11</f>
        <v>113937351.07438743</v>
      </c>
      <c r="AC9" s="9">
        <f>Assumptions!AD120*Assumptions!AD11</f>
        <v>122105782.70525886</v>
      </c>
      <c r="AD9" s="9">
        <f>Assumptions!AE120*Assumptions!AE11</f>
        <v>130680322.11300597</v>
      </c>
      <c r="AE9" s="9">
        <f>Assumptions!AF120*Assumptions!AF11</f>
        <v>139678595.72135866</v>
      </c>
      <c r="AF9" s="9">
        <f>Assumptions!AG120*Assumptions!AG11</f>
        <v>149118942.19080219</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9615589.4988876395</v>
      </c>
      <c r="D10" s="9">
        <f>SUM($C$8:D9)</f>
        <v>21596568.280532099</v>
      </c>
      <c r="E10" s="9">
        <f>SUM($C$8:E9)</f>
        <v>36084474.895382956</v>
      </c>
      <c r="F10" s="9">
        <f>SUM($C$8:F9)</f>
        <v>53227484.202493019</v>
      </c>
      <c r="G10" s="9">
        <f>SUM($C$8:G9)</f>
        <v>73180687.157793269</v>
      </c>
      <c r="H10" s="9">
        <f>SUM($C$8:H9)</f>
        <v>96106381.71323739</v>
      </c>
      <c r="I10" s="9">
        <f>SUM($C$8:I9)</f>
        <v>122174375.25140837</v>
      </c>
      <c r="J10" s="9">
        <f>SUM($C$8:J9)</f>
        <v>151562298.99597594</v>
      </c>
      <c r="K10" s="9">
        <f>SUM($C$8:K9)</f>
        <v>184455934.85476643</v>
      </c>
      <c r="L10" s="9">
        <f>SUM($C$8:L9)</f>
        <v>221049555.16917562</v>
      </c>
      <c r="M10" s="9">
        <f>SUM($C$8:M9)</f>
        <v>261546275.86124372</v>
      </c>
      <c r="N10" s="9">
        <f>SUM($C$8:N9)</f>
        <v>306158423.487939</v>
      </c>
      <c r="O10" s="9">
        <f>SUM($C$8:O9)</f>
        <v>355107916.73108888</v>
      </c>
      <c r="P10" s="9">
        <f>SUM($C$8:P9)</f>
        <v>408626662.87097669</v>
      </c>
      <c r="Q10" s="9">
        <f>SUM($C$8:Q9)</f>
        <v>466956969.81191272</v>
      </c>
      <c r="R10" s="9">
        <f>SUM($C$8:R9)</f>
        <v>530351974.24911678</v>
      </c>
      <c r="S10" s="9">
        <f>SUM($C$8:S9)</f>
        <v>599076086.5880425</v>
      </c>
      <c r="T10" s="9">
        <f>SUM($C$8:T9)</f>
        <v>673405453.24985647</v>
      </c>
      <c r="U10" s="9">
        <f>SUM($C$8:U9)</f>
        <v>753628437.02018833</v>
      </c>
      <c r="V10" s="9">
        <f>SUM($C$8:V9)</f>
        <v>840046116.12252152</v>
      </c>
      <c r="W10" s="9">
        <f>SUM($C$8:W9)</f>
        <v>932972802.72272348</v>
      </c>
      <c r="X10" s="9">
        <f>SUM($C$8:X9)</f>
        <v>1032736581.5972569</v>
      </c>
      <c r="Y10" s="9">
        <f>SUM($C$8:Y9)</f>
        <v>1139679869.7246003</v>
      </c>
      <c r="Z10" s="9">
        <f>SUM($C$8:Z9)</f>
        <v>1254159997.5873661</v>
      </c>
      <c r="AA10" s="9">
        <f>SUM($C$8:AA9)</f>
        <v>1376549813.0015788</v>
      </c>
      <c r="AB10" s="9">
        <f>SUM($C$8:AB9)</f>
        <v>1507238308.3196001</v>
      </c>
      <c r="AC10" s="9">
        <f>SUM($C$8:AC9)</f>
        <v>1646631271.8842888</v>
      </c>
      <c r="AD10" s="9">
        <f>SUM($C$8:AD9)</f>
        <v>1795151964.6442263</v>
      </c>
      <c r="AE10" s="9">
        <f>SUM($C$8:AE9)</f>
        <v>1953241822.8732185</v>
      </c>
      <c r="AF10" s="9">
        <f>SUM($C$8:AF9)</f>
        <v>2121361187.9718981</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272267052.13489223</v>
      </c>
      <c r="D12" s="9">
        <f>D7+D8+D9</f>
        <v>284248030.91653669</v>
      </c>
      <c r="E12" s="9">
        <f>E7+E8+E9</f>
        <v>298735937.53138757</v>
      </c>
      <c r="F12" s="9">
        <f t="shared" ref="F12:H12" si="26">F7+F8+F9</f>
        <v>315878946.83849758</v>
      </c>
      <c r="G12" s="9">
        <f t="shared" si="26"/>
        <v>335832149.79379779</v>
      </c>
      <c r="H12" s="9">
        <f t="shared" si="26"/>
        <v>358757844.34924191</v>
      </c>
      <c r="I12" s="9">
        <f t="shared" ref="I12:AF12" si="27">I7+I8+I9</f>
        <v>384825837.88741291</v>
      </c>
      <c r="J12" s="9">
        <f t="shared" si="27"/>
        <v>414213761.63198048</v>
      </c>
      <c r="K12" s="9">
        <f t="shared" si="27"/>
        <v>447107397.490771</v>
      </c>
      <c r="L12" s="9">
        <f t="shared" si="27"/>
        <v>483701017.80518019</v>
      </c>
      <c r="M12" s="9">
        <f t="shared" si="27"/>
        <v>524197738.49724835</v>
      </c>
      <c r="N12" s="9">
        <f t="shared" si="27"/>
        <v>568809886.12394357</v>
      </c>
      <c r="O12" s="9">
        <f t="shared" si="27"/>
        <v>617759379.36709344</v>
      </c>
      <c r="P12" s="9">
        <f t="shared" si="27"/>
        <v>671278125.50698125</v>
      </c>
      <c r="Q12" s="9">
        <f t="shared" si="27"/>
        <v>729608432.44791722</v>
      </c>
      <c r="R12" s="9">
        <f t="shared" si="27"/>
        <v>793003436.88512135</v>
      </c>
      <c r="S12" s="9">
        <f t="shared" si="27"/>
        <v>861727549.22404706</v>
      </c>
      <c r="T12" s="9">
        <f t="shared" si="27"/>
        <v>936056915.88586104</v>
      </c>
      <c r="U12" s="9">
        <f t="shared" si="27"/>
        <v>1016279899.6561929</v>
      </c>
      <c r="V12" s="9">
        <f t="shared" si="27"/>
        <v>1102697578.7585261</v>
      </c>
      <c r="W12" s="9">
        <f t="shared" si="27"/>
        <v>1195624265.3587279</v>
      </c>
      <c r="X12" s="9">
        <f t="shared" si="27"/>
        <v>1295388044.2332613</v>
      </c>
      <c r="Y12" s="9">
        <f t="shared" si="27"/>
        <v>1402331332.3606048</v>
      </c>
      <c r="Z12" s="9">
        <f t="shared" si="27"/>
        <v>1516811460.2233706</v>
      </c>
      <c r="AA12" s="9">
        <f t="shared" si="27"/>
        <v>1639201275.6375835</v>
      </c>
      <c r="AB12" s="9">
        <f t="shared" si="27"/>
        <v>1769889770.9556046</v>
      </c>
      <c r="AC12" s="9">
        <f t="shared" si="27"/>
        <v>1909282734.5202932</v>
      </c>
      <c r="AD12" s="9">
        <f t="shared" si="27"/>
        <v>2057803427.2802308</v>
      </c>
      <c r="AE12" s="9">
        <f t="shared" si="27"/>
        <v>2215893285.509223</v>
      </c>
      <c r="AF12" s="9">
        <f t="shared" si="27"/>
        <v>2384012650.607903</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92694175.528943256</v>
      </c>
      <c r="D18" s="9">
        <f>Investment!D25</f>
        <v>97718079.56466186</v>
      </c>
      <c r="E18" s="9">
        <f>Investment!E25</f>
        <v>102968594.6229248</v>
      </c>
      <c r="F18" s="9">
        <f>Investment!F25</f>
        <v>108455079.33144237</v>
      </c>
      <c r="G18" s="9">
        <f>Investment!G25</f>
        <v>114187259.22041121</v>
      </c>
      <c r="H18" s="9">
        <f>Investment!H25</f>
        <v>120175240.62103862</v>
      </c>
      <c r="I18" s="9">
        <f>Investment!I25</f>
        <v>126429525.07786447</v>
      </c>
      <c r="J18" s="9">
        <f>Investment!J25</f>
        <v>132961024.29353131</v>
      </c>
      <c r="K18" s="9">
        <f>Investment!K25</f>
        <v>139781075.62532106</v>
      </c>
      <c r="L18" s="9">
        <f>Investment!L25</f>
        <v>146901458.15346873</v>
      </c>
      <c r="M18" s="9">
        <f>Investment!M25</f>
        <v>154334409.34197754</v>
      </c>
      <c r="N18" s="9">
        <f>Investment!N25</f>
        <v>162092642.31340182</v>
      </c>
      <c r="O18" s="9">
        <f>Investment!O25</f>
        <v>170189363.75983101</v>
      </c>
      <c r="P18" s="9">
        <f>Investment!P25</f>
        <v>178638292.51310274</v>
      </c>
      <c r="Q18" s="9">
        <f>Investment!Q25</f>
        <v>187453678.7980938</v>
      </c>
      <c r="R18" s="9">
        <f>Investment!R25</f>
        <v>196650324.19379091</v>
      </c>
      <c r="S18" s="9">
        <f>Investment!S25</f>
        <v>206243602.32772338</v>
      </c>
      <c r="T18" s="9">
        <f>Investment!T25</f>
        <v>216249480.33025306</v>
      </c>
      <c r="U18" s="9">
        <f>Investment!U25</f>
        <v>226684541.07616103</v>
      </c>
      <c r="V18" s="9">
        <f>Investment!V25</f>
        <v>237566006.24194902</v>
      </c>
      <c r="W18" s="9">
        <f>Investment!W25</f>
        <v>248911760.20828539</v>
      </c>
      <c r="X18" s="9">
        <f>Investment!X25</f>
        <v>260740374.83807549</v>
      </c>
      <c r="Y18" s="9">
        <f>Investment!Y25</f>
        <v>273071135.1617189</v>
      </c>
      <c r="Z18" s="9">
        <f>Investment!Z25</f>
        <v>285924066.00224131</v>
      </c>
      <c r="AA18" s="9">
        <f>Investment!AA25</f>
        <v>299319959.57415164</v>
      </c>
      <c r="AB18" s="9">
        <f>Investment!AB25</f>
        <v>313280404.0910778</v>
      </c>
      <c r="AC18" s="9">
        <f>Investment!AC25</f>
        <v>327827813.41848332</v>
      </c>
      <c r="AD18" s="9">
        <f>Investment!AD25</f>
        <v>342985457.8090536</v>
      </c>
      <c r="AE18" s="9">
        <f>Investment!AE25</f>
        <v>358777495.75967979</v>
      </c>
      <c r="AF18" s="9">
        <f>Investment!AF25</f>
        <v>375229007.03034961</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355345638.16494787</v>
      </c>
      <c r="D19" s="9">
        <f>D18+C20</f>
        <v>443448128.23072207</v>
      </c>
      <c r="E19" s="9">
        <f>E18+D20</f>
        <v>534435744.07200241</v>
      </c>
      <c r="F19" s="9">
        <f t="shared" ref="F19:AF19" si="28">F18+E20</f>
        <v>628402916.78859389</v>
      </c>
      <c r="G19" s="9">
        <f t="shared" si="28"/>
        <v>725447166.701895</v>
      </c>
      <c r="H19" s="9">
        <f t="shared" si="28"/>
        <v>825669204.36763334</v>
      </c>
      <c r="I19" s="9">
        <f t="shared" si="28"/>
        <v>929173034.89005375</v>
      </c>
      <c r="J19" s="9">
        <f t="shared" si="28"/>
        <v>1036066065.6454141</v>
      </c>
      <c r="K19" s="9">
        <f t="shared" si="28"/>
        <v>1146459217.5261676</v>
      </c>
      <c r="L19" s="9">
        <f t="shared" si="28"/>
        <v>1260467039.8208461</v>
      </c>
      <c r="M19" s="9">
        <f t="shared" si="28"/>
        <v>1378207828.8484144</v>
      </c>
      <c r="N19" s="9">
        <f t="shared" si="28"/>
        <v>1499803750.469748</v>
      </c>
      <c r="O19" s="9">
        <f t="shared" si="28"/>
        <v>1625380966.6028838</v>
      </c>
      <c r="P19" s="9">
        <f t="shared" si="28"/>
        <v>1755069765.8728366</v>
      </c>
      <c r="Q19" s="9">
        <f t="shared" si="28"/>
        <v>1889004698.5310426</v>
      </c>
      <c r="R19" s="9">
        <f t="shared" si="28"/>
        <v>2027324715.7838976</v>
      </c>
      <c r="S19" s="9">
        <f t="shared" si="28"/>
        <v>2170173313.674417</v>
      </c>
      <c r="T19" s="9">
        <f t="shared" si="28"/>
        <v>2317698681.6657443</v>
      </c>
      <c r="U19" s="9">
        <f t="shared" si="28"/>
        <v>2470053856.080091</v>
      </c>
      <c r="V19" s="9">
        <f t="shared" si="28"/>
        <v>2627396878.5517082</v>
      </c>
      <c r="W19" s="9">
        <f t="shared" si="28"/>
        <v>2789890959.65766</v>
      </c>
      <c r="X19" s="9">
        <f t="shared" si="28"/>
        <v>2957704647.895534</v>
      </c>
      <c r="Y19" s="9">
        <f t="shared" si="28"/>
        <v>3131012004.1827197</v>
      </c>
      <c r="Z19" s="9">
        <f t="shared" si="28"/>
        <v>3309992782.0576172</v>
      </c>
      <c r="AA19" s="9">
        <f t="shared" si="28"/>
        <v>3494832613.7690024</v>
      </c>
      <c r="AB19" s="9">
        <f t="shared" si="28"/>
        <v>3685723202.4458675</v>
      </c>
      <c r="AC19" s="9">
        <f t="shared" si="28"/>
        <v>3882862520.5463295</v>
      </c>
      <c r="AD19" s="9">
        <f t="shared" si="28"/>
        <v>4086455014.7906942</v>
      </c>
      <c r="AE19" s="9">
        <f t="shared" si="28"/>
        <v>4296711817.7904358</v>
      </c>
      <c r="AF19" s="9">
        <f t="shared" si="28"/>
        <v>4513850966.5917931</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345730048.66606021</v>
      </c>
      <c r="D20" s="9">
        <f>D19-D8-D9</f>
        <v>431467149.44907761</v>
      </c>
      <c r="E20" s="9">
        <f t="shared" ref="E20:AF20" si="29">E19-E8-E9</f>
        <v>519947837.45715153</v>
      </c>
      <c r="F20" s="9">
        <f t="shared" si="29"/>
        <v>611259907.48148382</v>
      </c>
      <c r="G20" s="9">
        <f t="shared" si="29"/>
        <v>705493963.74659479</v>
      </c>
      <c r="H20" s="9">
        <f t="shared" si="29"/>
        <v>802743509.81218922</v>
      </c>
      <c r="I20" s="9">
        <f t="shared" si="29"/>
        <v>903105041.35188282</v>
      </c>
      <c r="J20" s="9">
        <f t="shared" si="29"/>
        <v>1006678141.9008465</v>
      </c>
      <c r="K20" s="9">
        <f t="shared" si="29"/>
        <v>1113565581.6673772</v>
      </c>
      <c r="L20" s="9">
        <f t="shared" si="29"/>
        <v>1223873419.5064368</v>
      </c>
      <c r="M20" s="9">
        <f t="shared" si="29"/>
        <v>1337711108.1563463</v>
      </c>
      <c r="N20" s="9">
        <f t="shared" si="29"/>
        <v>1455191602.8430529</v>
      </c>
      <c r="O20" s="9">
        <f t="shared" si="29"/>
        <v>1576431473.3597338</v>
      </c>
      <c r="P20" s="9">
        <f t="shared" si="29"/>
        <v>1701551019.7329488</v>
      </c>
      <c r="Q20" s="9">
        <f t="shared" si="29"/>
        <v>1830674391.5901067</v>
      </c>
      <c r="R20" s="9">
        <f t="shared" si="29"/>
        <v>1963929711.3466938</v>
      </c>
      <c r="S20" s="9">
        <f t="shared" si="29"/>
        <v>2101449201.3354914</v>
      </c>
      <c r="T20" s="9">
        <f t="shared" si="29"/>
        <v>2243369315.0039301</v>
      </c>
      <c r="U20" s="9">
        <f t="shared" si="29"/>
        <v>2389830872.3097591</v>
      </c>
      <c r="V20" s="9">
        <f t="shared" si="29"/>
        <v>2540979199.4493747</v>
      </c>
      <c r="W20" s="9">
        <f t="shared" si="29"/>
        <v>2696964273.0574584</v>
      </c>
      <c r="X20" s="9">
        <f t="shared" si="29"/>
        <v>2857940869.0210009</v>
      </c>
      <c r="Y20" s="9">
        <f t="shared" si="29"/>
        <v>3024068716.0553761</v>
      </c>
      <c r="Z20" s="9">
        <f t="shared" si="29"/>
        <v>3195512654.1948509</v>
      </c>
      <c r="AA20" s="9">
        <f t="shared" si="29"/>
        <v>3372442798.3547897</v>
      </c>
      <c r="AB20" s="9">
        <f t="shared" si="29"/>
        <v>3555034707.1278462</v>
      </c>
      <c r="AC20" s="9">
        <f t="shared" si="29"/>
        <v>3743469556.9816408</v>
      </c>
      <c r="AD20" s="9">
        <f t="shared" si="29"/>
        <v>3937934322.0307565</v>
      </c>
      <c r="AE20" s="9">
        <f t="shared" si="29"/>
        <v>4138621959.5614433</v>
      </c>
      <c r="AF20" s="9">
        <f t="shared" si="29"/>
        <v>4345731601.4931126</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31801000</v>
      </c>
      <c r="D22" s="9">
        <f ca="1">'Balance Sheet'!C11</f>
        <v>112561204.66973265</v>
      </c>
      <c r="E22" s="9">
        <f ca="1">'Balance Sheet'!D11</f>
        <v>186012654.66873169</v>
      </c>
      <c r="F22" s="9">
        <f ca="1">'Balance Sheet'!E11</f>
        <v>244495326.24819353</v>
      </c>
      <c r="G22" s="9">
        <f ca="1">'Balance Sheet'!F11</f>
        <v>290140413.25059402</v>
      </c>
      <c r="H22" s="9">
        <f ca="1">'Balance Sheet'!G11</f>
        <v>325740344.23261648</v>
      </c>
      <c r="I22" s="9">
        <f ca="1">'Balance Sheet'!H11</f>
        <v>359332086.83281744</v>
      </c>
      <c r="J22" s="9">
        <f ca="1">'Balance Sheet'!I11</f>
        <v>389866346.55058104</v>
      </c>
      <c r="K22" s="9">
        <f ca="1">'Balance Sheet'!J11</f>
        <v>419151965.6986227</v>
      </c>
      <c r="L22" s="9">
        <f ca="1">'Balance Sheet'!K11</f>
        <v>448116373.52772027</v>
      </c>
      <c r="M22" s="9">
        <f ca="1">'Balance Sheet'!L11</f>
        <v>476262873.86569756</v>
      </c>
      <c r="N22" s="9">
        <f ca="1">'Balance Sheet'!M11</f>
        <v>504928179.04449755</v>
      </c>
      <c r="O22" s="9">
        <f ca="1">'Balance Sheet'!N11</f>
        <v>533802823.35494077</v>
      </c>
      <c r="P22" s="9">
        <f ca="1">'Balance Sheet'!O11</f>
        <v>563613838.33449137</v>
      </c>
      <c r="Q22" s="9">
        <f ca="1">'Balance Sheet'!P11</f>
        <v>594129637.7756151</v>
      </c>
      <c r="R22" s="9">
        <f ca="1">'Balance Sheet'!Q11</f>
        <v>625080948.47656131</v>
      </c>
      <c r="S22" s="9">
        <f ca="1">'Balance Sheet'!R11</f>
        <v>657453140.49076653</v>
      </c>
      <c r="T22" s="9">
        <f ca="1">'Balance Sheet'!S11</f>
        <v>691089681.06473041</v>
      </c>
      <c r="U22" s="9">
        <f ca="1">'Balance Sheet'!T11</f>
        <v>725805090.55183101</v>
      </c>
      <c r="V22" s="9">
        <f ca="1">'Balance Sheet'!U11</f>
        <v>761382118.13394904</v>
      </c>
      <c r="W22" s="9">
        <f ca="1">'Balance Sheet'!V11</f>
        <v>797568698.04665172</v>
      </c>
      <c r="X22" s="9">
        <f ca="1">'Balance Sheet'!W11</f>
        <v>834074671.14329255</v>
      </c>
      <c r="Y22" s="9">
        <f ca="1">'Balance Sheet'!X11</f>
        <v>870568255.65623629</v>
      </c>
      <c r="Z22" s="9">
        <f ca="1">'Balance Sheet'!Y11</f>
        <v>906672249.97602069</v>
      </c>
      <c r="AA22" s="9">
        <f ca="1">'Balance Sheet'!Z11</f>
        <v>941959949.16802502</v>
      </c>
      <c r="AB22" s="9">
        <f ca="1">'Balance Sheet'!AA11</f>
        <v>975950755.77730227</v>
      </c>
      <c r="AC22" s="9">
        <f ca="1">'Balance Sheet'!AB11</f>
        <v>1020656222.9781891</v>
      </c>
      <c r="AD22" s="9">
        <f ca="1">'Balance Sheet'!AC11</f>
        <v>1076988367.6047173</v>
      </c>
      <c r="AE22" s="9">
        <f ca="1">'Balance Sheet'!AD11</f>
        <v>1145914636.0034537</v>
      </c>
      <c r="AF22" s="9">
        <f ca="1">'Balance Sheet'!AE11</f>
        <v>1228460785.9403732</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313929048.66606021</v>
      </c>
      <c r="D23" s="9">
        <f t="shared" ref="D23:AF23" ca="1" si="30">D20-D22</f>
        <v>318905944.77934498</v>
      </c>
      <c r="E23" s="9">
        <f t="shared" ca="1" si="30"/>
        <v>333935182.78841984</v>
      </c>
      <c r="F23" s="9">
        <f t="shared" ca="1" si="30"/>
        <v>366764581.23329031</v>
      </c>
      <c r="G23" s="9">
        <f t="shared" ca="1" si="30"/>
        <v>415353550.49600077</v>
      </c>
      <c r="H23" s="9">
        <f t="shared" ca="1" si="30"/>
        <v>477003165.57957274</v>
      </c>
      <c r="I23" s="9">
        <f t="shared" ca="1" si="30"/>
        <v>543772954.51906538</v>
      </c>
      <c r="J23" s="9">
        <f ca="1">J20-J22</f>
        <v>616811795.3502655</v>
      </c>
      <c r="K23" s="9">
        <f t="shared" ca="1" si="30"/>
        <v>694413615.96875453</v>
      </c>
      <c r="L23" s="9">
        <f t="shared" ca="1" si="30"/>
        <v>775757045.97871661</v>
      </c>
      <c r="M23" s="9">
        <f t="shared" ca="1" si="30"/>
        <v>861448234.2906487</v>
      </c>
      <c r="N23" s="9">
        <f t="shared" ca="1" si="30"/>
        <v>950263423.79855537</v>
      </c>
      <c r="O23" s="9">
        <f t="shared" ca="1" si="30"/>
        <v>1042628650.004793</v>
      </c>
      <c r="P23" s="9">
        <f t="shared" ca="1" si="30"/>
        <v>1137937181.3984575</v>
      </c>
      <c r="Q23" s="9">
        <f t="shared" ca="1" si="30"/>
        <v>1236544753.8144917</v>
      </c>
      <c r="R23" s="9">
        <f t="shared" ca="1" si="30"/>
        <v>1338848762.8701324</v>
      </c>
      <c r="S23" s="9">
        <f t="shared" ca="1" si="30"/>
        <v>1443996060.8447249</v>
      </c>
      <c r="T23" s="9">
        <f t="shared" ca="1" si="30"/>
        <v>1552279633.9391997</v>
      </c>
      <c r="U23" s="9">
        <f t="shared" ca="1" si="30"/>
        <v>1664025781.7579281</v>
      </c>
      <c r="V23" s="9">
        <f t="shared" ca="1" si="30"/>
        <v>1779597081.3154256</v>
      </c>
      <c r="W23" s="9">
        <f t="shared" ca="1" si="30"/>
        <v>1899395575.0108066</v>
      </c>
      <c r="X23" s="9">
        <f t="shared" ca="1" si="30"/>
        <v>2023866197.8777084</v>
      </c>
      <c r="Y23" s="9">
        <f t="shared" ca="1" si="30"/>
        <v>2153500460.3991399</v>
      </c>
      <c r="Z23" s="9">
        <f t="shared" ca="1" si="30"/>
        <v>2288840404.2188301</v>
      </c>
      <c r="AA23" s="9">
        <f t="shared" ca="1" si="30"/>
        <v>2430482849.1867647</v>
      </c>
      <c r="AB23" s="9">
        <f t="shared" ca="1" si="30"/>
        <v>2579083951.350544</v>
      </c>
      <c r="AC23" s="9">
        <f t="shared" ca="1" si="30"/>
        <v>2722813334.0034518</v>
      </c>
      <c r="AD23" s="9">
        <f t="shared" ca="1" si="30"/>
        <v>2860945954.4260392</v>
      </c>
      <c r="AE23" s="9">
        <f t="shared" ca="1" si="30"/>
        <v>2992707323.5579896</v>
      </c>
      <c r="AF23" s="9">
        <f t="shared" ca="1" si="30"/>
        <v>3117270815.5527391</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164</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31801000</v>
      </c>
      <c r="D5" s="1">
        <f ca="1">C5+C6</f>
        <v>112561204.66973265</v>
      </c>
      <c r="E5" s="1">
        <f t="shared" ref="E5:AF5" ca="1" si="1">D5+D6</f>
        <v>186012654.66873169</v>
      </c>
      <c r="F5" s="1">
        <f t="shared" ca="1" si="1"/>
        <v>244495326.24819353</v>
      </c>
      <c r="G5" s="1">
        <f t="shared" ca="1" si="1"/>
        <v>290140413.25059402</v>
      </c>
      <c r="H5" s="1">
        <f t="shared" ca="1" si="1"/>
        <v>325740344.23261648</v>
      </c>
      <c r="I5" s="1">
        <f t="shared" ca="1" si="1"/>
        <v>359332086.83281744</v>
      </c>
      <c r="J5" s="1">
        <f t="shared" ca="1" si="1"/>
        <v>389866346.55058104</v>
      </c>
      <c r="K5" s="1">
        <f t="shared" ca="1" si="1"/>
        <v>419151965.6986227</v>
      </c>
      <c r="L5" s="1">
        <f t="shared" ca="1" si="1"/>
        <v>448116373.52772027</v>
      </c>
      <c r="M5" s="1">
        <f t="shared" ca="1" si="1"/>
        <v>476262873.86569756</v>
      </c>
      <c r="N5" s="1">
        <f t="shared" ca="1" si="1"/>
        <v>504928179.04449755</v>
      </c>
      <c r="O5" s="1">
        <f t="shared" ca="1" si="1"/>
        <v>533802823.35494077</v>
      </c>
      <c r="P5" s="1">
        <f t="shared" ca="1" si="1"/>
        <v>563613838.33449137</v>
      </c>
      <c r="Q5" s="1">
        <f t="shared" ca="1" si="1"/>
        <v>594129637.7756151</v>
      </c>
      <c r="R5" s="1">
        <f t="shared" ca="1" si="1"/>
        <v>625080948.47656131</v>
      </c>
      <c r="S5" s="1">
        <f t="shared" ca="1" si="1"/>
        <v>657453140.49076653</v>
      </c>
      <c r="T5" s="1">
        <f t="shared" ca="1" si="1"/>
        <v>691089681.06473041</v>
      </c>
      <c r="U5" s="1">
        <f t="shared" ca="1" si="1"/>
        <v>725805090.55183101</v>
      </c>
      <c r="V5" s="1">
        <f t="shared" ca="1" si="1"/>
        <v>761382118.13394904</v>
      </c>
      <c r="W5" s="1">
        <f t="shared" ca="1" si="1"/>
        <v>797568698.04665172</v>
      </c>
      <c r="X5" s="1">
        <f t="shared" ca="1" si="1"/>
        <v>834074671.14329255</v>
      </c>
      <c r="Y5" s="1">
        <f t="shared" ca="1" si="1"/>
        <v>870568255.65623629</v>
      </c>
      <c r="Z5" s="1">
        <f t="shared" ca="1" si="1"/>
        <v>906672249.97602069</v>
      </c>
      <c r="AA5" s="1">
        <f t="shared" ca="1" si="1"/>
        <v>941959949.16802502</v>
      </c>
      <c r="AB5" s="1">
        <f t="shared" ca="1" si="1"/>
        <v>975950755.77730227</v>
      </c>
      <c r="AC5" s="1">
        <f t="shared" ca="1" si="1"/>
        <v>1020656222.9781891</v>
      </c>
      <c r="AD5" s="1">
        <f t="shared" ca="1" si="1"/>
        <v>1076988367.6047173</v>
      </c>
      <c r="AE5" s="1">
        <f t="shared" ca="1" si="1"/>
        <v>1145914636.0034537</v>
      </c>
      <c r="AF5" s="1">
        <f t="shared" ca="1" si="1"/>
        <v>1228460785.9403732</v>
      </c>
      <c r="AG5" s="1"/>
      <c r="AH5" s="1"/>
      <c r="AI5" s="1"/>
      <c r="AJ5" s="1"/>
      <c r="AK5" s="1"/>
      <c r="AL5" s="1"/>
      <c r="AM5" s="1"/>
      <c r="AN5" s="1"/>
      <c r="AO5" s="1"/>
      <c r="AP5" s="1"/>
    </row>
    <row r="6" spans="1:42" x14ac:dyDescent="0.35">
      <c r="A6" s="63" t="s">
        <v>3</v>
      </c>
      <c r="C6" s="1">
        <f ca="1">-'Cash Flow'!C13</f>
        <v>80760204.669732645</v>
      </c>
      <c r="D6" s="1">
        <f ca="1">-'Cash Flow'!D13</f>
        <v>73451449.998999059</v>
      </c>
      <c r="E6" s="1">
        <f ca="1">-'Cash Flow'!E13</f>
        <v>58482671.579461843</v>
      </c>
      <c r="F6" s="1">
        <f ca="1">-'Cash Flow'!F13</f>
        <v>45645087.002400517</v>
      </c>
      <c r="G6" s="1">
        <f ca="1">-'Cash Flow'!G13</f>
        <v>35599930.982022464</v>
      </c>
      <c r="H6" s="1">
        <f ca="1">-'Cash Flow'!H13</f>
        <v>33591742.600200966</v>
      </c>
      <c r="I6" s="1">
        <f ca="1">-'Cash Flow'!I13</f>
        <v>30534259.717763588</v>
      </c>
      <c r="J6" s="1">
        <f ca="1">-'Cash Flow'!J13</f>
        <v>29285619.148041651</v>
      </c>
      <c r="K6" s="1">
        <f ca="1">-'Cash Flow'!K13</f>
        <v>28964407.829097569</v>
      </c>
      <c r="L6" s="1">
        <f ca="1">-'Cash Flow'!L13</f>
        <v>28146500.337977305</v>
      </c>
      <c r="M6" s="1">
        <f ca="1">-'Cash Flow'!M13</f>
        <v>28665305.178800002</v>
      </c>
      <c r="N6" s="1">
        <f ca="1">-'Cash Flow'!N13</f>
        <v>28874644.310443193</v>
      </c>
      <c r="O6" s="1">
        <f ca="1">-'Cash Flow'!O13</f>
        <v>29811014.97955057</v>
      </c>
      <c r="P6" s="1">
        <f ca="1">-'Cash Flow'!P13</f>
        <v>30515799.441123694</v>
      </c>
      <c r="Q6" s="1">
        <f ca="1">-'Cash Flow'!Q13</f>
        <v>30951310.700946152</v>
      </c>
      <c r="R6" s="1">
        <f ca="1">-'Cash Flow'!R13</f>
        <v>32372192.014205217</v>
      </c>
      <c r="S6" s="1">
        <f ca="1">-'Cash Flow'!S13</f>
        <v>33636540.573963881</v>
      </c>
      <c r="T6" s="1">
        <f ca="1">-'Cash Flow'!T13</f>
        <v>34715409.487100601</v>
      </c>
      <c r="U6" s="1">
        <f ca="1">-'Cash Flow'!U13</f>
        <v>35577027.582118094</v>
      </c>
      <c r="V6" s="1">
        <f ca="1">-'Cash Flow'!V13</f>
        <v>36186579.91270268</v>
      </c>
      <c r="W6" s="1">
        <f ca="1">-'Cash Flow'!W13</f>
        <v>36505973.096640855</v>
      </c>
      <c r="X6" s="1">
        <f ca="1">-'Cash Flow'!X13</f>
        <v>36493584.512943745</v>
      </c>
      <c r="Y6" s="1">
        <f ca="1">-'Cash Flow'!Y13</f>
        <v>36103994.319784403</v>
      </c>
      <c r="Z6" s="1">
        <f ca="1">-'Cash Flow'!Z13</f>
        <v>35287699.192004323</v>
      </c>
      <c r="AA6" s="1">
        <f ca="1">-'Cash Flow'!AA13</f>
        <v>33990806.609277308</v>
      </c>
      <c r="AB6" s="1">
        <f ca="1">-'Cash Flow'!AB13</f>
        <v>44705467.200886846</v>
      </c>
      <c r="AC6" s="1">
        <f ca="1">-'Cash Flow'!AC13</f>
        <v>56332144.626528025</v>
      </c>
      <c r="AD6" s="1">
        <f ca="1">-'Cash Flow'!AD13</f>
        <v>68926268.398736537</v>
      </c>
      <c r="AE6" s="1">
        <f ca="1">-'Cash Flow'!AE13</f>
        <v>82546149.93691951</v>
      </c>
      <c r="AF6" s="1">
        <f ca="1">-'Cash Flow'!AF13</f>
        <v>97253119.658399343</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3939642.1634406429</v>
      </c>
      <c r="D8" s="1">
        <f ca="1">IF(SUM(D5:D6)&gt;0,Assumptions!$C$26*SUM(D5:D6),Assumptions!$C$27*(SUM(D5:D6)))</f>
        <v>6510442.9134056093</v>
      </c>
      <c r="E8" s="1">
        <f ca="1">IF(SUM(E5:E6)&gt;0,Assumptions!$C$26*SUM(E5:E6),Assumptions!$C$27*(SUM(E5:E6)))</f>
        <v>8557336.4186867736</v>
      </c>
      <c r="F8" s="1">
        <f ca="1">IF(SUM(F5:F6)&gt;0,Assumptions!$C$26*SUM(F5:F6),Assumptions!$C$27*(SUM(F5:F6)))</f>
        <v>10154914.463770792</v>
      </c>
      <c r="G8" s="1">
        <f ca="1">IF(SUM(G5:G6)&gt;0,Assumptions!$C$26*SUM(G5:G6),Assumptions!$C$27*(SUM(G5:G6)))</f>
        <v>11400912.048141578</v>
      </c>
      <c r="H8" s="1">
        <f ca="1">IF(SUM(H5:H6)&gt;0,Assumptions!$C$26*SUM(H5:H6),Assumptions!$C$27*(SUM(H5:H6)))</f>
        <v>12576623.039148612</v>
      </c>
      <c r="I8" s="1">
        <f ca="1">IF(SUM(I5:I6)&gt;0,Assumptions!$C$26*SUM(I5:I6),Assumptions!$C$27*(SUM(I5:I6)))</f>
        <v>13645322.129270338</v>
      </c>
      <c r="J8" s="1">
        <f ca="1">IF(SUM(J5:J6)&gt;0,Assumptions!$C$26*SUM(J5:J6),Assumptions!$C$27*(SUM(J5:J6)))</f>
        <v>14670318.799451796</v>
      </c>
      <c r="K8" s="1">
        <f ca="1">IF(SUM(K5:K6)&gt;0,Assumptions!$C$26*SUM(K5:K6),Assumptions!$C$27*(SUM(K5:K6)))</f>
        <v>15684073.073470211</v>
      </c>
      <c r="L8" s="1">
        <f ca="1">IF(SUM(L5:L6)&gt;0,Assumptions!$C$26*SUM(L5:L6),Assumptions!$C$27*(SUM(L5:L6)))</f>
        <v>16669200.585299416</v>
      </c>
      <c r="M8" s="1">
        <f ca="1">IF(SUM(M5:M6)&gt;0,Assumptions!$C$26*SUM(M5:M6),Assumptions!$C$27*(SUM(M5:M6)))</f>
        <v>17672486.266557414</v>
      </c>
      <c r="N8" s="1">
        <f ca="1">IF(SUM(N5:N6)&gt;0,Assumptions!$C$26*SUM(N5:N6),Assumptions!$C$27*(SUM(N5:N6)))</f>
        <v>18683098.81742293</v>
      </c>
      <c r="O8" s="1">
        <f ca="1">IF(SUM(O5:O6)&gt;0,Assumptions!$C$26*SUM(O5:O6),Assumptions!$C$27*(SUM(O5:O6)))</f>
        <v>19726484.3417072</v>
      </c>
      <c r="P8" s="1">
        <f ca="1">IF(SUM(P5:P6)&gt;0,Assumptions!$C$26*SUM(P5:P6),Assumptions!$C$27*(SUM(P5:P6)))</f>
        <v>20794537.322146531</v>
      </c>
      <c r="Q8" s="1">
        <f ca="1">IF(SUM(Q5:Q6)&gt;0,Assumptions!$C$26*SUM(Q5:Q6),Assumptions!$C$27*(SUM(Q5:Q6)))</f>
        <v>21877833.196679648</v>
      </c>
      <c r="R8" s="1">
        <f ca="1">IF(SUM(R5:R6)&gt;0,Assumptions!$C$26*SUM(R5:R6),Assumptions!$C$27*(SUM(R5:R6)))</f>
        <v>23010859.917176832</v>
      </c>
      <c r="S8" s="1">
        <f ca="1">IF(SUM(S5:S6)&gt;0,Assumptions!$C$26*SUM(S5:S6),Assumptions!$C$27*(SUM(S5:S6)))</f>
        <v>24188138.837265566</v>
      </c>
      <c r="T8" s="1">
        <f ca="1">IF(SUM(T5:T6)&gt;0,Assumptions!$C$26*SUM(T5:T6),Assumptions!$C$27*(SUM(T5:T6)))</f>
        <v>25403178.169314086</v>
      </c>
      <c r="U8" s="1">
        <f ca="1">IF(SUM(U5:U6)&gt;0,Assumptions!$C$26*SUM(U5:U6),Assumptions!$C$27*(SUM(U5:U6)))</f>
        <v>26648374.134688217</v>
      </c>
      <c r="V8" s="1">
        <f ca="1">IF(SUM(V5:V6)&gt;0,Assumptions!$C$26*SUM(V5:V6),Assumptions!$C$27*(SUM(V5:V6)))</f>
        <v>27914904.431632813</v>
      </c>
      <c r="W8" s="1">
        <f ca="1">IF(SUM(W5:W6)&gt;0,Assumptions!$C$26*SUM(W5:W6),Assumptions!$C$27*(SUM(W5:W6)))</f>
        <v>29192613.490015242</v>
      </c>
      <c r="X8" s="1">
        <f ca="1">IF(SUM(X5:X6)&gt;0,Assumptions!$C$26*SUM(X5:X6),Assumptions!$C$27*(SUM(X5:X6)))</f>
        <v>30469888.947968274</v>
      </c>
      <c r="Y8" s="1">
        <f ca="1">IF(SUM(Y5:Y6)&gt;0,Assumptions!$C$26*SUM(Y5:Y6),Assumptions!$C$27*(SUM(Y5:Y6)))</f>
        <v>31733528.749160726</v>
      </c>
      <c r="Z8" s="1">
        <f ca="1">IF(SUM(Z5:Z6)&gt;0,Assumptions!$C$26*SUM(Z5:Z6),Assumptions!$C$27*(SUM(Z5:Z6)))</f>
        <v>32968598.220880877</v>
      </c>
      <c r="AA8" s="1">
        <f ca="1">IF(SUM(AA5:AA6)&gt;0,Assumptions!$C$26*SUM(AA5:AA6),Assumptions!$C$27*(SUM(AA5:AA6)))</f>
        <v>34158276.452205583</v>
      </c>
      <c r="AB8" s="1">
        <f ca="1">IF(SUM(AB5:AB6)&gt;0,Assumptions!$C$26*SUM(AB5:AB6),Assumptions!$C$27*(SUM(AB5:AB6)))</f>
        <v>35722967.804236621</v>
      </c>
      <c r="AC8" s="1">
        <f ca="1">IF(SUM(AC5:AC6)&gt;0,Assumptions!$C$26*SUM(AC5:AC6),Assumptions!$C$27*(SUM(AC5:AC6)))</f>
        <v>37694592.866165109</v>
      </c>
      <c r="AD8" s="1">
        <f ca="1">IF(SUM(AD5:AD6)&gt;0,Assumptions!$C$26*SUM(AD5:AD6),Assumptions!$C$27*(SUM(AD5:AD6)))</f>
        <v>40107012.260120884</v>
      </c>
      <c r="AE8" s="1">
        <f ca="1">IF(SUM(AE5:AE6)&gt;0,Assumptions!$C$26*SUM(AE5:AE6),Assumptions!$C$27*(SUM(AE5:AE6)))</f>
        <v>42996127.507913068</v>
      </c>
      <c r="AF8" s="1">
        <f ca="1">IF(SUM(AF5:AF6)&gt;0,Assumptions!$C$26*SUM(AF5:AF6),Assumptions!$C$27*(SUM(AF5:AF6)))</f>
        <v>46399986.695957042</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zoomScale="80" zoomScaleNormal="80" workbookViewId="0">
      <selection sqref="A1:XFD1048576"/>
    </sheetView>
  </sheetViews>
  <sheetFormatPr defaultRowHeight="15.5" x14ac:dyDescent="0.35"/>
  <cols>
    <col min="1" max="1" width="98.75" style="63" bestFit="1" customWidth="1"/>
    <col min="2" max="2" width="18.1640625" style="63" bestFit="1" customWidth="1"/>
    <col min="3" max="3" width="55" style="63" customWidth="1"/>
    <col min="4" max="16384" width="8.6640625" style="63"/>
  </cols>
  <sheetData>
    <row r="1" spans="1:3" ht="26" x14ac:dyDescent="0.6">
      <c r="A1" s="13" t="s">
        <v>183</v>
      </c>
    </row>
    <row r="2" spans="1:3" ht="26" x14ac:dyDescent="0.6">
      <c r="A2" s="13"/>
    </row>
    <row r="3" spans="1:3" ht="242" customHeight="1" x14ac:dyDescent="0.35">
      <c r="A3" s="173" t="s">
        <v>186</v>
      </c>
    </row>
    <row r="4" spans="1:3" ht="26" x14ac:dyDescent="0.6">
      <c r="A4" s="13"/>
    </row>
    <row r="5" spans="1:3" ht="18.5" x14ac:dyDescent="0.45">
      <c r="A5" s="89" t="s">
        <v>175</v>
      </c>
      <c r="B5" s="90"/>
    </row>
    <row r="6" spans="1:3" ht="18.5" x14ac:dyDescent="0.45">
      <c r="A6" s="90"/>
      <c r="B6" s="90"/>
    </row>
    <row r="7" spans="1:3" ht="18.5" x14ac:dyDescent="0.45">
      <c r="A7" s="90" t="s">
        <v>97</v>
      </c>
      <c r="B7" s="91">
        <f>Assumptions!C24</f>
        <v>19842000</v>
      </c>
      <c r="C7" s="181" t="str">
        <f>Assumptions!B24</f>
        <v>RFI Table F10; Lines F10.62 + F10.70</v>
      </c>
    </row>
    <row r="8" spans="1:3" ht="34" x14ac:dyDescent="0.45">
      <c r="A8" s="90" t="s">
        <v>172</v>
      </c>
      <c r="B8" s="92">
        <f>Assumptions!$C$133</f>
        <v>0.7</v>
      </c>
      <c r="C8" s="181" t="s">
        <v>198</v>
      </c>
    </row>
    <row r="9" spans="1:3" ht="18.5" x14ac:dyDescent="0.45">
      <c r="A9" s="90"/>
      <c r="B9" s="93"/>
      <c r="C9" s="181"/>
    </row>
    <row r="10" spans="1:3" ht="68" x14ac:dyDescent="0.45">
      <c r="A10" s="94" t="s">
        <v>103</v>
      </c>
      <c r="B10" s="95">
        <f>Assumptions!C135</f>
        <v>14074.074074074073</v>
      </c>
      <c r="C10" s="181" t="s">
        <v>199</v>
      </c>
    </row>
    <row r="11" spans="1:3" ht="18.5" x14ac:dyDescent="0.45">
      <c r="A11" s="94"/>
      <c r="B11" s="94"/>
      <c r="C11" s="181"/>
    </row>
    <row r="12" spans="1:3" ht="18.5" x14ac:dyDescent="0.45">
      <c r="A12" s="94" t="s">
        <v>182</v>
      </c>
      <c r="B12" s="91">
        <f>(B7*B8)/B10</f>
        <v>986.87842105263167</v>
      </c>
      <c r="C12" s="181"/>
    </row>
    <row r="13" spans="1:3" ht="18.5" x14ac:dyDescent="0.45">
      <c r="A13" s="96"/>
      <c r="B13" s="97"/>
      <c r="C13" s="181"/>
    </row>
    <row r="14" spans="1:3" ht="18.5" x14ac:dyDescent="0.45">
      <c r="A14" s="94" t="s">
        <v>104</v>
      </c>
      <c r="B14" s="98">
        <v>1</v>
      </c>
      <c r="C14" s="181"/>
    </row>
    <row r="15" spans="1:3" ht="18.5" x14ac:dyDescent="0.45">
      <c r="A15" s="96"/>
      <c r="B15" s="99"/>
      <c r="C15" s="181"/>
    </row>
    <row r="16" spans="1:3" ht="18.5" x14ac:dyDescent="0.45">
      <c r="A16" s="96" t="s">
        <v>177</v>
      </c>
      <c r="B16" s="100">
        <f>B12/B14</f>
        <v>986.87842105263167</v>
      </c>
      <c r="C16" s="181"/>
    </row>
    <row r="17" spans="1:3" ht="18.5" x14ac:dyDescent="0.45">
      <c r="A17" s="94"/>
      <c r="B17" s="101"/>
      <c r="C17" s="181"/>
    </row>
    <row r="18" spans="1:3" ht="18.5" x14ac:dyDescent="0.45">
      <c r="A18" s="102" t="s">
        <v>176</v>
      </c>
      <c r="B18" s="101"/>
      <c r="C18" s="181"/>
    </row>
    <row r="19" spans="1:3" ht="18.5" x14ac:dyDescent="0.45">
      <c r="A19" s="94"/>
      <c r="B19" s="101"/>
      <c r="C19" s="181"/>
    </row>
    <row r="20" spans="1:3" ht="34" x14ac:dyDescent="0.45">
      <c r="A20" s="94" t="s">
        <v>66</v>
      </c>
      <c r="B20" s="91">
        <f>'Profit and Loss'!L5</f>
        <v>182898217.0711908</v>
      </c>
      <c r="C20" s="181" t="s">
        <v>200</v>
      </c>
    </row>
    <row r="21" spans="1:3" ht="34" x14ac:dyDescent="0.45">
      <c r="A21" s="94" t="str">
        <f>A8</f>
        <v>Assumed revenue from households</v>
      </c>
      <c r="B21" s="92">
        <f>B8</f>
        <v>0.7</v>
      </c>
      <c r="C21" s="181" t="s">
        <v>198</v>
      </c>
    </row>
    <row r="22" spans="1:3" ht="18.5" x14ac:dyDescent="0.45">
      <c r="A22" s="94"/>
      <c r="B22" s="94"/>
      <c r="C22" s="181"/>
    </row>
    <row r="23" spans="1:3" ht="51" x14ac:dyDescent="0.45">
      <c r="A23" s="94" t="s">
        <v>102</v>
      </c>
      <c r="B23" s="95">
        <f>Assumptions!M135</f>
        <v>14941.687176635764</v>
      </c>
      <c r="C23" s="181" t="s">
        <v>202</v>
      </c>
    </row>
    <row r="24" spans="1:3" ht="18.5" x14ac:dyDescent="0.45">
      <c r="A24" s="94"/>
      <c r="B24" s="94"/>
      <c r="C24" s="181"/>
    </row>
    <row r="25" spans="1:3" ht="18.5" x14ac:dyDescent="0.45">
      <c r="A25" s="94" t="s">
        <v>181</v>
      </c>
      <c r="B25" s="91">
        <f>(B20*B21)/B23</f>
        <v>8568.5605940158766</v>
      </c>
      <c r="C25" s="181"/>
    </row>
    <row r="26" spans="1:3" ht="18.5" x14ac:dyDescent="0.45">
      <c r="A26" s="94"/>
      <c r="B26" s="91"/>
      <c r="C26" s="181"/>
    </row>
    <row r="27" spans="1:3" ht="34" x14ac:dyDescent="0.45">
      <c r="A27" s="94" t="s">
        <v>104</v>
      </c>
      <c r="B27" s="103">
        <f>1.022^11</f>
        <v>1.2704566586717592</v>
      </c>
      <c r="C27" s="181" t="s">
        <v>201</v>
      </c>
    </row>
    <row r="28" spans="1:3" ht="18.5" x14ac:dyDescent="0.45">
      <c r="A28" s="96"/>
      <c r="B28" s="97"/>
      <c r="C28" s="181"/>
    </row>
    <row r="29" spans="1:3" ht="18.5" x14ac:dyDescent="0.45">
      <c r="A29" s="96" t="s">
        <v>178</v>
      </c>
      <c r="B29" s="91">
        <f>B25/B27</f>
        <v>6744.4729700375301</v>
      </c>
      <c r="C29" s="181"/>
    </row>
    <row r="30" spans="1:3" ht="18.5" x14ac:dyDescent="0.45">
      <c r="A30" s="96"/>
      <c r="B30" s="97"/>
      <c r="C30" s="181"/>
    </row>
    <row r="31" spans="1:3" ht="18.5" x14ac:dyDescent="0.45">
      <c r="A31" s="102" t="s">
        <v>184</v>
      </c>
      <c r="B31" s="96"/>
      <c r="C31" s="181"/>
    </row>
    <row r="32" spans="1:3" ht="18.5" x14ac:dyDescent="0.45">
      <c r="A32" s="94"/>
      <c r="B32" s="91"/>
      <c r="C32" s="181"/>
    </row>
    <row r="33" spans="1:3" ht="34" x14ac:dyDescent="0.45">
      <c r="A33" s="94" t="s">
        <v>67</v>
      </c>
      <c r="B33" s="91">
        <f>'Profit and Loss'!AF5</f>
        <v>493953043.20395142</v>
      </c>
      <c r="C33" s="181" t="s">
        <v>200</v>
      </c>
    </row>
    <row r="34" spans="1:3" ht="34" x14ac:dyDescent="0.45">
      <c r="A34" s="94" t="str">
        <f>A21</f>
        <v>Assumed revenue from households</v>
      </c>
      <c r="B34" s="92">
        <f>B21</f>
        <v>0.7</v>
      </c>
      <c r="C34" s="181" t="s">
        <v>198</v>
      </c>
    </row>
    <row r="35" spans="1:3" ht="18.5" x14ac:dyDescent="0.45">
      <c r="A35" s="94"/>
      <c r="B35" s="94"/>
      <c r="C35" s="181"/>
    </row>
    <row r="36" spans="1:3" ht="51" x14ac:dyDescent="0.45">
      <c r="A36" s="94" t="s">
        <v>101</v>
      </c>
      <c r="B36" s="95">
        <f>Assumptions!AG135</f>
        <v>16840.6656685216</v>
      </c>
      <c r="C36" s="181" t="s">
        <v>202</v>
      </c>
    </row>
    <row r="37" spans="1:3" ht="18.5" x14ac:dyDescent="0.45">
      <c r="A37" s="94"/>
      <c r="B37" s="94"/>
      <c r="C37" s="181"/>
    </row>
    <row r="38" spans="1:3" ht="18.5" x14ac:dyDescent="0.45">
      <c r="A38" s="94" t="s">
        <v>180</v>
      </c>
      <c r="B38" s="91">
        <f>(B33*B34)/B36</f>
        <v>20531.678322494718</v>
      </c>
      <c r="C38" s="181"/>
    </row>
    <row r="39" spans="1:3" ht="18.5" x14ac:dyDescent="0.45">
      <c r="A39" s="94"/>
      <c r="B39" s="94"/>
      <c r="C39" s="181"/>
    </row>
    <row r="40" spans="1:3" ht="34" x14ac:dyDescent="0.45">
      <c r="A40" s="94" t="s">
        <v>104</v>
      </c>
      <c r="B40" s="103">
        <f>1.022^31</f>
        <v>1.9632597808456462</v>
      </c>
      <c r="C40" s="181" t="s">
        <v>201</v>
      </c>
    </row>
    <row r="41" spans="1:3" ht="18.5" x14ac:dyDescent="0.45">
      <c r="A41" s="96"/>
      <c r="B41" s="97"/>
    </row>
    <row r="42" spans="1:3" ht="18.5" x14ac:dyDescent="0.45">
      <c r="A42" s="96" t="s">
        <v>179</v>
      </c>
      <c r="B42" s="91">
        <f>B38/B40</f>
        <v>10457.952902010242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tabSelected="1" zoomScale="80" zoomScaleNormal="80" workbookViewId="0">
      <pane ySplit="4" topLeftCell="A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159</v>
      </c>
    </row>
    <row r="2" spans="1:33" ht="26.5" thickBot="1" x14ac:dyDescent="0.4">
      <c r="A2" s="111"/>
      <c r="B2" s="111"/>
      <c r="D2" s="112"/>
    </row>
    <row r="3" spans="1:33" s="114" customFormat="1" ht="21.5" thickBot="1" x14ac:dyDescent="0.4">
      <c r="A3" s="84"/>
      <c r="B3" s="84"/>
      <c r="C3" s="113"/>
      <c r="D3" s="182" t="s">
        <v>28</v>
      </c>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row>
    <row r="4" spans="1:33" s="120" customFormat="1" ht="16" thickBot="1" x14ac:dyDescent="0.4">
      <c r="A4" s="115" t="s">
        <v>26</v>
      </c>
      <c r="B4" s="115" t="s">
        <v>194</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129</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129</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32</v>
      </c>
      <c r="B13" s="106" t="s">
        <v>197</v>
      </c>
      <c r="C13" s="127">
        <v>6.0000000000000001E-3</v>
      </c>
      <c r="D13" s="128">
        <f t="shared" ref="D13:AG13" si="3">(1+$C$13)^D8</f>
        <v>1.006</v>
      </c>
      <c r="E13" s="128">
        <f t="shared" si="3"/>
        <v>1.0120359999999999</v>
      </c>
      <c r="F13" s="128">
        <f t="shared" si="3"/>
        <v>1.0181082159999999</v>
      </c>
      <c r="G13" s="128">
        <f t="shared" si="3"/>
        <v>1.024216865296</v>
      </c>
      <c r="H13" s="128">
        <f t="shared" si="3"/>
        <v>1.030362166487776</v>
      </c>
      <c r="I13" s="128">
        <f t="shared" si="3"/>
        <v>1.0365443394867027</v>
      </c>
      <c r="J13" s="128">
        <f t="shared" si="3"/>
        <v>1.0427636055236227</v>
      </c>
      <c r="K13" s="128">
        <f t="shared" si="3"/>
        <v>1.0490201871567646</v>
      </c>
      <c r="L13" s="128">
        <f t="shared" si="3"/>
        <v>1.0553143082797052</v>
      </c>
      <c r="M13" s="128">
        <f t="shared" si="3"/>
        <v>1.0616461941293833</v>
      </c>
      <c r="N13" s="128">
        <f t="shared" si="3"/>
        <v>1.0680160712941595</v>
      </c>
      <c r="O13" s="128">
        <f t="shared" si="3"/>
        <v>1.0744241677219246</v>
      </c>
      <c r="P13" s="128">
        <f t="shared" si="3"/>
        <v>1.0808707127282562</v>
      </c>
      <c r="Q13" s="128">
        <f t="shared" si="3"/>
        <v>1.0873559370046257</v>
      </c>
      <c r="R13" s="128">
        <f t="shared" si="3"/>
        <v>1.0938800726266533</v>
      </c>
      <c r="S13" s="128">
        <f t="shared" si="3"/>
        <v>1.1004433530624134</v>
      </c>
      <c r="T13" s="128">
        <f t="shared" si="3"/>
        <v>1.1070460131807878</v>
      </c>
      <c r="U13" s="128">
        <f t="shared" si="3"/>
        <v>1.1136882892598725</v>
      </c>
      <c r="V13" s="128">
        <f t="shared" si="3"/>
        <v>1.1203704189954318</v>
      </c>
      <c r="W13" s="128">
        <f t="shared" si="3"/>
        <v>1.1270926415094045</v>
      </c>
      <c r="X13" s="128">
        <f t="shared" si="3"/>
        <v>1.1338551973584607</v>
      </c>
      <c r="Y13" s="128">
        <f t="shared" si="3"/>
        <v>1.1406583285426115</v>
      </c>
      <c r="Z13" s="128">
        <f t="shared" si="3"/>
        <v>1.1475022785138671</v>
      </c>
      <c r="AA13" s="128">
        <f t="shared" si="3"/>
        <v>1.1543872921849505</v>
      </c>
      <c r="AB13" s="128">
        <f t="shared" si="3"/>
        <v>1.1613136159380602</v>
      </c>
      <c r="AC13" s="128">
        <f t="shared" si="3"/>
        <v>1.1682814976336884</v>
      </c>
      <c r="AD13" s="128">
        <f t="shared" si="3"/>
        <v>1.1752911866194904</v>
      </c>
      <c r="AE13" s="128">
        <f t="shared" si="3"/>
        <v>1.1823429337392075</v>
      </c>
      <c r="AF13" s="128">
        <f t="shared" si="3"/>
        <v>1.1894369913416427</v>
      </c>
      <c r="AG13" s="128">
        <f t="shared" si="3"/>
        <v>1.1965736132896927</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190</v>
      </c>
      <c r="B15" s="178" t="s">
        <v>191</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131</v>
      </c>
      <c r="B17" s="77" t="s">
        <v>168</v>
      </c>
      <c r="C17" s="136">
        <f>AVERAGE(C49:C50)</f>
        <v>525302925.27200919</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125</v>
      </c>
      <c r="C18" s="136">
        <f>C17/2</f>
        <v>262651462.6360046</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136</v>
      </c>
      <c r="C20" s="137">
        <v>31801000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157</v>
      </c>
      <c r="B22" s="178" t="s">
        <v>191</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135</v>
      </c>
      <c r="C24" s="136">
        <v>19842000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193</v>
      </c>
      <c r="C25" s="136">
        <v>13223850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129</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129</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130</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130</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105</v>
      </c>
      <c r="B33" s="82" t="s">
        <v>127</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128</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128</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128</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128</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128</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128</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61</v>
      </c>
      <c r="B44" s="69" t="s">
        <v>87</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88</v>
      </c>
      <c r="B45" s="69" t="s">
        <v>87</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158</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107</v>
      </c>
      <c r="B49" s="77" t="s">
        <v>133</v>
      </c>
      <c r="C49" s="71">
        <v>477537286.28228104</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108</v>
      </c>
      <c r="B50" s="77" t="s">
        <v>134</v>
      </c>
      <c r="C50" s="71">
        <v>573068564.26173735</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120</v>
      </c>
      <c r="B52" s="77" t="s">
        <v>115</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121</v>
      </c>
      <c r="B53" s="77" t="s">
        <v>115</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119</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109</v>
      </c>
      <c r="B56" s="77" t="s">
        <v>169</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110</v>
      </c>
      <c r="B57" s="77" t="s">
        <v>169</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111</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117</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109</v>
      </c>
      <c r="B61" s="77" t="s">
        <v>115</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110</v>
      </c>
      <c r="B62" s="77" t="s">
        <v>115</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111</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116</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109</v>
      </c>
      <c r="B66" s="86" t="s">
        <v>87</v>
      </c>
      <c r="C66" s="71">
        <f>C49*C52/C57</f>
        <v>1410427.343703595</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110</v>
      </c>
      <c r="B67" s="86" t="s">
        <v>87</v>
      </c>
      <c r="C67" s="71">
        <f>C50*C52/C56</f>
        <v>2393801.2834875919</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111</v>
      </c>
      <c r="B68" s="86" t="s">
        <v>87</v>
      </c>
      <c r="C68" s="145">
        <f>AVERAGE(C66:C67)</f>
        <v>1902114.3135955934</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118</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109</v>
      </c>
      <c r="B71" s="86" t="s">
        <v>87</v>
      </c>
      <c r="C71" s="71">
        <f>C49*C53/C62</f>
        <v>3844431.2488028575</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110</v>
      </c>
      <c r="B72" s="86" t="s">
        <v>87</v>
      </c>
      <c r="C72" s="71">
        <f>C50*C53/C61</f>
        <v>6138709.2736915387</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111</v>
      </c>
      <c r="B73" s="86" t="s">
        <v>87</v>
      </c>
      <c r="C73" s="145">
        <f>AVERAGE(C71:C72)</f>
        <v>4991570.2612471981</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112</v>
      </c>
      <c r="B75" s="70" t="s">
        <v>122</v>
      </c>
      <c r="C75" s="71">
        <f>C67+C73</f>
        <v>7385371.54473479</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139</v>
      </c>
      <c r="B77" s="179" t="s">
        <v>174</v>
      </c>
      <c r="C77" s="87">
        <v>53634067.822240375</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140</v>
      </c>
      <c r="B79" s="69" t="s">
        <v>153</v>
      </c>
      <c r="C79" s="87">
        <v>2776498948.7982936</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141</v>
      </c>
      <c r="B80" s="69" t="s">
        <v>153</v>
      </c>
      <c r="C80" s="87">
        <v>2116516282.7623882</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142</v>
      </c>
      <c r="B82" s="69" t="s">
        <v>87</v>
      </c>
      <c r="C82" s="87">
        <f>C79+$C$77</f>
        <v>2830133016.6205339</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143</v>
      </c>
      <c r="B83" s="69" t="s">
        <v>87</v>
      </c>
      <c r="C83" s="87">
        <f>C80+$C$77</f>
        <v>2170150350.5846286</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148</v>
      </c>
      <c r="B85" s="69" t="s">
        <v>195</v>
      </c>
      <c r="C85" s="150">
        <v>38000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149</v>
      </c>
      <c r="B86" s="69" t="s">
        <v>132</v>
      </c>
      <c r="C86" s="150">
        <v>38000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114</v>
      </c>
      <c r="B87" s="69" t="s">
        <v>87</v>
      </c>
      <c r="C87" s="150">
        <f>AVERAGE(C85:C86)</f>
        <v>38000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144</v>
      </c>
      <c r="B89" s="69" t="s">
        <v>87</v>
      </c>
      <c r="C89" s="150">
        <f>C82/$C$87</f>
        <v>74477.184647908784</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144</v>
      </c>
      <c r="B90" s="69" t="s">
        <v>87</v>
      </c>
      <c r="C90" s="150">
        <f>C83/$C$87</f>
        <v>57109.219752227065</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145</v>
      </c>
      <c r="B92" s="69" t="s">
        <v>152</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146</v>
      </c>
      <c r="B94" s="69" t="s">
        <v>87</v>
      </c>
      <c r="C94" s="87">
        <f>IF(C89&lt;$C$92,C89*$C$87,$C$92*$C$87)</f>
        <v>2660000000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147</v>
      </c>
      <c r="B95" s="69" t="s">
        <v>87</v>
      </c>
      <c r="C95" s="87">
        <f>IF(C90&lt;$C$92,C90*$C$87,$C$92*$C$87)</f>
        <v>2170150350.5846286</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151</v>
      </c>
      <c r="B96" s="69" t="s">
        <v>87</v>
      </c>
      <c r="C96" s="87">
        <f>AVERAGE(C94:C95)</f>
        <v>2415075175.2923145</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99</v>
      </c>
      <c r="B98" s="69"/>
      <c r="C98" s="71">
        <v>2415075175.2923145</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C98/C100</f>
        <v>80502505.843077153</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203</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204</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167</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167</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113</v>
      </c>
      <c r="B109" s="69" t="s">
        <v>126</v>
      </c>
      <c r="C109" s="180">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128</v>
      </c>
      <c r="C111" s="71"/>
      <c r="D111" s="149">
        <f t="shared" ref="D111:AG111" si="9">$C$75</f>
        <v>7385371.54473479</v>
      </c>
      <c r="E111" s="149">
        <f t="shared" si="9"/>
        <v>7385371.54473479</v>
      </c>
      <c r="F111" s="149">
        <f t="shared" si="9"/>
        <v>7385371.54473479</v>
      </c>
      <c r="G111" s="149">
        <f t="shared" si="9"/>
        <v>7385371.54473479</v>
      </c>
      <c r="H111" s="149">
        <f t="shared" si="9"/>
        <v>7385371.54473479</v>
      </c>
      <c r="I111" s="149">
        <f t="shared" si="9"/>
        <v>7385371.54473479</v>
      </c>
      <c r="J111" s="149">
        <f t="shared" si="9"/>
        <v>7385371.54473479</v>
      </c>
      <c r="K111" s="149">
        <f t="shared" si="9"/>
        <v>7385371.54473479</v>
      </c>
      <c r="L111" s="149">
        <f t="shared" si="9"/>
        <v>7385371.54473479</v>
      </c>
      <c r="M111" s="149">
        <f t="shared" si="9"/>
        <v>7385371.54473479</v>
      </c>
      <c r="N111" s="149">
        <f t="shared" si="9"/>
        <v>7385371.54473479</v>
      </c>
      <c r="O111" s="149">
        <f t="shared" si="9"/>
        <v>7385371.54473479</v>
      </c>
      <c r="P111" s="149">
        <f t="shared" si="9"/>
        <v>7385371.54473479</v>
      </c>
      <c r="Q111" s="149">
        <f t="shared" si="9"/>
        <v>7385371.54473479</v>
      </c>
      <c r="R111" s="149">
        <f t="shared" si="9"/>
        <v>7385371.54473479</v>
      </c>
      <c r="S111" s="149">
        <f t="shared" si="9"/>
        <v>7385371.54473479</v>
      </c>
      <c r="T111" s="149">
        <f t="shared" si="9"/>
        <v>7385371.54473479</v>
      </c>
      <c r="U111" s="149">
        <f t="shared" si="9"/>
        <v>7385371.54473479</v>
      </c>
      <c r="V111" s="149">
        <f t="shared" si="9"/>
        <v>7385371.54473479</v>
      </c>
      <c r="W111" s="149">
        <f t="shared" si="9"/>
        <v>7385371.54473479</v>
      </c>
      <c r="X111" s="149">
        <f t="shared" si="9"/>
        <v>7385371.54473479</v>
      </c>
      <c r="Y111" s="149">
        <f t="shared" si="9"/>
        <v>7385371.54473479</v>
      </c>
      <c r="Z111" s="149">
        <f t="shared" si="9"/>
        <v>7385371.54473479</v>
      </c>
      <c r="AA111" s="149">
        <f t="shared" si="9"/>
        <v>7385371.54473479</v>
      </c>
      <c r="AB111" s="149">
        <f t="shared" si="9"/>
        <v>7385371.54473479</v>
      </c>
      <c r="AC111" s="149">
        <f t="shared" si="9"/>
        <v>7385371.54473479</v>
      </c>
      <c r="AD111" s="149">
        <f t="shared" si="9"/>
        <v>7385371.54473479</v>
      </c>
      <c r="AE111" s="149">
        <f t="shared" si="9"/>
        <v>7385371.54473479</v>
      </c>
      <c r="AF111" s="149">
        <f t="shared" si="9"/>
        <v>7385371.54473479</v>
      </c>
      <c r="AG111" s="149">
        <f t="shared" si="9"/>
        <v>7385371.54473479</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2415075175.292315</v>
      </c>
      <c r="D113" s="149">
        <f>$C$102</f>
        <v>80502505.843077153</v>
      </c>
      <c r="E113" s="149">
        <f t="shared" ref="E113:AG113" si="10">$C$102</f>
        <v>80502505.843077153</v>
      </c>
      <c r="F113" s="149">
        <f t="shared" si="10"/>
        <v>80502505.843077153</v>
      </c>
      <c r="G113" s="149">
        <f t="shared" si="10"/>
        <v>80502505.843077153</v>
      </c>
      <c r="H113" s="149">
        <f t="shared" si="10"/>
        <v>80502505.843077153</v>
      </c>
      <c r="I113" s="149">
        <f t="shared" si="10"/>
        <v>80502505.843077153</v>
      </c>
      <c r="J113" s="149">
        <f t="shared" si="10"/>
        <v>80502505.843077153</v>
      </c>
      <c r="K113" s="149">
        <f t="shared" si="10"/>
        <v>80502505.843077153</v>
      </c>
      <c r="L113" s="149">
        <f t="shared" si="10"/>
        <v>80502505.843077153</v>
      </c>
      <c r="M113" s="149">
        <f t="shared" si="10"/>
        <v>80502505.843077153</v>
      </c>
      <c r="N113" s="149">
        <f t="shared" si="10"/>
        <v>80502505.843077153</v>
      </c>
      <c r="O113" s="149">
        <f t="shared" si="10"/>
        <v>80502505.843077153</v>
      </c>
      <c r="P113" s="149">
        <f t="shared" si="10"/>
        <v>80502505.843077153</v>
      </c>
      <c r="Q113" s="149">
        <f t="shared" si="10"/>
        <v>80502505.843077153</v>
      </c>
      <c r="R113" s="149">
        <f t="shared" si="10"/>
        <v>80502505.843077153</v>
      </c>
      <c r="S113" s="149">
        <f t="shared" si="10"/>
        <v>80502505.843077153</v>
      </c>
      <c r="T113" s="149">
        <f t="shared" si="10"/>
        <v>80502505.843077153</v>
      </c>
      <c r="U113" s="149">
        <f t="shared" si="10"/>
        <v>80502505.843077153</v>
      </c>
      <c r="V113" s="149">
        <f t="shared" si="10"/>
        <v>80502505.843077153</v>
      </c>
      <c r="W113" s="149">
        <f t="shared" si="10"/>
        <v>80502505.843077153</v>
      </c>
      <c r="X113" s="149">
        <f t="shared" si="10"/>
        <v>80502505.843077153</v>
      </c>
      <c r="Y113" s="149">
        <f t="shared" si="10"/>
        <v>80502505.843077153</v>
      </c>
      <c r="Z113" s="149">
        <f t="shared" si="10"/>
        <v>80502505.843077153</v>
      </c>
      <c r="AA113" s="149">
        <f t="shared" si="10"/>
        <v>80502505.843077153</v>
      </c>
      <c r="AB113" s="149">
        <f t="shared" si="10"/>
        <v>80502505.843077153</v>
      </c>
      <c r="AC113" s="149">
        <f t="shared" si="10"/>
        <v>80502505.843077153</v>
      </c>
      <c r="AD113" s="149">
        <f t="shared" si="10"/>
        <v>80502505.843077153</v>
      </c>
      <c r="AE113" s="149">
        <f t="shared" si="10"/>
        <v>80502505.843077153</v>
      </c>
      <c r="AF113" s="149">
        <f t="shared" si="10"/>
        <v>80502505.843077153</v>
      </c>
      <c r="AG113" s="149">
        <f t="shared" si="10"/>
        <v>80502505.843077153</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89</v>
      </c>
      <c r="B115" s="69" t="s">
        <v>87</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90</v>
      </c>
      <c r="B116" s="69" t="s">
        <v>87</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91</v>
      </c>
      <c r="B118" s="69" t="s">
        <v>87</v>
      </c>
      <c r="C118" s="126"/>
      <c r="D118" s="149">
        <f>D113+D115+D116</f>
        <v>80502505.843077153</v>
      </c>
      <c r="E118" s="149">
        <f t="shared" ref="E118:AG118" si="13">E113+E115+E116</f>
        <v>80502505.843077153</v>
      </c>
      <c r="F118" s="149">
        <f>F113+F115+F116</f>
        <v>80502505.843077153</v>
      </c>
      <c r="G118" s="149">
        <f t="shared" si="13"/>
        <v>80502505.843077153</v>
      </c>
      <c r="H118" s="149">
        <f t="shared" si="13"/>
        <v>80502505.843077153</v>
      </c>
      <c r="I118" s="149">
        <f t="shared" si="13"/>
        <v>80502505.843077153</v>
      </c>
      <c r="J118" s="149">
        <f t="shared" si="13"/>
        <v>80502505.843077153</v>
      </c>
      <c r="K118" s="149">
        <f t="shared" si="13"/>
        <v>80502505.843077153</v>
      </c>
      <c r="L118" s="149">
        <f t="shared" si="13"/>
        <v>80502505.843077153</v>
      </c>
      <c r="M118" s="149">
        <f t="shared" si="13"/>
        <v>80502505.843077153</v>
      </c>
      <c r="N118" s="149">
        <f t="shared" si="13"/>
        <v>80502505.843077153</v>
      </c>
      <c r="O118" s="149">
        <f t="shared" si="13"/>
        <v>80502505.843077153</v>
      </c>
      <c r="P118" s="149">
        <f t="shared" si="13"/>
        <v>80502505.843077153</v>
      </c>
      <c r="Q118" s="149">
        <f t="shared" si="13"/>
        <v>80502505.843077153</v>
      </c>
      <c r="R118" s="149">
        <f t="shared" si="13"/>
        <v>80502505.843077153</v>
      </c>
      <c r="S118" s="149">
        <f t="shared" si="13"/>
        <v>80502505.843077153</v>
      </c>
      <c r="T118" s="149">
        <f t="shared" si="13"/>
        <v>80502505.843077153</v>
      </c>
      <c r="U118" s="149">
        <f t="shared" si="13"/>
        <v>80502505.843077153</v>
      </c>
      <c r="V118" s="149">
        <f t="shared" si="13"/>
        <v>80502505.843077153</v>
      </c>
      <c r="W118" s="149">
        <f t="shared" si="13"/>
        <v>80502505.843077153</v>
      </c>
      <c r="X118" s="149">
        <f t="shared" si="13"/>
        <v>80502505.843077153</v>
      </c>
      <c r="Y118" s="149">
        <f t="shared" si="13"/>
        <v>80502505.843077153</v>
      </c>
      <c r="Z118" s="149">
        <f t="shared" si="13"/>
        <v>80502505.843077153</v>
      </c>
      <c r="AA118" s="149">
        <f t="shared" si="13"/>
        <v>80502505.843077153</v>
      </c>
      <c r="AB118" s="149">
        <f t="shared" si="13"/>
        <v>80502505.843077153</v>
      </c>
      <c r="AC118" s="149">
        <f t="shared" si="13"/>
        <v>80502505.843077153</v>
      </c>
      <c r="AD118" s="149">
        <f t="shared" si="13"/>
        <v>80502505.843077153</v>
      </c>
      <c r="AE118" s="149">
        <f t="shared" si="13"/>
        <v>80502505.843077153</v>
      </c>
      <c r="AF118" s="149">
        <f t="shared" si="13"/>
        <v>80502505.843077153</v>
      </c>
      <c r="AG118" s="149">
        <f t="shared" si="13"/>
        <v>80502505.843077153</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1932060.1402338517</v>
      </c>
      <c r="E120" s="149">
        <f>(SUM($D$118:E118)*$C$104/$C$106)+(SUM($D$118:E118)*$C$105/$C$107)</f>
        <v>3864120.2804677035</v>
      </c>
      <c r="F120" s="149">
        <f>(SUM($D$118:F118)*$C$104/$C$106)+(SUM($D$118:F118)*$C$105/$C$107)</f>
        <v>5796180.420701555</v>
      </c>
      <c r="G120" s="149">
        <f>(SUM($D$118:G118)*$C$104/$C$106)+(SUM($D$118:G118)*$C$105/$C$107)</f>
        <v>7728240.5609354069</v>
      </c>
      <c r="H120" s="149">
        <f>(SUM($D$118:H118)*$C$104/$C$106)+(SUM($D$118:H118)*$C$105/$C$107)</f>
        <v>9660300.701169258</v>
      </c>
      <c r="I120" s="149">
        <f>(SUM($D$118:I118)*$C$104/$C$106)+(SUM($D$118:I118)*$C$105/$C$107)</f>
        <v>11592360.84140311</v>
      </c>
      <c r="J120" s="149">
        <f>(SUM($D$118:J118)*$C$104/$C$106)+(SUM($D$118:J118)*$C$105/$C$107)</f>
        <v>13524420.981636964</v>
      </c>
      <c r="K120" s="149">
        <f>(SUM($D$118:K118)*$C$104/$C$106)+(SUM($D$118:K118)*$C$105/$C$107)</f>
        <v>15456481.121870816</v>
      </c>
      <c r="L120" s="149">
        <f>(SUM($D$118:L118)*$C$104/$C$106)+(SUM($D$118:L118)*$C$105/$C$107)</f>
        <v>17388541.262104668</v>
      </c>
      <c r="M120" s="149">
        <f>(SUM($D$118:M118)*$C$104/$C$106)+(SUM($D$118:M118)*$C$105/$C$107)</f>
        <v>19320601.40233852</v>
      </c>
      <c r="N120" s="149">
        <f>(SUM($D$118:N118)*$C$104/$C$106)+(SUM($D$118:N118)*$C$105/$C$107)</f>
        <v>21252661.542572372</v>
      </c>
      <c r="O120" s="149">
        <f>(SUM($D$118:O118)*$C$104/$C$106)+(SUM($D$118:O118)*$C$105/$C$107)</f>
        <v>23184721.682806224</v>
      </c>
      <c r="P120" s="149">
        <f>(SUM($D$118:P118)*$C$104/$C$106)+(SUM($D$118:P118)*$C$105/$C$107)</f>
        <v>25116781.823040076</v>
      </c>
      <c r="Q120" s="149">
        <f>(SUM($D$118:Q118)*$C$104/$C$106)+(SUM($D$118:Q118)*$C$105/$C$107)</f>
        <v>27048841.963273928</v>
      </c>
      <c r="R120" s="149">
        <f>(SUM($D$118:R118)*$C$104/$C$106)+(SUM($D$118:R118)*$C$105/$C$107)</f>
        <v>28980902.10350778</v>
      </c>
      <c r="S120" s="149">
        <f>(SUM($D$118:S118)*$C$104/$C$106)+(SUM($D$118:S118)*$C$105/$C$107)</f>
        <v>30912962.243741632</v>
      </c>
      <c r="T120" s="149">
        <f>(SUM($D$118:T118)*$C$104/$C$106)+(SUM($D$118:T118)*$C$105/$C$107)</f>
        <v>32845022.383975483</v>
      </c>
      <c r="U120" s="149">
        <f>(SUM($D$118:U118)*$C$104/$C$106)+(SUM($D$118:U118)*$C$105/$C$107)</f>
        <v>34777082.524209335</v>
      </c>
      <c r="V120" s="149">
        <f>(SUM($D$118:V118)*$C$104/$C$106)+(SUM($D$118:V118)*$C$105/$C$107)</f>
        <v>36709142.664443187</v>
      </c>
      <c r="W120" s="149">
        <f>(SUM($D$118:W118)*$C$104/$C$106)+(SUM($D$118:W118)*$C$105/$C$107)</f>
        <v>38641202.804677039</v>
      </c>
      <c r="X120" s="149">
        <f>(SUM($D$118:X118)*$C$104/$C$106)+(SUM($D$118:X118)*$C$105/$C$107)</f>
        <v>40573262.944910899</v>
      </c>
      <c r="Y120" s="149">
        <f>(SUM($D$118:Y118)*$C$104/$C$106)+(SUM($D$118:Y118)*$C$105/$C$107)</f>
        <v>42505323.085144743</v>
      </c>
      <c r="Z120" s="149">
        <f>(SUM($D$118:Z118)*$C$104/$C$106)+(SUM($D$118:Z118)*$C$105/$C$107)</f>
        <v>44437383.225378603</v>
      </c>
      <c r="AA120" s="149">
        <f>(SUM($D$118:AA118)*$C$104/$C$106)+(SUM($D$118:AA118)*$C$105/$C$107)</f>
        <v>46369443.365612447</v>
      </c>
      <c r="AB120" s="149">
        <f>(SUM($D$118:AB118)*$C$104/$C$106)+(SUM($D$118:AB118)*$C$105/$C$107)</f>
        <v>48301503.505846299</v>
      </c>
      <c r="AC120" s="149">
        <f>(SUM($D$118:AC118)*$C$104/$C$106)+(SUM($D$118:AC118)*$C$105/$C$107)</f>
        <v>50233563.646080151</v>
      </c>
      <c r="AD120" s="149">
        <f>(SUM($D$118:AD118)*$C$104/$C$106)+(SUM($D$118:AD118)*$C$105/$C$107)</f>
        <v>52165623.786313996</v>
      </c>
      <c r="AE120" s="149">
        <f>(SUM($D$118:AE118)*$C$104/$C$106)+(SUM($D$118:AE118)*$C$105/$C$107)</f>
        <v>54097683.926547855</v>
      </c>
      <c r="AF120" s="149">
        <f>(SUM($D$118:AF118)*$C$104/$C$106)+(SUM($D$118:AF118)*$C$105/$C$107)</f>
        <v>56029744.066781707</v>
      </c>
      <c r="AG120" s="149">
        <f>(SUM($D$118:AG118)*$C$104/$C$106)+(SUM($D$118:AG118)*$C$105/$C$107)</f>
        <v>57961804.207015559</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92</v>
      </c>
      <c r="B122" s="69" t="s">
        <v>87</v>
      </c>
      <c r="C122" s="126"/>
      <c r="D122" s="72">
        <f>(SUM($D$118:D118)*$C$109)</f>
        <v>2415075.1752923145</v>
      </c>
      <c r="E122" s="72">
        <f>(SUM($D$118:E118)*$C$109)</f>
        <v>4830150.350584629</v>
      </c>
      <c r="F122" s="72">
        <f>(SUM($D$118:F118)*$C$109)</f>
        <v>7245225.525876944</v>
      </c>
      <c r="G122" s="72">
        <f>(SUM($D$118:G118)*$C$109)</f>
        <v>9660300.701169258</v>
      </c>
      <c r="H122" s="72">
        <f>(SUM($D$118:H118)*$C$109)</f>
        <v>12075375.876461573</v>
      </c>
      <c r="I122" s="72">
        <f>(SUM($D$118:I118)*$C$109)</f>
        <v>14490451.051753888</v>
      </c>
      <c r="J122" s="72">
        <f>(SUM($D$118:J118)*$C$109)</f>
        <v>16905526.227046203</v>
      </c>
      <c r="K122" s="72">
        <f>(SUM($D$118:K118)*$C$109)</f>
        <v>19320601.40233852</v>
      </c>
      <c r="L122" s="72">
        <f>(SUM($D$118:L118)*$C$109)</f>
        <v>21735676.577630837</v>
      </c>
      <c r="M122" s="72">
        <f>(SUM($D$118:M118)*$C$109)</f>
        <v>24150751.75292315</v>
      </c>
      <c r="N122" s="72">
        <f>(SUM($D$118:N118)*$C$109)</f>
        <v>26565826.928215466</v>
      </c>
      <c r="O122" s="72">
        <f>(SUM($D$118:O118)*$C$109)</f>
        <v>28980902.10350778</v>
      </c>
      <c r="P122" s="72">
        <f>(SUM($D$118:P118)*$C$109)</f>
        <v>31395977.278800096</v>
      </c>
      <c r="Q122" s="72">
        <f>(SUM($D$118:Q118)*$C$109)</f>
        <v>33811052.454092406</v>
      </c>
      <c r="R122" s="72">
        <f>(SUM($D$118:R118)*$C$109)</f>
        <v>36226127.629384726</v>
      </c>
      <c r="S122" s="72">
        <f>(SUM($D$118:S118)*$C$109)</f>
        <v>38641202.804677039</v>
      </c>
      <c r="T122" s="72">
        <f>(SUM($D$118:T118)*$C$109)</f>
        <v>41056277.979969352</v>
      </c>
      <c r="U122" s="72">
        <f>(SUM($D$118:U118)*$C$109)</f>
        <v>43471353.155261673</v>
      </c>
      <c r="V122" s="72">
        <f>(SUM($D$118:V118)*$C$109)</f>
        <v>45886428.330553986</v>
      </c>
      <c r="W122" s="72">
        <f>(SUM($D$118:W118)*$C$109)</f>
        <v>48301503.505846299</v>
      </c>
      <c r="X122" s="72">
        <f>(SUM($D$118:X118)*$C$109)</f>
        <v>50716578.68113862</v>
      </c>
      <c r="Y122" s="72">
        <f>(SUM($D$118:Y118)*$C$109)</f>
        <v>53131653.856430933</v>
      </c>
      <c r="Z122" s="72">
        <f>(SUM($D$118:Z118)*$C$109)</f>
        <v>55546729.031723246</v>
      </c>
      <c r="AA122" s="72">
        <f>(SUM($D$118:AA118)*$C$109)</f>
        <v>57961804.207015559</v>
      </c>
      <c r="AB122" s="72">
        <f>(SUM($D$118:AB118)*$C$109)</f>
        <v>60376879.38230788</v>
      </c>
      <c r="AC122" s="72">
        <f>(SUM($D$118:AC118)*$C$109)</f>
        <v>62791954.557600193</v>
      </c>
      <c r="AD122" s="72">
        <f>(SUM($D$118:AD118)*$C$109)</f>
        <v>65207029.732892498</v>
      </c>
      <c r="AE122" s="72">
        <f>(SUM($D$118:AE118)*$C$109)</f>
        <v>67622104.908184811</v>
      </c>
      <c r="AF122" s="72">
        <f>(SUM($D$118:AF118)*$C$109)</f>
        <v>70037180.083477139</v>
      </c>
      <c r="AG122" s="72">
        <f>(SUM($D$118:AG118)*$C$109)</f>
        <v>72452255.258769453</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150</v>
      </c>
      <c r="B126" s="77" t="s">
        <v>195</v>
      </c>
      <c r="C126" s="126">
        <v>38000</v>
      </c>
      <c r="D126" s="140"/>
    </row>
    <row r="127" spans="1:33" x14ac:dyDescent="0.35">
      <c r="A127" s="77" t="s">
        <v>149</v>
      </c>
      <c r="B127" s="77" t="s">
        <v>132</v>
      </c>
      <c r="C127" s="126">
        <v>38000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114</v>
      </c>
      <c r="B129" s="77" t="s">
        <v>87</v>
      </c>
      <c r="C129" s="126">
        <f>AVERAGE(C126:C127)</f>
        <v>38000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124</v>
      </c>
      <c r="B131" s="77" t="s">
        <v>123</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154</v>
      </c>
      <c r="B133" s="77" t="s">
        <v>155</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100</v>
      </c>
      <c r="B135" s="79" t="s">
        <v>87</v>
      </c>
      <c r="C135" s="156">
        <f>C129/C131</f>
        <v>14074.074074074073</v>
      </c>
      <c r="D135" s="157">
        <f>$C$135*D13</f>
        <v>14158.518518518518</v>
      </c>
      <c r="E135" s="157">
        <f t="shared" ref="E135:AG135" si="14">$C$135*E13</f>
        <v>14243.469629629628</v>
      </c>
      <c r="F135" s="157">
        <f t="shared" si="14"/>
        <v>14328.930447407405</v>
      </c>
      <c r="G135" s="157">
        <f t="shared" si="14"/>
        <v>14414.90403009185</v>
      </c>
      <c r="H135" s="157">
        <f t="shared" si="14"/>
        <v>14501.393454272402</v>
      </c>
      <c r="I135" s="157">
        <f t="shared" si="14"/>
        <v>14588.401814998037</v>
      </c>
      <c r="J135" s="157">
        <f t="shared" si="14"/>
        <v>14675.932225888022</v>
      </c>
      <c r="K135" s="157">
        <f t="shared" si="14"/>
        <v>14763.987819243352</v>
      </c>
      <c r="L135" s="157">
        <f t="shared" si="14"/>
        <v>14852.571746158812</v>
      </c>
      <c r="M135" s="157">
        <f t="shared" si="14"/>
        <v>14941.687176635764</v>
      </c>
      <c r="N135" s="157">
        <f t="shared" si="14"/>
        <v>15031.337299695577</v>
      </c>
      <c r="O135" s="157">
        <f t="shared" si="14"/>
        <v>15121.525323493754</v>
      </c>
      <c r="P135" s="157">
        <f t="shared" si="14"/>
        <v>15212.254475434716</v>
      </c>
      <c r="Q135" s="157">
        <f t="shared" si="14"/>
        <v>15303.528002287325</v>
      </c>
      <c r="R135" s="157">
        <f t="shared" si="14"/>
        <v>15395.349170301046</v>
      </c>
      <c r="S135" s="157">
        <f t="shared" si="14"/>
        <v>15487.721265322854</v>
      </c>
      <c r="T135" s="157">
        <f t="shared" si="14"/>
        <v>15580.647592914789</v>
      </c>
      <c r="U135" s="157">
        <f t="shared" si="14"/>
        <v>15674.131478472278</v>
      </c>
      <c r="V135" s="157">
        <f t="shared" si="14"/>
        <v>15768.176267343113</v>
      </c>
      <c r="W135" s="157">
        <f t="shared" si="14"/>
        <v>15862.785324947174</v>
      </c>
      <c r="X135" s="157">
        <f t="shared" si="14"/>
        <v>15957.962036896854</v>
      </c>
      <c r="Y135" s="157">
        <f t="shared" si="14"/>
        <v>16053.709809118234</v>
      </c>
      <c r="Z135" s="157">
        <f t="shared" si="14"/>
        <v>16150.032067972943</v>
      </c>
      <c r="AA135" s="157">
        <f t="shared" si="14"/>
        <v>16246.932260380783</v>
      </c>
      <c r="AB135" s="157">
        <f t="shared" si="14"/>
        <v>16344.413853943068</v>
      </c>
      <c r="AC135" s="157">
        <f t="shared" si="14"/>
        <v>16442.480337066725</v>
      </c>
      <c r="AD135" s="157">
        <f t="shared" si="14"/>
        <v>16541.135219089123</v>
      </c>
      <c r="AE135" s="157">
        <f t="shared" si="14"/>
        <v>16640.38203040366</v>
      </c>
      <c r="AF135" s="157">
        <f t="shared" si="14"/>
        <v>16740.22432258608</v>
      </c>
      <c r="AG135" s="157">
        <f t="shared" si="14"/>
        <v>16840.6656685216</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0" zoomScaleNormal="8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106</v>
      </c>
      <c r="B4" s="35"/>
      <c r="C4" s="34"/>
      <c r="D4" s="53"/>
      <c r="E4" s="65">
        <v>0.6</v>
      </c>
      <c r="F4" s="65">
        <v>0.55000000000000004</v>
      </c>
      <c r="G4" s="65">
        <v>0.5</v>
      </c>
      <c r="H4" s="65">
        <v>0.3</v>
      </c>
      <c r="I4" s="65">
        <v>0.2</v>
      </c>
      <c r="J4" s="65">
        <v>0.1</v>
      </c>
      <c r="K4" s="65">
        <v>0.1</v>
      </c>
      <c r="L4" s="65">
        <v>0.08</v>
      </c>
      <c r="M4" s="65">
        <v>7.0000000000000007E-2</v>
      </c>
      <c r="N4" s="65">
        <v>7.0000000000000007E-2</v>
      </c>
      <c r="O4" s="65">
        <v>0.06</v>
      </c>
      <c r="P4" s="65">
        <v>0.06</v>
      </c>
      <c r="Q4" s="65">
        <v>5.5E-2</v>
      </c>
      <c r="R4" s="65">
        <v>5.5E-2</v>
      </c>
      <c r="S4" s="65">
        <v>5.5E-2</v>
      </c>
      <c r="T4" s="65">
        <v>0.05</v>
      </c>
      <c r="U4" s="65">
        <v>0.05</v>
      </c>
      <c r="V4" s="65">
        <v>0.05</v>
      </c>
      <c r="W4" s="65">
        <v>0.05</v>
      </c>
      <c r="X4" s="65">
        <v>0.05</v>
      </c>
      <c r="Y4" s="65">
        <v>0.05</v>
      </c>
      <c r="Z4" s="65">
        <v>0.05</v>
      </c>
      <c r="AA4" s="65">
        <v>0.05</v>
      </c>
      <c r="AB4" s="65">
        <v>0.05</v>
      </c>
      <c r="AC4" s="65">
        <v>0.05</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2.4877509527570116</v>
      </c>
      <c r="C6" s="25"/>
      <c r="D6" s="25"/>
      <c r="E6" s="27">
        <f>'Debt worksheet'!C5/'Profit and Loss'!C5</f>
        <v>0.99572031574287767</v>
      </c>
      <c r="F6" s="28">
        <f ca="1">'Debt worksheet'!D5/'Profit and Loss'!D5</f>
        <v>2.2602456644406295</v>
      </c>
      <c r="G6" s="28">
        <f ca="1">'Debt worksheet'!E5/'Profit and Loss'!E5</f>
        <v>2.4752562368615409</v>
      </c>
      <c r="H6" s="28">
        <f ca="1">'Debt worksheet'!F5/'Profit and Loss'!F5</f>
        <v>2.4877509527570116</v>
      </c>
      <c r="I6" s="28">
        <f ca="1">'Debt worksheet'!G5/'Profit and Loss'!G5</f>
        <v>2.4454868854666403</v>
      </c>
      <c r="J6" s="28">
        <f ca="1">'Debt worksheet'!H5/'Profit and Loss'!H5</f>
        <v>2.4810641757714782</v>
      </c>
      <c r="K6" s="28">
        <f ca="1">'Debt worksheet'!I5/'Profit and Loss'!I5</f>
        <v>2.4732714296232565</v>
      </c>
      <c r="L6" s="28">
        <f ca="1">'Debt worksheet'!J5/'Profit and Loss'!J5</f>
        <v>2.4698455351218929</v>
      </c>
      <c r="M6" s="28">
        <f ca="1">'Debt worksheet'!K5/'Profit and Loss'!K5</f>
        <v>2.4668559712733233</v>
      </c>
      <c r="N6" s="28">
        <f ca="1">'Debt worksheet'!L5/'Profit and Loss'!L5</f>
        <v>2.4500860681069225</v>
      </c>
      <c r="O6" s="28">
        <f ca="1">'Debt worksheet'!M5/'Profit and Loss'!M5</f>
        <v>2.4419311245626041</v>
      </c>
      <c r="P6" s="28">
        <f ca="1">'Debt worksheet'!N5/'Profit and Loss'!N5</f>
        <v>2.4277974146871788</v>
      </c>
      <c r="Q6" s="28">
        <f ca="1">'Debt worksheet'!O5/'Profit and Loss'!O5</f>
        <v>2.4183171861759933</v>
      </c>
      <c r="R6" s="28">
        <f ca="1">'Debt worksheet'!P5/'Profit and Loss'!P5</f>
        <v>2.4058226159659299</v>
      </c>
      <c r="S6" s="28">
        <f ca="1">'Debt worksheet'!Q5/'Profit and Loss'!Q5</f>
        <v>2.3895313486920395</v>
      </c>
      <c r="T6" s="28">
        <f ca="1">'Debt worksheet'!R5/'Profit and Loss'!R5</f>
        <v>2.3800194035526694</v>
      </c>
      <c r="U6" s="28">
        <f ca="1">'Debt worksheet'!S5/'Profit and Loss'!S5</f>
        <v>2.3698549196618512</v>
      </c>
      <c r="V6" s="28">
        <f ca="1">'Debt worksheet'!T5/'Profit and Loss'!T5</f>
        <v>2.3583273307849111</v>
      </c>
      <c r="W6" s="28">
        <f ca="1">'Debt worksheet'!U5/'Profit and Loss'!U5</f>
        <v>2.3447816449811265</v>
      </c>
      <c r="X6" s="28">
        <f ca="1">'Debt worksheet'!V5/'Profit and Loss'!V5</f>
        <v>2.3286155263339108</v>
      </c>
      <c r="Y6" s="28">
        <f ca="1">'Debt worksheet'!W5/'Profit and Loss'!W5</f>
        <v>2.3092765067996646</v>
      </c>
      <c r="Z6" s="28">
        <f ca="1">'Debt worksheet'!X5/'Profit and Loss'!X5</f>
        <v>2.2862593228483985</v>
      </c>
      <c r="AA6" s="28">
        <f ca="1">'Debt worksheet'!Y5/'Profit and Loss'!Y5</f>
        <v>2.2591033717766864</v>
      </c>
      <c r="AB6" s="28">
        <f ca="1">'Debt worksheet'!Z5/'Profit and Loss'!Z5</f>
        <v>2.2273902827731051</v>
      </c>
      <c r="AC6" s="28">
        <f ca="1">'Debt worksheet'!AA5/'Profit and Loss'!AA5</f>
        <v>2.1907415980084233</v>
      </c>
      <c r="AD6" s="28">
        <f ca="1">'Debt worksheet'!AB5/'Profit and Loss'!AB5</f>
        <v>2.2076882457612368</v>
      </c>
      <c r="AE6" s="28">
        <f ca="1">'Debt worksheet'!AC5/'Profit and Loss'!AC5</f>
        <v>2.2456416364133198</v>
      </c>
      <c r="AF6" s="28">
        <f ca="1">'Debt worksheet'!AD5/'Profit and Loss'!AD5</f>
        <v>2.30474616064514</v>
      </c>
      <c r="AG6" s="28">
        <f ca="1">'Debt worksheet'!AE5/'Profit and Loss'!AE5</f>
        <v>2.3851487965366145</v>
      </c>
      <c r="AH6" s="28">
        <f ca="1">'Debt worksheet'!AF5/'Profit and Loss'!AF5</f>
        <v>2.4869991243947984</v>
      </c>
      <c r="AI6" s="31"/>
    </row>
    <row r="7" spans="1:35" ht="21" x14ac:dyDescent="0.5">
      <c r="A7" s="19" t="s">
        <v>39</v>
      </c>
      <c r="B7" s="26">
        <f ca="1">MIN('Price and Financial ratios'!E7:AH7)</f>
        <v>0.21558608613743821</v>
      </c>
      <c r="C7" s="26"/>
      <c r="D7" s="26"/>
      <c r="E7" s="56">
        <f ca="1">'Cash Flow'!C7/'Debt worksheet'!C5</f>
        <v>0.37527030153802116</v>
      </c>
      <c r="F7" s="32">
        <f ca="1">'Cash Flow'!D7/'Debt worksheet'!D5</f>
        <v>0.21558608613743821</v>
      </c>
      <c r="G7" s="32">
        <f ca="1">'Cash Flow'!E7/'Debt worksheet'!E5</f>
        <v>0.23915535812704547</v>
      </c>
      <c r="H7" s="32">
        <f ca="1">'Cash Flow'!F7/'Debt worksheet'!F5</f>
        <v>0.25689649488547606</v>
      </c>
      <c r="I7" s="32">
        <f ca="1">'Cash Flow'!G7/'Debt worksheet'!G5</f>
        <v>0.27085964122658412</v>
      </c>
      <c r="J7" s="32">
        <f ca="1">'Cash Flow'!H7/'Debt worksheet'!H5</f>
        <v>0.26580526346778516</v>
      </c>
      <c r="K7" s="32">
        <f ca="1">'Cash Flow'!I7/'Debt worksheet'!I5</f>
        <v>0.26687086646040892</v>
      </c>
      <c r="L7" s="32">
        <f ca="1">'Cash Flow'!J7/'Debt worksheet'!J5</f>
        <v>0.26592550514497632</v>
      </c>
      <c r="M7" s="17">
        <f ca="1">'Cash Flow'!K7/'Debt worksheet'!K5</f>
        <v>0.26438303256318862</v>
      </c>
      <c r="N7" s="17">
        <f ca="1">'Cash Flow'!L7/'Debt worksheet'!L5</f>
        <v>0.26500919143081769</v>
      </c>
      <c r="O7" s="17">
        <f ca="1">'Cash Flow'!M7/'Debt worksheet'!M5</f>
        <v>0.26386500199596757</v>
      </c>
      <c r="P7" s="17">
        <f ca="1">'Cash Flow'!N7/'Debt worksheet'!N5</f>
        <v>0.26383553846223068</v>
      </c>
      <c r="Q7" s="17">
        <f ca="1">'Cash Flow'!O7/'Debt worksheet'!O5</f>
        <v>0.26297790614520383</v>
      </c>
      <c r="R7" s="17">
        <f ca="1">'Cash Flow'!P7/'Debt worksheet'!P5</f>
        <v>0.26280847452164913</v>
      </c>
      <c r="S7" s="17">
        <f ca="1">'Cash Flow'!Q7/'Debt worksheet'!Q5</f>
        <v>0.2634145111546411</v>
      </c>
      <c r="T7" s="17">
        <f ca="1">'Cash Flow'!R7/'Debt worksheet'!R5</f>
        <v>0.26281097285073574</v>
      </c>
      <c r="U7" s="17">
        <f ca="1">'Cash Flow'!S7/'Debt worksheet'!S5</f>
        <v>0.26253895695883994</v>
      </c>
      <c r="V7" s="17">
        <f ca="1">'Cash Flow'!T7/'Debt worksheet'!T5</f>
        <v>0.26267802257367118</v>
      </c>
      <c r="W7" s="17">
        <f ca="1">'Cash Flow'!U7/'Debt worksheet'!U5</f>
        <v>0.26330417901690867</v>
      </c>
      <c r="X7" s="17">
        <f ca="1">'Cash Flow'!V7/'Debt worksheet'!V5</f>
        <v>0.26449193057331288</v>
      </c>
      <c r="Y7" s="17">
        <f ca="1">'Cash Flow'!W7/'Debt worksheet'!W5</f>
        <v>0.26631660398891482</v>
      </c>
      <c r="Z7" s="17">
        <f ca="1">'Cash Flow'!X7/'Debt worksheet'!X5</f>
        <v>0.26885697178377277</v>
      </c>
      <c r="AA7" s="17">
        <f ca="1">'Cash Flow'!Y7/'Debt worksheet'!Y5</f>
        <v>0.27219823293844791</v>
      </c>
      <c r="AB7" s="17">
        <f ca="1">'Cash Flow'!Z7/'Debt worksheet'!Z5</f>
        <v>0.27643546696931082</v>
      </c>
      <c r="AC7" s="17">
        <f ca="1">'Cash Flow'!AA7/'Debt worksheet'!AA5</f>
        <v>0.28167774351682695</v>
      </c>
      <c r="AD7" s="17">
        <f ca="1">'Cash Flow'!AB7/'Debt worksheet'!AB5</f>
        <v>0.2751931235262815</v>
      </c>
      <c r="AE7" s="17">
        <f ca="1">'Cash Flow'!AC7/'Debt worksheet'!AC5</f>
        <v>0.26600109094495472</v>
      </c>
      <c r="AF7" s="17">
        <f ca="1">'Cash Flow'!AD7/'Debt worksheet'!AD5</f>
        <v>0.25446810537038589</v>
      </c>
      <c r="AG7" s="17">
        <f ca="1">'Cash Flow'!AE7/'Debt worksheet'!AE5</f>
        <v>0.24105752483113213</v>
      </c>
      <c r="AH7" s="17">
        <f ca="1">'Cash Flow'!AF7/'Debt worksheet'!AF5</f>
        <v>0.22627982150782516</v>
      </c>
      <c r="AI7" s="29"/>
    </row>
    <row r="8" spans="1:35" ht="21" x14ac:dyDescent="0.5">
      <c r="A8" s="19" t="s">
        <v>34</v>
      </c>
      <c r="B8" s="26">
        <f ca="1">MAX('Price and Financial ratios'!E8:AH8)</f>
        <v>0.57931155296331094</v>
      </c>
      <c r="C8" s="26"/>
      <c r="D8" s="176"/>
      <c r="E8" s="17">
        <f>'Balance Sheet'!B11/'Balance Sheet'!B8</f>
        <v>0.12567783218139761</v>
      </c>
      <c r="F8" s="17">
        <f ca="1">'Balance Sheet'!C11/'Balance Sheet'!C8</f>
        <v>0.44492552893272463</v>
      </c>
      <c r="G8" s="17">
        <f ca="1">'Balance Sheet'!D11/'Balance Sheet'!D8</f>
        <v>0.5532484290128914</v>
      </c>
      <c r="H8" s="17">
        <f ca="1">'Balance Sheet'!E11/'Balance Sheet'!E8</f>
        <v>0.57931155296331094</v>
      </c>
      <c r="I8" s="17">
        <f ca="1">'Balance Sheet'!F11/'Balance Sheet'!F8</f>
        <v>0.56829380542648322</v>
      </c>
      <c r="J8" s="17">
        <f ca="1">'Balance Sheet'!G11/'Balance Sheet'!G8</f>
        <v>0.54126949011834569</v>
      </c>
      <c r="K8" s="17">
        <f ca="1">'Balance Sheet'!H11/'Balance Sheet'!H8</f>
        <v>0.51634456210548563</v>
      </c>
      <c r="L8" s="17">
        <f ca="1">'Balance Sheet'!I11/'Balance Sheet'!I8</f>
        <v>0.4916614511957339</v>
      </c>
      <c r="M8" s="17">
        <f ca="1">'Balance Sheet'!J11/'Balance Sheet'!J8</f>
        <v>0.46936232872331229</v>
      </c>
      <c r="N8" s="17">
        <f ca="1">'Balance Sheet'!K11/'Balance Sheet'!K8</f>
        <v>0.44982040266184842</v>
      </c>
      <c r="O8" s="17">
        <f ca="1">'Balance Sheet'!L11/'Balance Sheet'!L8</f>
        <v>0.43193882586997079</v>
      </c>
      <c r="P8" s="17">
        <f ca="1">'Balance Sheet'!M11/'Balance Sheet'!M8</f>
        <v>0.41649099857931154</v>
      </c>
      <c r="Q8" s="17">
        <f ca="1">'Balance Sheet'!N11/'Balance Sheet'!N8</f>
        <v>0.40272358405606673</v>
      </c>
      <c r="R8" s="17">
        <f ca="1">'Balance Sheet'!O11/'Balance Sheet'!O8</f>
        <v>0.39081430675437201</v>
      </c>
      <c r="S8" s="17">
        <f ca="1">'Balance Sheet'!P11/'Balance Sheet'!P8</f>
        <v>0.38025257898493897</v>
      </c>
      <c r="T8" s="17">
        <f ca="1">'Balance Sheet'!Q11/'Balance Sheet'!Q8</f>
        <v>0.37063376151833316</v>
      </c>
      <c r="U8" s="17">
        <f ca="1">'Balance Sheet'!R11/'Balance Sheet'!R8</f>
        <v>0.36234385589246437</v>
      </c>
      <c r="V8" s="17">
        <f ca="1">'Balance Sheet'!S11/'Balance Sheet'!S8</f>
        <v>0.3550678252935866</v>
      </c>
      <c r="W8" s="17">
        <f ca="1">'Balance Sheet'!T11/'Balance Sheet'!T8</f>
        <v>0.34854491263321952</v>
      </c>
      <c r="X8" s="17">
        <f ca="1">'Balance Sheet'!U11/'Balance Sheet'!U8</f>
        <v>0.34255555053372072</v>
      </c>
      <c r="Y8" s="17">
        <f ca="1">'Balance Sheet'!V11/'Balance Sheet'!V8</f>
        <v>0.33691179382068775</v>
      </c>
      <c r="Z8" s="17">
        <f ca="1">'Balance Sheet'!W11/'Balance Sheet'!W8</f>
        <v>0.33145021346985548</v>
      </c>
      <c r="AA8" s="17">
        <f ca="1">'Balance Sheet'!X11/'Balance Sheet'!X8</f>
        <v>0.32602654108876905</v>
      </c>
      <c r="AB8" s="17">
        <f ca="1">'Balance Sheet'!Y11/'Balance Sheet'!Y8</f>
        <v>0.32051157831175947</v>
      </c>
      <c r="AC8" s="17">
        <f ca="1">'Balance Sheet'!Z11/'Balance Sheet'!Z8</f>
        <v>0.31478803351917317</v>
      </c>
      <c r="AD8" s="17">
        <f ca="1">'Balance Sheet'!AA11/'Balance Sheet'!AA8</f>
        <v>0.30874804742010636</v>
      </c>
      <c r="AE8" s="17">
        <f ca="1">'Balance Sheet'!AB11/'Balance Sheet'!AB8</f>
        <v>0.30605471620945834</v>
      </c>
      <c r="AF8" s="17">
        <f ca="1">'Balance Sheet'!AC11/'Balance Sheet'!AC8</f>
        <v>0.3064685684069175</v>
      </c>
      <c r="AG8" s="17">
        <f ca="1">'Balance Sheet'!AD11/'Balance Sheet'!AD8</f>
        <v>0.30978332898865496</v>
      </c>
      <c r="AH8" s="17">
        <f ca="1">'Balance Sheet'!AE11/'Balance Sheet'!AE8</f>
        <v>0.31582060271239132</v>
      </c>
      <c r="AI8" s="29"/>
    </row>
    <row r="9" spans="1:35" ht="21.5" thickBot="1" x14ac:dyDescent="0.55000000000000004">
      <c r="A9" s="20" t="s">
        <v>33</v>
      </c>
      <c r="B9" s="21">
        <f ca="1">MIN('Price and Financial ratios'!E9:AH9)</f>
        <v>4.0292017305419963</v>
      </c>
      <c r="C9" s="21"/>
      <c r="D9" s="177"/>
      <c r="E9" s="21">
        <f ca="1">('Cash Flow'!C7+'Profit and Loss'!C8)/('Profit and Loss'!C8)</f>
        <v>4.0292017305419963</v>
      </c>
      <c r="F9" s="21">
        <f ca="1">('Cash Flow'!D7+'Profit and Loss'!D8)/('Profit and Loss'!D8)</f>
        <v>4.727339274520868</v>
      </c>
      <c r="G9" s="21">
        <f ca="1">('Cash Flow'!E7+'Profit and Loss'!E8)/('Profit and Loss'!E8)</f>
        <v>6.1985712454074422</v>
      </c>
      <c r="H9" s="21">
        <f ca="1">('Cash Flow'!F7+'Profit and Loss'!F8)/('Profit and Loss'!F8)</f>
        <v>7.1851818204009588</v>
      </c>
      <c r="I9" s="21">
        <f ca="1">('Cash Flow'!G7+'Profit and Loss'!G8)/('Profit and Loss'!G8)</f>
        <v>7.89307380905539</v>
      </c>
      <c r="J9" s="21">
        <f ca="1">('Cash Flow'!H7+'Profit and Loss'!H8)/('Profit and Loss'!H8)</f>
        <v>7.8844790649540704</v>
      </c>
      <c r="K9" s="21">
        <f ca="1">('Cash Flow'!I7+'Profit and Loss'!I8)/('Profit and Loss'!I8)</f>
        <v>8.0277025673434004</v>
      </c>
      <c r="L9" s="21">
        <f ca="1">('Cash Flow'!J7+'Profit and Loss'!J8)/('Profit and Loss'!J8)</f>
        <v>8.0670178721244845</v>
      </c>
      <c r="M9" s="21">
        <f ca="1">('Cash Flow'!K7+'Profit and Loss'!K8)/('Profit and Loss'!K8)</f>
        <v>8.0655541629470697</v>
      </c>
      <c r="N9" s="21">
        <f ca="1">('Cash Flow'!L7+'Profit and Loss'!L8)/('Profit and Loss'!L8)</f>
        <v>8.1242143381621759</v>
      </c>
      <c r="O9" s="21">
        <f ca="1">('Cash Flow'!M7+'Profit and Loss'!M8)/('Profit and Loss'!M8)</f>
        <v>8.1110030737999708</v>
      </c>
      <c r="P9" s="21">
        <f ca="1">('Cash Flow'!N7+'Profit and Loss'!N8)/('Profit and Loss'!N8)</f>
        <v>8.1304016161776183</v>
      </c>
      <c r="Q9" s="21">
        <f ca="1">('Cash Flow'!O7+'Profit and Loss'!O8)/('Profit and Loss'!O8)</f>
        <v>8.1162375590404672</v>
      </c>
      <c r="R9" s="21">
        <f ca="1">('Cash Flow'!P7+'Profit and Loss'!P8)/('Profit and Loss'!P8)</f>
        <v>8.1231444478558377</v>
      </c>
      <c r="S9" s="21">
        <f ca="1">('Cash Flow'!Q7+'Profit and Loss'!Q8)/('Profit and Loss'!Q8)</f>
        <v>8.1534674704851344</v>
      </c>
      <c r="T9" s="21">
        <f ca="1">('Cash Flow'!R7+'Profit and Loss'!R8)/('Profit and Loss'!R8)</f>
        <v>8.1391565882749823</v>
      </c>
      <c r="U9" s="21">
        <f ca="1">('Cash Flow'!S7+'Profit and Loss'!S8)/('Profit and Loss'!S8)</f>
        <v>8.1360207957724988</v>
      </c>
      <c r="V9" s="21">
        <f ca="1">('Cash Flow'!T7+'Profit and Loss'!T8)/('Profit and Loss'!T8)</f>
        <v>8.1461165068880081</v>
      </c>
      <c r="W9" s="21">
        <f ca="1">('Cash Flow'!U7+'Profit and Loss'!U8)/('Profit and Loss'!U8)</f>
        <v>8.1714511560117309</v>
      </c>
      <c r="X9" s="21">
        <f ca="1">('Cash Flow'!V7+'Profit and Loss'!V8)/('Profit and Loss'!V8)</f>
        <v>8.2140467764254907</v>
      </c>
      <c r="Y9" s="21">
        <f ca="1">('Cash Flow'!W7+'Profit and Loss'!W8)/('Profit and Loss'!W8)</f>
        <v>8.2760113507580861</v>
      </c>
      <c r="Z9" s="21">
        <f ca="1">('Cash Flow'!X7+'Profit and Loss'!X8)/('Profit and Loss'!X8)</f>
        <v>8.3596195479433959</v>
      </c>
      <c r="AA9" s="21">
        <f ca="1">('Cash Flow'!Y7+'Profit and Loss'!Y8)/('Profit and Loss'!Y8)</f>
        <v>8.4674059325407267</v>
      </c>
      <c r="AB9" s="21">
        <f ca="1">('Cash Flow'!Z7+'Profit and Loss'!Z8)/('Profit and Loss'!Z8)</f>
        <v>8.6022755086837392</v>
      </c>
      <c r="AC9" s="21">
        <f ca="1">('Cash Flow'!AA7+'Profit and Loss'!AA8)/('Profit and Loss'!AA8)</f>
        <v>8.7676387840037577</v>
      </c>
      <c r="AD9" s="21">
        <f ca="1">('Cash Flow'!AB7+'Profit and Loss'!AB8)/('Profit and Loss'!AB8)</f>
        <v>8.518270552491412</v>
      </c>
      <c r="AE9" s="21">
        <f ca="1">('Cash Flow'!AC7+'Profit and Loss'!AC8)/('Profit and Loss'!AC8)</f>
        <v>8.2025096478930646</v>
      </c>
      <c r="AF9" s="21">
        <f ca="1">('Cash Flow'!AD7+'Profit and Loss'!AD8)/('Profit and Loss'!AD8)</f>
        <v>7.8331988339809344</v>
      </c>
      <c r="AG9" s="21">
        <f ca="1">('Cash Flow'!AE7+'Profit and Loss'!AE8)/('Profit and Loss'!AE8)</f>
        <v>7.4245633696179327</v>
      </c>
      <c r="AH9" s="21">
        <f ca="1">('Cash Flow'!AF7+'Profit and Loss'!AF8)/('Profit and Loss'!AF8)</f>
        <v>6.9908613593669653</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160</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7385371.54473479</v>
      </c>
      <c r="D5" s="1">
        <f>Assumptions!E111</f>
        <v>7385371.54473479</v>
      </c>
      <c r="E5" s="1">
        <f>Assumptions!F111</f>
        <v>7385371.54473479</v>
      </c>
      <c r="F5" s="1">
        <f>Assumptions!G111</f>
        <v>7385371.54473479</v>
      </c>
      <c r="G5" s="1">
        <f>Assumptions!H111</f>
        <v>7385371.54473479</v>
      </c>
      <c r="H5" s="1">
        <f>Assumptions!I111</f>
        <v>7385371.54473479</v>
      </c>
      <c r="I5" s="1">
        <f>Assumptions!J111</f>
        <v>7385371.54473479</v>
      </c>
      <c r="J5" s="1">
        <f>Assumptions!K111</f>
        <v>7385371.54473479</v>
      </c>
      <c r="K5" s="1">
        <f>Assumptions!L111</f>
        <v>7385371.54473479</v>
      </c>
      <c r="L5" s="1">
        <f>Assumptions!M111</f>
        <v>7385371.54473479</v>
      </c>
      <c r="M5" s="1">
        <f>Assumptions!N111</f>
        <v>7385371.54473479</v>
      </c>
      <c r="N5" s="1">
        <f>Assumptions!O111</f>
        <v>7385371.54473479</v>
      </c>
      <c r="O5" s="1">
        <f>Assumptions!P111</f>
        <v>7385371.54473479</v>
      </c>
      <c r="P5" s="1">
        <f>Assumptions!Q111</f>
        <v>7385371.54473479</v>
      </c>
      <c r="Q5" s="1">
        <f>Assumptions!R111</f>
        <v>7385371.54473479</v>
      </c>
      <c r="R5" s="1">
        <f>Assumptions!S111</f>
        <v>7385371.54473479</v>
      </c>
      <c r="S5" s="1">
        <f>Assumptions!T111</f>
        <v>7385371.54473479</v>
      </c>
      <c r="T5" s="1">
        <f>Assumptions!U111</f>
        <v>7385371.54473479</v>
      </c>
      <c r="U5" s="1">
        <f>Assumptions!V111</f>
        <v>7385371.54473479</v>
      </c>
      <c r="V5" s="1">
        <f>Assumptions!W111</f>
        <v>7385371.54473479</v>
      </c>
      <c r="W5" s="1">
        <f>Assumptions!X111</f>
        <v>7385371.54473479</v>
      </c>
      <c r="X5" s="1">
        <f>Assumptions!Y111</f>
        <v>7385371.54473479</v>
      </c>
      <c r="Y5" s="1">
        <f>Assumptions!Z111</f>
        <v>7385371.54473479</v>
      </c>
      <c r="Z5" s="1">
        <f>Assumptions!AA111</f>
        <v>7385371.54473479</v>
      </c>
      <c r="AA5" s="1">
        <f>Assumptions!AB111</f>
        <v>7385371.54473479</v>
      </c>
      <c r="AB5" s="1">
        <f>Assumptions!AC111</f>
        <v>7385371.54473479</v>
      </c>
      <c r="AC5" s="1">
        <f>Assumptions!AD111</f>
        <v>7385371.54473479</v>
      </c>
      <c r="AD5" s="1">
        <f>Assumptions!AE111</f>
        <v>7385371.54473479</v>
      </c>
      <c r="AE5" s="1">
        <f>Assumptions!AF111</f>
        <v>7385371.54473479</v>
      </c>
      <c r="AF5" s="1">
        <f>Assumptions!AG111</f>
        <v>7385371.54473479</v>
      </c>
    </row>
    <row r="6" spans="1:32" x14ac:dyDescent="0.35">
      <c r="A6" t="s">
        <v>69</v>
      </c>
      <c r="C6" s="1">
        <f>Assumptions!D113</f>
        <v>80502505.843077153</v>
      </c>
      <c r="D6" s="1">
        <f>Assumptions!E113</f>
        <v>80502505.843077153</v>
      </c>
      <c r="E6" s="1">
        <f>Assumptions!F113</f>
        <v>80502505.843077153</v>
      </c>
      <c r="F6" s="1">
        <f>Assumptions!G113</f>
        <v>80502505.843077153</v>
      </c>
      <c r="G6" s="1">
        <f>Assumptions!H113</f>
        <v>80502505.843077153</v>
      </c>
      <c r="H6" s="1">
        <f>Assumptions!I113</f>
        <v>80502505.843077153</v>
      </c>
      <c r="I6" s="1">
        <f>Assumptions!J113</f>
        <v>80502505.843077153</v>
      </c>
      <c r="J6" s="1">
        <f>Assumptions!K113</f>
        <v>80502505.843077153</v>
      </c>
      <c r="K6" s="1">
        <f>Assumptions!L113</f>
        <v>80502505.843077153</v>
      </c>
      <c r="L6" s="1">
        <f>Assumptions!M113</f>
        <v>80502505.843077153</v>
      </c>
      <c r="M6" s="1">
        <f>Assumptions!N113</f>
        <v>80502505.843077153</v>
      </c>
      <c r="N6" s="1">
        <f>Assumptions!O113</f>
        <v>80502505.843077153</v>
      </c>
      <c r="O6" s="1">
        <f>Assumptions!P113</f>
        <v>80502505.843077153</v>
      </c>
      <c r="P6" s="1">
        <f>Assumptions!Q113</f>
        <v>80502505.843077153</v>
      </c>
      <c r="Q6" s="1">
        <f>Assumptions!R113</f>
        <v>80502505.843077153</v>
      </c>
      <c r="R6" s="1">
        <f>Assumptions!S113</f>
        <v>80502505.843077153</v>
      </c>
      <c r="S6" s="1">
        <f>Assumptions!T113</f>
        <v>80502505.843077153</v>
      </c>
      <c r="T6" s="1">
        <f>Assumptions!U113</f>
        <v>80502505.843077153</v>
      </c>
      <c r="U6" s="1">
        <f>Assumptions!V113</f>
        <v>80502505.843077153</v>
      </c>
      <c r="V6" s="1">
        <f>Assumptions!W113</f>
        <v>80502505.843077153</v>
      </c>
      <c r="W6" s="1">
        <f>Assumptions!X113</f>
        <v>80502505.843077153</v>
      </c>
      <c r="X6" s="1">
        <f>Assumptions!Y113</f>
        <v>80502505.843077153</v>
      </c>
      <c r="Y6" s="1">
        <f>Assumptions!Z113</f>
        <v>80502505.843077153</v>
      </c>
      <c r="Z6" s="1">
        <f>Assumptions!AA113</f>
        <v>80502505.843077153</v>
      </c>
      <c r="AA6" s="1">
        <f>Assumptions!AB113</f>
        <v>80502505.843077153</v>
      </c>
      <c r="AB6" s="1">
        <f>Assumptions!AC113</f>
        <v>80502505.843077153</v>
      </c>
      <c r="AC6" s="1">
        <f>Assumptions!AD113</f>
        <v>80502505.843077153</v>
      </c>
      <c r="AD6" s="1">
        <f>Assumptions!AE113</f>
        <v>80502505.843077153</v>
      </c>
      <c r="AE6" s="1">
        <f>Assumptions!AF113</f>
        <v>80502505.843077153</v>
      </c>
      <c r="AF6" s="1">
        <f>Assumptions!AG113</f>
        <v>80502505.843077153</v>
      </c>
    </row>
    <row r="7" spans="1:32" x14ac:dyDescent="0.35">
      <c r="A7" t="s">
        <v>74</v>
      </c>
      <c r="C7" s="1">
        <f>Assumptions!D120</f>
        <v>1932060.1402338517</v>
      </c>
      <c r="D7" s="1">
        <f>Assumptions!E120</f>
        <v>3864120.2804677035</v>
      </c>
      <c r="E7" s="1">
        <f>Assumptions!F120</f>
        <v>5796180.420701555</v>
      </c>
      <c r="F7" s="1">
        <f>Assumptions!G120</f>
        <v>7728240.5609354069</v>
      </c>
      <c r="G7" s="1">
        <f>Assumptions!H120</f>
        <v>9660300.701169258</v>
      </c>
      <c r="H7" s="1">
        <f>Assumptions!I120</f>
        <v>11592360.84140311</v>
      </c>
      <c r="I7" s="1">
        <f>Assumptions!J120</f>
        <v>13524420.981636964</v>
      </c>
      <c r="J7" s="1">
        <f>Assumptions!K120</f>
        <v>15456481.121870816</v>
      </c>
      <c r="K7" s="1">
        <f>Assumptions!L120</f>
        <v>17388541.262104668</v>
      </c>
      <c r="L7" s="1">
        <f>Assumptions!M120</f>
        <v>19320601.40233852</v>
      </c>
      <c r="M7" s="1">
        <f>Assumptions!N120</f>
        <v>21252661.542572372</v>
      </c>
      <c r="N7" s="1">
        <f>Assumptions!O120</f>
        <v>23184721.682806224</v>
      </c>
      <c r="O7" s="1">
        <f>Assumptions!P120</f>
        <v>25116781.823040076</v>
      </c>
      <c r="P7" s="1">
        <f>Assumptions!Q120</f>
        <v>27048841.963273928</v>
      </c>
      <c r="Q7" s="1">
        <f>Assumptions!R120</f>
        <v>28980902.10350778</v>
      </c>
      <c r="R7" s="1">
        <f>Assumptions!S120</f>
        <v>30912962.243741632</v>
      </c>
      <c r="S7" s="1">
        <f>Assumptions!T120</f>
        <v>32845022.383975483</v>
      </c>
      <c r="T7" s="1">
        <f>Assumptions!U120</f>
        <v>34777082.524209335</v>
      </c>
      <c r="U7" s="1">
        <f>Assumptions!V120</f>
        <v>36709142.664443187</v>
      </c>
      <c r="V7" s="1">
        <f>Assumptions!W120</f>
        <v>38641202.804677039</v>
      </c>
      <c r="W7" s="1">
        <f>Assumptions!X120</f>
        <v>40573262.944910899</v>
      </c>
      <c r="X7" s="1">
        <f>Assumptions!Y120</f>
        <v>42505323.085144743</v>
      </c>
      <c r="Y7" s="1">
        <f>Assumptions!Z120</f>
        <v>44437383.225378603</v>
      </c>
      <c r="Z7" s="1">
        <f>Assumptions!AA120</f>
        <v>46369443.365612447</v>
      </c>
      <c r="AA7" s="1">
        <f>Assumptions!AB120</f>
        <v>48301503.505846299</v>
      </c>
      <c r="AB7" s="1">
        <f>Assumptions!AC120</f>
        <v>50233563.646080151</v>
      </c>
      <c r="AC7" s="1">
        <f>Assumptions!AD120</f>
        <v>52165623.786313996</v>
      </c>
      <c r="AD7" s="1">
        <f>Assumptions!AE120</f>
        <v>54097683.926547855</v>
      </c>
      <c r="AE7" s="1">
        <f>Assumptions!AF120</f>
        <v>56029744.066781707</v>
      </c>
      <c r="AF7" s="1">
        <f>Assumptions!AG120</f>
        <v>57961804.207015559</v>
      </c>
    </row>
    <row r="9" spans="1:32" x14ac:dyDescent="0.35">
      <c r="A9" t="s">
        <v>93</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7621703.4341663038</v>
      </c>
      <c r="D11" s="1">
        <f>D5*D$9</f>
        <v>7865597.9440596243</v>
      </c>
      <c r="E11" s="1">
        <f t="shared" ref="D11:AF13" si="1">E5*E$9</f>
        <v>8117297.078269532</v>
      </c>
      <c r="F11" s="1">
        <f t="shared" si="1"/>
        <v>8377050.584774157</v>
      </c>
      <c r="G11" s="1">
        <f t="shared" si="1"/>
        <v>8645116.2034869306</v>
      </c>
      <c r="H11" s="1">
        <f t="shared" si="1"/>
        <v>8921759.921998512</v>
      </c>
      <c r="I11" s="1">
        <f t="shared" si="1"/>
        <v>9207256.2395024635</v>
      </c>
      <c r="J11" s="1">
        <f t="shared" si="1"/>
        <v>9501888.439166544</v>
      </c>
      <c r="K11" s="1">
        <f t="shared" si="1"/>
        <v>9805948.8692198731</v>
      </c>
      <c r="L11" s="1">
        <f t="shared" si="1"/>
        <v>10119739.233034909</v>
      </c>
      <c r="M11" s="1">
        <f t="shared" si="1"/>
        <v>10443570.888492025</v>
      </c>
      <c r="N11" s="1">
        <f t="shared" si="1"/>
        <v>10777765.156923771</v>
      </c>
      <c r="O11" s="1">
        <f t="shared" si="1"/>
        <v>11122653.641945332</v>
      </c>
      <c r="P11" s="1">
        <f t="shared" si="1"/>
        <v>11478578.558487581</v>
      </c>
      <c r="Q11" s="1">
        <f t="shared" si="1"/>
        <v>11845893.072359182</v>
      </c>
      <c r="R11" s="1">
        <f t="shared" si="1"/>
        <v>12224961.650674678</v>
      </c>
      <c r="S11" s="1">
        <f t="shared" si="1"/>
        <v>12616160.423496269</v>
      </c>
      <c r="T11" s="1">
        <f t="shared" si="1"/>
        <v>13019877.557048148</v>
      </c>
      <c r="U11" s="1">
        <f t="shared" si="1"/>
        <v>13436513.638873687</v>
      </c>
      <c r="V11" s="1">
        <f t="shared" si="1"/>
        <v>13866482.075317647</v>
      </c>
      <c r="W11" s="1">
        <f t="shared" si="1"/>
        <v>14310209.501727812</v>
      </c>
      <c r="X11" s="1">
        <f t="shared" si="1"/>
        <v>14768136.205783101</v>
      </c>
      <c r="Y11" s="1">
        <f t="shared" si="1"/>
        <v>15240716.564368157</v>
      </c>
      <c r="Z11" s="1">
        <f t="shared" si="1"/>
        <v>15728419.49442794</v>
      </c>
      <c r="AA11" s="1">
        <f t="shared" si="1"/>
        <v>16231728.918249637</v>
      </c>
      <c r="AB11" s="1">
        <f t="shared" si="1"/>
        <v>16751144.243633622</v>
      </c>
      <c r="AC11" s="1">
        <f t="shared" si="1"/>
        <v>17287180.859429896</v>
      </c>
      <c r="AD11" s="1">
        <f t="shared" si="1"/>
        <v>17840370.646931656</v>
      </c>
      <c r="AE11" s="1">
        <f t="shared" si="1"/>
        <v>18411262.50763347</v>
      </c>
      <c r="AF11" s="1">
        <f t="shared" si="1"/>
        <v>19000422.907877736</v>
      </c>
    </row>
    <row r="12" spans="1:32" x14ac:dyDescent="0.35">
      <c r="A12" t="s">
        <v>72</v>
      </c>
      <c r="C12" s="1">
        <f t="shared" ref="C12:R12" si="2">C6*C$9</f>
        <v>83078586.030055627</v>
      </c>
      <c r="D12" s="1">
        <f t="shared" si="2"/>
        <v>85737100.783017397</v>
      </c>
      <c r="E12" s="1">
        <f t="shared" si="2"/>
        <v>88480688.008073956</v>
      </c>
      <c r="F12" s="1">
        <f t="shared" si="2"/>
        <v>91312070.024332315</v>
      </c>
      <c r="G12" s="1">
        <f t="shared" si="2"/>
        <v>94234056.26511097</v>
      </c>
      <c r="H12" s="1">
        <f t="shared" si="2"/>
        <v>97249546.065594494</v>
      </c>
      <c r="I12" s="1">
        <f t="shared" si="2"/>
        <v>100361531.5396935</v>
      </c>
      <c r="J12" s="1">
        <f t="shared" si="2"/>
        <v>103573100.54896373</v>
      </c>
      <c r="K12" s="1">
        <f t="shared" si="2"/>
        <v>106887439.76653057</v>
      </c>
      <c r="L12" s="1">
        <f t="shared" si="2"/>
        <v>110307837.83905953</v>
      </c>
      <c r="M12" s="1">
        <f t="shared" si="2"/>
        <v>113837688.64990944</v>
      </c>
      <c r="N12" s="1">
        <f t="shared" si="2"/>
        <v>117480494.68670654</v>
      </c>
      <c r="O12" s="1">
        <f t="shared" si="2"/>
        <v>121239870.51668116</v>
      </c>
      <c r="P12" s="1">
        <f t="shared" si="2"/>
        <v>125119546.37321493</v>
      </c>
      <c r="Q12" s="1">
        <f t="shared" si="2"/>
        <v>129123371.8571578</v>
      </c>
      <c r="R12" s="1">
        <f t="shared" si="2"/>
        <v>133255319.75658688</v>
      </c>
      <c r="S12" s="1">
        <f t="shared" si="1"/>
        <v>137519489.98879766</v>
      </c>
      <c r="T12" s="1">
        <f t="shared" si="1"/>
        <v>141920113.66843918</v>
      </c>
      <c r="U12" s="1">
        <f t="shared" si="1"/>
        <v>146461557.3058292</v>
      </c>
      <c r="V12" s="1">
        <f t="shared" si="1"/>
        <v>151148327.13961577</v>
      </c>
      <c r="W12" s="1">
        <f t="shared" si="1"/>
        <v>155985073.60808349</v>
      </c>
      <c r="X12" s="1">
        <f t="shared" si="1"/>
        <v>160976595.96354213</v>
      </c>
      <c r="Y12" s="1">
        <f t="shared" si="1"/>
        <v>166127847.03437546</v>
      </c>
      <c r="Z12" s="1">
        <f t="shared" si="1"/>
        <v>171443938.13947546</v>
      </c>
      <c r="AA12" s="1">
        <f t="shared" si="1"/>
        <v>176930144.15993875</v>
      </c>
      <c r="AB12" s="1">
        <f t="shared" si="1"/>
        <v>182591908.77305675</v>
      </c>
      <c r="AC12" s="1">
        <f t="shared" si="1"/>
        <v>188434849.85379454</v>
      </c>
      <c r="AD12" s="1">
        <f t="shared" si="1"/>
        <v>194464765.04911599</v>
      </c>
      <c r="AE12" s="1">
        <f t="shared" si="1"/>
        <v>200687637.53068769</v>
      </c>
      <c r="AF12" s="1">
        <f t="shared" si="1"/>
        <v>207109641.93166968</v>
      </c>
    </row>
    <row r="13" spans="1:32" x14ac:dyDescent="0.35">
      <c r="A13" t="s">
        <v>75</v>
      </c>
      <c r="C13" s="1">
        <f>C7*C$9</f>
        <v>1993886.064721335</v>
      </c>
      <c r="D13" s="1">
        <f t="shared" si="1"/>
        <v>4115380.8375848355</v>
      </c>
      <c r="E13" s="1">
        <f t="shared" si="1"/>
        <v>6370609.5365813244</v>
      </c>
      <c r="F13" s="1">
        <f t="shared" si="1"/>
        <v>8765958.722335903</v>
      </c>
      <c r="G13" s="1">
        <f t="shared" si="1"/>
        <v>11308086.751813315</v>
      </c>
      <c r="H13" s="1">
        <f t="shared" si="1"/>
        <v>14003934.633445607</v>
      </c>
      <c r="I13" s="1">
        <f t="shared" si="1"/>
        <v>16860737.298668511</v>
      </c>
      <c r="J13" s="1">
        <f t="shared" si="1"/>
        <v>19886035.305401038</v>
      </c>
      <c r="K13" s="1">
        <f t="shared" si="1"/>
        <v>23087686.989570606</v>
      </c>
      <c r="L13" s="1">
        <f t="shared" si="1"/>
        <v>26473881.081374291</v>
      </c>
      <c r="M13" s="1">
        <f t="shared" si="1"/>
        <v>30053149.803576093</v>
      </c>
      <c r="N13" s="1">
        <f t="shared" si="1"/>
        <v>33834382.46977149</v>
      </c>
      <c r="O13" s="1">
        <f t="shared" si="1"/>
        <v>37826839.601204529</v>
      </c>
      <c r="P13" s="1">
        <f t="shared" si="1"/>
        <v>42040167.581400223</v>
      </c>
      <c r="Q13" s="1">
        <f t="shared" si="1"/>
        <v>46484413.86857681</v>
      </c>
      <c r="R13" s="1">
        <f t="shared" si="1"/>
        <v>51170042.78652937</v>
      </c>
      <c r="S13" s="1">
        <f t="shared" si="1"/>
        <v>56107951.915429458</v>
      </c>
      <c r="T13" s="1">
        <f t="shared" si="1"/>
        <v>61309489.104765728</v>
      </c>
      <c r="U13" s="1">
        <f t="shared" si="1"/>
        <v>66786470.131458126</v>
      </c>
      <c r="V13" s="1">
        <f t="shared" si="1"/>
        <v>72551197.027015582</v>
      </c>
      <c r="W13" s="1">
        <f t="shared" si="1"/>
        <v>78616477.0984741</v>
      </c>
      <c r="X13" s="1">
        <f t="shared" si="1"/>
        <v>84995642.668750256</v>
      </c>
      <c r="Y13" s="1">
        <f t="shared" si="1"/>
        <v>91702571.562975287</v>
      </c>
      <c r="Z13" s="1">
        <f t="shared" si="1"/>
        <v>98751708.368337885</v>
      </c>
      <c r="AA13" s="1">
        <f t="shared" si="1"/>
        <v>106158086.49596326</v>
      </c>
      <c r="AB13" s="1">
        <f t="shared" si="1"/>
        <v>113937351.07438743</v>
      </c>
      <c r="AC13" s="1">
        <f t="shared" si="1"/>
        <v>122105782.70525886</v>
      </c>
      <c r="AD13" s="1">
        <f t="shared" si="1"/>
        <v>130680322.11300597</v>
      </c>
      <c r="AE13" s="1">
        <f t="shared" si="1"/>
        <v>139678595.72135866</v>
      </c>
      <c r="AF13" s="1">
        <f t="shared" si="1"/>
        <v>149118942.19080219</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98</v>
      </c>
      <c r="C25" s="40">
        <f>SUM(C11:C13,C18:C23)</f>
        <v>92694175.528943256</v>
      </c>
      <c r="D25" s="40">
        <f>SUM(D11:D13,D18:D23)</f>
        <v>97718079.56466186</v>
      </c>
      <c r="E25" s="40">
        <f t="shared" ref="E25:AF25" si="7">SUM(E11:E13,E18:E23)</f>
        <v>102968594.6229248</v>
      </c>
      <c r="F25" s="40">
        <f t="shared" si="7"/>
        <v>108455079.33144237</v>
      </c>
      <c r="G25" s="40">
        <f t="shared" si="7"/>
        <v>114187259.22041121</v>
      </c>
      <c r="H25" s="40">
        <f t="shared" si="7"/>
        <v>120175240.62103862</v>
      </c>
      <c r="I25" s="40">
        <f t="shared" si="7"/>
        <v>126429525.07786447</v>
      </c>
      <c r="J25" s="40">
        <f t="shared" si="7"/>
        <v>132961024.29353131</v>
      </c>
      <c r="K25" s="40">
        <f t="shared" si="7"/>
        <v>139781075.62532106</v>
      </c>
      <c r="L25" s="40">
        <f t="shared" si="7"/>
        <v>146901458.15346873</v>
      </c>
      <c r="M25" s="40">
        <f t="shared" si="7"/>
        <v>154334409.34197754</v>
      </c>
      <c r="N25" s="40">
        <f t="shared" si="7"/>
        <v>162092642.31340182</v>
      </c>
      <c r="O25" s="40">
        <f t="shared" si="7"/>
        <v>170189363.75983101</v>
      </c>
      <c r="P25" s="40">
        <f t="shared" si="7"/>
        <v>178638292.51310274</v>
      </c>
      <c r="Q25" s="40">
        <f t="shared" si="7"/>
        <v>187453678.7980938</v>
      </c>
      <c r="R25" s="40">
        <f t="shared" si="7"/>
        <v>196650324.19379091</v>
      </c>
      <c r="S25" s="40">
        <f t="shared" si="7"/>
        <v>206243602.32772338</v>
      </c>
      <c r="T25" s="40">
        <f t="shared" si="7"/>
        <v>216249480.33025306</v>
      </c>
      <c r="U25" s="40">
        <f t="shared" si="7"/>
        <v>226684541.07616103</v>
      </c>
      <c r="V25" s="40">
        <f t="shared" si="7"/>
        <v>237566006.24194902</v>
      </c>
      <c r="W25" s="40">
        <f t="shared" si="7"/>
        <v>248911760.20828539</v>
      </c>
      <c r="X25" s="40">
        <f t="shared" si="7"/>
        <v>260740374.83807549</v>
      </c>
      <c r="Y25" s="40">
        <f t="shared" si="7"/>
        <v>273071135.1617189</v>
      </c>
      <c r="Z25" s="40">
        <f t="shared" si="7"/>
        <v>285924066.00224131</v>
      </c>
      <c r="AA25" s="40">
        <f t="shared" si="7"/>
        <v>299319959.57415164</v>
      </c>
      <c r="AB25" s="40">
        <f t="shared" si="7"/>
        <v>313280404.0910778</v>
      </c>
      <c r="AC25" s="40">
        <f t="shared" si="7"/>
        <v>327827813.41848332</v>
      </c>
      <c r="AD25" s="40">
        <f t="shared" si="7"/>
        <v>342985457.8090536</v>
      </c>
      <c r="AE25" s="40">
        <f t="shared" si="7"/>
        <v>358777495.75967979</v>
      </c>
      <c r="AF25" s="40">
        <f t="shared" si="7"/>
        <v>375229007.03034961</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161</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31937683.199999999</v>
      </c>
      <c r="D5" s="59">
        <f>C5*('Price and Financial ratios'!F4+1)*(1+Assumptions!$C$13)</f>
        <v>49800429.413759999</v>
      </c>
      <c r="E5" s="59">
        <f>D5*('Price and Financial ratios'!G4+1)*(1+Assumptions!$C$13)</f>
        <v>75148847.985363841</v>
      </c>
      <c r="F5" s="59">
        <f>E5*('Price and Financial ratios'!H4+1)*(1+Assumptions!$C$13)</f>
        <v>98279663.395258829</v>
      </c>
      <c r="G5" s="59">
        <f>F5*('Price and Financial ratios'!I4+1)*(1+Assumptions!$C$13)</f>
        <v>118643209.65075645</v>
      </c>
      <c r="H5" s="59">
        <f>G5*('Price and Financial ratios'!J4+1)*(1+Assumptions!$C$13)</f>
        <v>131290575.79952709</v>
      </c>
      <c r="I5" s="59">
        <f>H5*('Price and Financial ratios'!K4+1)*(1+Assumptions!$C$13)</f>
        <v>145286151.1797567</v>
      </c>
      <c r="J5" s="59">
        <f>I5*('Price and Financial ratios'!L4+1)*(1+Assumptions!$C$13)</f>
        <v>157850497.53378209</v>
      </c>
      <c r="K5" s="59">
        <f>J5*('Price and Financial ratios'!M4+1)*(1+Assumptions!$C$13)</f>
        <v>169913432.55531371</v>
      </c>
      <c r="L5" s="59">
        <f>K5*('Price and Financial ratios'!N4+1)*(1+Assumptions!$C$13)</f>
        <v>182898217.0711908</v>
      </c>
      <c r="M5" s="59">
        <f>L5*('Price and Financial ratios'!O4+1)*(1+Assumptions!$C$13)</f>
        <v>195035342.75603503</v>
      </c>
      <c r="N5" s="59">
        <f>M5*('Price and Financial ratios'!P4+1)*(1+Assumptions!$C$13)</f>
        <v>207977888.10132554</v>
      </c>
      <c r="O5" s="59">
        <f>N5*('Price and Financial ratios'!Q4+1)*(1+Assumptions!$C$13)</f>
        <v>220733171.97857982</v>
      </c>
      <c r="P5" s="59">
        <f>O5*('Price and Financial ratios'!R4+1)*(1+Assumptions!$C$13)</f>
        <v>234270737.41602609</v>
      </c>
      <c r="Q5" s="59">
        <f>P5*('Price and Financial ratios'!S4+1)*(1+Assumptions!$C$13)</f>
        <v>248638561.74175096</v>
      </c>
      <c r="R5" s="59">
        <f>Q5*('Price and Financial ratios'!T4+1)*(1+Assumptions!$C$13)</f>
        <v>262636912.76781157</v>
      </c>
      <c r="S5" s="59">
        <f>R5*('Price and Financial ratios'!U4+1)*(1+Assumptions!$C$13)</f>
        <v>277423370.95663935</v>
      </c>
      <c r="T5" s="59">
        <f>S5*('Price and Financial ratios'!V4+1)*(1+Assumptions!$C$13)</f>
        <v>293042306.74149811</v>
      </c>
      <c r="U5" s="59">
        <f>T5*('Price and Financial ratios'!W4+1)*(1+Assumptions!$C$13)</f>
        <v>309540588.61104447</v>
      </c>
      <c r="V5" s="59">
        <f>U5*('Price and Financial ratios'!X4+1)*(1+Assumptions!$C$13)</f>
        <v>326967723.74984628</v>
      </c>
      <c r="W5" s="59">
        <f>V5*('Price and Financial ratios'!Y4+1)*(1+Assumptions!$C$13)</f>
        <v>345376006.59696263</v>
      </c>
      <c r="X5" s="59">
        <f>W5*('Price and Financial ratios'!Z4+1)*(1+Assumptions!$C$13)</f>
        <v>364820675.76837164</v>
      </c>
      <c r="Y5" s="59">
        <f>X5*('Price and Financial ratios'!AA4+1)*(1+Assumptions!$C$13)</f>
        <v>385360079.81413096</v>
      </c>
      <c r="Z5" s="59">
        <f>Y5*('Price and Financial ratios'!AB4+1)*(1+Assumptions!$C$13)</f>
        <v>407055852.30766654</v>
      </c>
      <c r="AA5" s="59">
        <f>Z5*('Price and Financial ratios'!AC4+1)*(1+Assumptions!$C$13)</f>
        <v>429973096.79258817</v>
      </c>
      <c r="AB5" s="59">
        <f>AA5*('Price and Financial ratios'!AD4+1)*(1+Assumptions!$C$13)</f>
        <v>442069099.95155728</v>
      </c>
      <c r="AC5" s="59">
        <f>AB5*('Price and Financial ratios'!AE4+1)*(1+Assumptions!$C$13)</f>
        <v>454505387.87139452</v>
      </c>
      <c r="AD5" s="59">
        <f>AC5*('Price and Financial ratios'!AF4+1)*(1+Assumptions!$C$13)</f>
        <v>467291533.44299263</v>
      </c>
      <c r="AE5" s="59">
        <f>AD5*('Price and Financial ratios'!AG4+1)*(1+Assumptions!$C$13)</f>
        <v>480437378.86181092</v>
      </c>
      <c r="AF5" s="59">
        <f>AE5*('Price and Financial ratios'!AH4+1)*(1+Assumptions!$C$13)</f>
        <v>493953043.20395142</v>
      </c>
    </row>
    <row r="6" spans="1:32" s="11" customFormat="1" x14ac:dyDescent="0.35">
      <c r="A6" s="11" t="s">
        <v>20</v>
      </c>
      <c r="C6" s="59">
        <f>C27</f>
        <v>16064070.177348746</v>
      </c>
      <c r="D6" s="59">
        <f t="shared" ref="D6:AF6" si="1">D27</f>
        <v>19023356.934691597</v>
      </c>
      <c r="E6" s="59">
        <f>E27</f>
        <v>22105588.523214102</v>
      </c>
      <c r="F6" s="59">
        <f t="shared" si="1"/>
        <v>25314756.602446176</v>
      </c>
      <c r="G6" s="59">
        <f t="shared" si="1"/>
        <v>28654969.364226125</v>
      </c>
      <c r="H6" s="59">
        <f t="shared" si="1"/>
        <v>32130454.739540827</v>
      </c>
      <c r="I6" s="59">
        <f t="shared" si="1"/>
        <v>35745563.690385483</v>
      </c>
      <c r="J6" s="59">
        <f t="shared" si="1"/>
        <v>39504773.588840641</v>
      </c>
      <c r="K6" s="59">
        <f t="shared" si="1"/>
        <v>43412691.685620002</v>
      </c>
      <c r="L6" s="59">
        <f t="shared" si="1"/>
        <v>47474058.670399964</v>
      </c>
      <c r="M6" s="59">
        <f t="shared" si="1"/>
        <v>51693752.32630007</v>
      </c>
      <c r="N6" s="59">
        <f t="shared" si="1"/>
        <v>56076791.280943982</v>
      </c>
      <c r="O6" s="59">
        <f t="shared" si="1"/>
        <v>60628338.856592178</v>
      </c>
      <c r="P6" s="59">
        <f t="shared" si="1"/>
        <v>65353707.02190049</v>
      </c>
      <c r="Q6" s="59">
        <f t="shared" si="1"/>
        <v>70258360.447923645</v>
      </c>
      <c r="R6" s="59">
        <f t="shared" si="1"/>
        <v>75347920.671049044</v>
      </c>
      <c r="S6" s="59">
        <f t="shared" si="1"/>
        <v>80628170.365614295</v>
      </c>
      <c r="T6" s="59">
        <f t="shared" si="1"/>
        <v>86105057.729031578</v>
      </c>
      <c r="U6" s="59">
        <f t="shared" si="1"/>
        <v>91784700.98231332</v>
      </c>
      <c r="V6" s="59">
        <f t="shared" si="1"/>
        <v>97673392.988967121</v>
      </c>
      <c r="W6" s="59">
        <f t="shared" si="1"/>
        <v>103777605.99530284</v>
      </c>
      <c r="X6" s="59">
        <f t="shared" si="1"/>
        <v>110103996.49527162</v>
      </c>
      <c r="Y6" s="59">
        <f t="shared" si="1"/>
        <v>116659410.22303572</v>
      </c>
      <c r="Z6" s="59">
        <f t="shared" si="1"/>
        <v>123450887.27654868</v>
      </c>
      <c r="AA6" s="59">
        <f t="shared" si="1"/>
        <v>130485667.37550823</v>
      </c>
      <c r="AB6" s="59">
        <f t="shared" si="1"/>
        <v>137771195.2571297</v>
      </c>
      <c r="AC6" s="59">
        <f t="shared" si="1"/>
        <v>145315126.21327412</v>
      </c>
      <c r="AD6" s="59">
        <f t="shared" si="1"/>
        <v>153125331.77255473</v>
      </c>
      <c r="AE6" s="59">
        <f t="shared" si="1"/>
        <v>161209905.53113756</v>
      </c>
      <c r="AF6" s="59">
        <f t="shared" si="1"/>
        <v>169577169.13604414</v>
      </c>
    </row>
    <row r="7" spans="1:32" x14ac:dyDescent="0.35">
      <c r="A7" t="s">
        <v>21</v>
      </c>
      <c r="C7" s="4">
        <f>Depreciation!C8+Depreciation!C9</f>
        <v>9615589.4988876395</v>
      </c>
      <c r="D7" s="4">
        <f>Depreciation!D8+Depreciation!D9</f>
        <v>11980978.78164446</v>
      </c>
      <c r="E7" s="4">
        <f>Depreciation!E8+Depreciation!E9</f>
        <v>14487906.614850856</v>
      </c>
      <c r="F7" s="4">
        <f>Depreciation!F8+Depreciation!F9</f>
        <v>17143009.30711006</v>
      </c>
      <c r="G7" s="4">
        <f>Depreciation!G8+Depreciation!G9</f>
        <v>19953202.955300245</v>
      </c>
      <c r="H7" s="4">
        <f>Depreciation!H8+Depreciation!H9</f>
        <v>22925694.555444121</v>
      </c>
      <c r="I7" s="4">
        <f>Depreciation!I8+Depreciation!I9</f>
        <v>26067993.538170975</v>
      </c>
      <c r="J7" s="4">
        <f>Depreciation!J8+Depreciation!J9</f>
        <v>29387923.744567581</v>
      </c>
      <c r="K7" s="4">
        <f>Depreciation!K8+Depreciation!K9</f>
        <v>32893635.85879048</v>
      </c>
      <c r="L7" s="4">
        <f>Depreciation!L8+Depreciation!L9</f>
        <v>36593620.314409196</v>
      </c>
      <c r="M7" s="4">
        <f>Depreciation!M8+Depreciation!M9</f>
        <v>40496720.692068115</v>
      </c>
      <c r="N7" s="4">
        <f>Depreciation!N8+Depreciation!N9</f>
        <v>44612147.62669526</v>
      </c>
      <c r="O7" s="4">
        <f>Depreciation!O8+Depreciation!O9</f>
        <v>48949493.243149862</v>
      </c>
      <c r="P7" s="4">
        <f>Depreciation!P8+Depreciation!P9</f>
        <v>53518746.139887802</v>
      </c>
      <c r="Q7" s="4">
        <f>Depreciation!Q8+Depreciation!Q9</f>
        <v>58330306.940935992</v>
      </c>
      <c r="R7" s="4">
        <f>Depreciation!R8+Depreciation!R9</f>
        <v>63395004.437204048</v>
      </c>
      <c r="S7" s="4">
        <f>Depreciation!S8+Depreciation!S9</f>
        <v>68724112.338925719</v>
      </c>
      <c r="T7" s="4">
        <f>Depreciation!T8+Depreciation!T9</f>
        <v>74329366.66181387</v>
      </c>
      <c r="U7" s="4">
        <f>Depreciation!U8+Depreciation!U9</f>
        <v>80222983.770331815</v>
      </c>
      <c r="V7" s="4">
        <f>Depreciation!V8+Depreciation!V9</f>
        <v>86417679.102333233</v>
      </c>
      <c r="W7" s="4">
        <f>Depreciation!W8+Depreciation!W9</f>
        <v>92926686.600201905</v>
      </c>
      <c r="X7" s="4">
        <f>Depreciation!X8+Depreciation!X9</f>
        <v>99763778.874533355</v>
      </c>
      <c r="Y7" s="4">
        <f>Depreciation!Y8+Depreciation!Y9</f>
        <v>106943288.12734345</v>
      </c>
      <c r="Z7" s="4">
        <f>Depreciation!Z8+Depreciation!Z9</f>
        <v>114480127.86276582</v>
      </c>
      <c r="AA7" s="4">
        <f>Depreciation!AA8+Depreciation!AA9</f>
        <v>122389815.4142129</v>
      </c>
      <c r="AB7" s="4">
        <f>Depreciation!AB8+Depreciation!AB9</f>
        <v>130688495.31802106</v>
      </c>
      <c r="AC7" s="4">
        <f>Depreciation!AC8+Depreciation!AC9</f>
        <v>139392963.56468874</v>
      </c>
      <c r="AD7" s="4">
        <f>Depreciation!AD8+Depreciation!AD9</f>
        <v>148520692.75993761</v>
      </c>
      <c r="AE7" s="4">
        <f>Depreciation!AE8+Depreciation!AE9</f>
        <v>158089858.22899213</v>
      </c>
      <c r="AF7" s="4">
        <f>Depreciation!AF8+Depreciation!AF9</f>
        <v>168119365.09867993</v>
      </c>
    </row>
    <row r="8" spans="1:32" x14ac:dyDescent="0.35">
      <c r="A8" t="s">
        <v>6</v>
      </c>
      <c r="C8" s="4">
        <f ca="1">'Debt worksheet'!C8</f>
        <v>3939642.1634406429</v>
      </c>
      <c r="D8" s="4">
        <f ca="1">'Debt worksheet'!D8</f>
        <v>6510442.9134056093</v>
      </c>
      <c r="E8" s="4">
        <f ca="1">'Debt worksheet'!E8</f>
        <v>8557336.4186867736</v>
      </c>
      <c r="F8" s="4">
        <f ca="1">'Debt worksheet'!F8</f>
        <v>10154914.463770792</v>
      </c>
      <c r="G8" s="4">
        <f ca="1">'Debt worksheet'!G8</f>
        <v>11400912.048141578</v>
      </c>
      <c r="H8" s="4">
        <f ca="1">'Debt worksheet'!H8</f>
        <v>12576623.039148612</v>
      </c>
      <c r="I8" s="4">
        <f ca="1">'Debt worksheet'!I8</f>
        <v>13645322.129270338</v>
      </c>
      <c r="J8" s="4">
        <f ca="1">'Debt worksheet'!J8</f>
        <v>14670318.799451796</v>
      </c>
      <c r="K8" s="4">
        <f ca="1">'Debt worksheet'!K8</f>
        <v>15684073.073470211</v>
      </c>
      <c r="L8" s="4">
        <f ca="1">'Debt worksheet'!L8</f>
        <v>16669200.585299416</v>
      </c>
      <c r="M8" s="4">
        <f ca="1">'Debt worksheet'!M8</f>
        <v>17672486.266557414</v>
      </c>
      <c r="N8" s="4">
        <f ca="1">'Debt worksheet'!N8</f>
        <v>18683098.81742293</v>
      </c>
      <c r="O8" s="4">
        <f ca="1">'Debt worksheet'!O8</f>
        <v>19726484.3417072</v>
      </c>
      <c r="P8" s="4">
        <f ca="1">'Debt worksheet'!P8</f>
        <v>20794537.322146531</v>
      </c>
      <c r="Q8" s="4">
        <f ca="1">'Debt worksheet'!Q8</f>
        <v>21877833.196679648</v>
      </c>
      <c r="R8" s="4">
        <f ca="1">'Debt worksheet'!R8</f>
        <v>23010859.917176832</v>
      </c>
      <c r="S8" s="4">
        <f ca="1">'Debt worksheet'!S8</f>
        <v>24188138.837265566</v>
      </c>
      <c r="T8" s="4">
        <f ca="1">'Debt worksheet'!T8</f>
        <v>25403178.169314086</v>
      </c>
      <c r="U8" s="4">
        <f ca="1">'Debt worksheet'!U8</f>
        <v>26648374.134688217</v>
      </c>
      <c r="V8" s="4">
        <f ca="1">'Debt worksheet'!V8</f>
        <v>27914904.431632813</v>
      </c>
      <c r="W8" s="4">
        <f ca="1">'Debt worksheet'!W8</f>
        <v>29192613.490015242</v>
      </c>
      <c r="X8" s="4">
        <f ca="1">'Debt worksheet'!X8</f>
        <v>30469888.947968274</v>
      </c>
      <c r="Y8" s="4">
        <f ca="1">'Debt worksheet'!Y8</f>
        <v>31733528.749160726</v>
      </c>
      <c r="Z8" s="4">
        <f ca="1">'Debt worksheet'!Z8</f>
        <v>32968598.220880877</v>
      </c>
      <c r="AA8" s="4">
        <f ca="1">'Debt worksheet'!AA8</f>
        <v>34158276.452205583</v>
      </c>
      <c r="AB8" s="4">
        <f ca="1">'Debt worksheet'!AB8</f>
        <v>35722967.804236621</v>
      </c>
      <c r="AC8" s="4">
        <f ca="1">'Debt worksheet'!AC8</f>
        <v>37694592.866165109</v>
      </c>
      <c r="AD8" s="4">
        <f ca="1">'Debt worksheet'!AD8</f>
        <v>40107012.260120884</v>
      </c>
      <c r="AE8" s="4">
        <f ca="1">'Debt worksheet'!AE8</f>
        <v>42996127.507913068</v>
      </c>
      <c r="AF8" s="4">
        <f ca="1">'Debt worksheet'!AF8</f>
        <v>46399986.695957042</v>
      </c>
    </row>
    <row r="9" spans="1:32" x14ac:dyDescent="0.35">
      <c r="A9" t="s">
        <v>22</v>
      </c>
      <c r="C9" s="4">
        <f ca="1">C5-C6-C7-C8</f>
        <v>2318381.3603229709</v>
      </c>
      <c r="D9" s="4">
        <f t="shared" ref="D9:AF9" ca="1" si="2">D5-D6-D7-D8</f>
        <v>12285650.784018334</v>
      </c>
      <c r="E9" s="4">
        <f t="shared" ca="1" si="2"/>
        <v>29998016.428612109</v>
      </c>
      <c r="F9" s="4">
        <f t="shared" ca="1" si="2"/>
        <v>45666983.021931797</v>
      </c>
      <c r="G9" s="4">
        <f t="shared" ca="1" si="2"/>
        <v>58634125.283088498</v>
      </c>
      <c r="H9" s="4">
        <f t="shared" ca="1" si="2"/>
        <v>63657803.465393528</v>
      </c>
      <c r="I9" s="4">
        <f t="shared" ca="1" si="2"/>
        <v>69827271.821929902</v>
      </c>
      <c r="J9" s="4">
        <f t="shared" ca="1" si="2"/>
        <v>74287481.40092209</v>
      </c>
      <c r="K9" s="4">
        <f t="shared" ca="1" si="2"/>
        <v>77923031.937433004</v>
      </c>
      <c r="L9" s="4">
        <f t="shared" ca="1" si="2"/>
        <v>82161337.501082227</v>
      </c>
      <c r="M9" s="4">
        <f t="shared" ca="1" si="2"/>
        <v>85172383.47110942</v>
      </c>
      <c r="N9" s="4">
        <f t="shared" ca="1" si="2"/>
        <v>88605850.376263365</v>
      </c>
      <c r="O9" s="4">
        <f t="shared" ca="1" si="2"/>
        <v>91428855.537130579</v>
      </c>
      <c r="P9" s="4">
        <f t="shared" ca="1" si="2"/>
        <v>94603746.932091236</v>
      </c>
      <c r="Q9" s="4">
        <f t="shared" ca="1" si="2"/>
        <v>98172061.156211644</v>
      </c>
      <c r="R9" s="4">
        <f t="shared" ca="1" si="2"/>
        <v>100883127.74238166</v>
      </c>
      <c r="S9" s="4">
        <f t="shared" ca="1" si="2"/>
        <v>103882949.41483377</v>
      </c>
      <c r="T9" s="4">
        <f t="shared" ca="1" si="2"/>
        <v>107204704.18133859</v>
      </c>
      <c r="U9" s="4">
        <f t="shared" ca="1" si="2"/>
        <v>110884529.72371112</v>
      </c>
      <c r="V9" s="4">
        <f t="shared" ca="1" si="2"/>
        <v>114961747.22691309</v>
      </c>
      <c r="W9" s="4">
        <f t="shared" ca="1" si="2"/>
        <v>119479100.51144263</v>
      </c>
      <c r="X9" s="4">
        <f t="shared" ca="1" si="2"/>
        <v>124483011.45059839</v>
      </c>
      <c r="Y9" s="4">
        <f t="shared" ca="1" si="2"/>
        <v>130023852.71459104</v>
      </c>
      <c r="Z9" s="4">
        <f t="shared" ca="1" si="2"/>
        <v>136156238.94747117</v>
      </c>
      <c r="AA9" s="4">
        <f t="shared" ca="1" si="2"/>
        <v>142939337.55066144</v>
      </c>
      <c r="AB9" s="4">
        <f t="shared" ca="1" si="2"/>
        <v>137886441.57216993</v>
      </c>
      <c r="AC9" s="4">
        <f t="shared" ca="1" si="2"/>
        <v>132102705.22726655</v>
      </c>
      <c r="AD9" s="4">
        <f t="shared" ca="1" si="2"/>
        <v>125538496.65037943</v>
      </c>
      <c r="AE9" s="4">
        <f t="shared" ca="1" si="2"/>
        <v>118141487.59376813</v>
      </c>
      <c r="AF9" s="4">
        <f t="shared" ca="1" si="2"/>
        <v>109856522.27327031</v>
      </c>
    </row>
    <row r="12" spans="1:32" x14ac:dyDescent="0.35">
      <c r="A12" t="s">
        <v>80</v>
      </c>
      <c r="C12" s="2">
        <f>Assumptions!$C$25*Assumptions!D9*Assumptions!D13</f>
        <v>13595863.348200001</v>
      </c>
      <c r="D12" s="2">
        <f>Assumptions!$C$25*Assumptions!E9*Assumptions!E13</f>
        <v>13978342.175911561</v>
      </c>
      <c r="E12" s="2">
        <f>Assumptions!$C$25*Assumptions!F9*Assumptions!F13</f>
        <v>14371580.898004306</v>
      </c>
      <c r="F12" s="2">
        <f>Assumptions!$C$25*Assumptions!G9*Assumptions!G13</f>
        <v>14775882.211826963</v>
      </c>
      <c r="G12" s="2">
        <f>Assumptions!$C$25*Assumptions!H9*Assumptions!H13</f>
        <v>15191557.33021008</v>
      </c>
      <c r="H12" s="2">
        <f>Assumptions!$C$25*Assumptions!I9*Assumptions!I13</f>
        <v>15618926.221023548</v>
      </c>
      <c r="I12" s="2">
        <f>Assumptions!$C$25*Assumptions!J9*Assumptions!J13</f>
        <v>16058317.853473382</v>
      </c>
      <c r="J12" s="2">
        <f>Assumptions!$C$25*Assumptions!K9*Assumptions!K13</f>
        <v>16510070.4513273</v>
      </c>
      <c r="K12" s="2">
        <f>Assumptions!$C$25*Assumptions!L9*Assumptions!L13</f>
        <v>16974531.753264036</v>
      </c>
      <c r="L12" s="2">
        <f>Assumptions!$C$25*Assumptions!M9*Assumptions!M13</f>
        <v>17452059.280546863</v>
      </c>
      <c r="M12" s="2">
        <f>Assumptions!$C$25*Assumptions!N9*Assumptions!N13</f>
        <v>17943020.612227201</v>
      </c>
      <c r="N12" s="2">
        <f>Assumptions!$C$25*Assumptions!O9*Assumptions!O13</f>
        <v>18447793.668090381</v>
      </c>
      <c r="O12" s="2">
        <f>Assumptions!$C$25*Assumptions!P9*Assumptions!P13</f>
        <v>18966766.999561105</v>
      </c>
      <c r="P12" s="2">
        <f>Assumptions!$C$25*Assumptions!Q9*Assumptions!Q13</f>
        <v>19500340.088792752</v>
      </c>
      <c r="Q12" s="2">
        <f>Assumptions!$C$25*Assumptions!R9*Assumptions!R13</f>
        <v>20048923.65617067</v>
      </c>
      <c r="R12" s="2">
        <f>Assumptions!$C$25*Assumptions!S9*Assumptions!S13</f>
        <v>20612939.976466067</v>
      </c>
      <c r="S12" s="2">
        <f>Assumptions!$C$25*Assumptions!T9*Assumptions!T13</f>
        <v>21192823.203884009</v>
      </c>
      <c r="T12" s="2">
        <f>Assumptions!$C$25*Assumptions!U9*Assumptions!U13</f>
        <v>21789019.706255671</v>
      </c>
      <c r="U12" s="2">
        <f>Assumptions!$C$25*Assumptions!V9*Assumptions!V13</f>
        <v>22401988.408632059</v>
      </c>
      <c r="V12" s="2">
        <f>Assumptions!$C$25*Assumptions!W9*Assumptions!W13</f>
        <v>23032201.146543697</v>
      </c>
      <c r="W12" s="2">
        <f>Assumptions!$C$25*Assumptions!X9*Assumptions!X13</f>
        <v>23680143.029198263</v>
      </c>
      <c r="X12" s="2">
        <f>Assumptions!$C$25*Assumptions!Y9*Assumptions!Y13</f>
        <v>24346312.812895663</v>
      </c>
      <c r="Y12" s="2">
        <f>Assumptions!$C$25*Assumptions!Z9*Assumptions!Z13</f>
        <v>25031223.284948044</v>
      </c>
      <c r="Z12" s="2">
        <f>Assumptions!$C$25*Assumptions!AA9*Assumptions!AA13</f>
        <v>25735401.658400208</v>
      </c>
      <c r="AA12" s="2">
        <f>Assumptions!$C$25*Assumptions!AB9*Assumptions!AB13</f>
        <v>26459389.977854323</v>
      </c>
      <c r="AB12" s="2">
        <f>Assumptions!$C$25*Assumptions!AC9*Assumptions!AC13</f>
        <v>27203745.536711317</v>
      </c>
      <c r="AC12" s="2">
        <f>Assumptions!$C$25*Assumptions!AD9*Assumptions!AD13</f>
        <v>27969041.306150079</v>
      </c>
      <c r="AD12" s="2">
        <f>Assumptions!$C$25*Assumptions!AE9*Assumptions!AE13</f>
        <v>28755866.3761747</v>
      </c>
      <c r="AE12" s="2">
        <f>Assumptions!$C$25*Assumptions!AF9*Assumptions!AF13</f>
        <v>29564826.409069244</v>
      </c>
      <c r="AF12" s="2">
        <f>Assumptions!$C$25*Assumptions!AG9*Assumptions!AG13</f>
        <v>30396544.105609182</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2468206.8291487456</v>
      </c>
      <c r="D14" s="5">
        <f>Assumptions!E122*Assumptions!E9</f>
        <v>5045014.7587800352</v>
      </c>
      <c r="E14" s="5">
        <f>Assumptions!F122*Assumptions!F9</f>
        <v>7734007.6252097953</v>
      </c>
      <c r="F14" s="5">
        <f>Assumptions!G122*Assumptions!G9</f>
        <v>10538874.390619215</v>
      </c>
      <c r="G14" s="5">
        <f>Assumptions!H122*Assumptions!H9</f>
        <v>13463412.034016047</v>
      </c>
      <c r="H14" s="5">
        <f>Assumptions!I122*Assumptions!I9</f>
        <v>16511528.518517278</v>
      </c>
      <c r="I14" s="5">
        <f>Assumptions!J122*Assumptions!J9</f>
        <v>19687245.836912103</v>
      </c>
      <c r="J14" s="5">
        <f>Assumptions!K122*Assumptions!K9</f>
        <v>22994703.13751334</v>
      </c>
      <c r="K14" s="5">
        <f>Assumptions!L122*Assumptions!L9</f>
        <v>26438159.932355966</v>
      </c>
      <c r="L14" s="5">
        <f>Assumptions!M122*Assumptions!M9</f>
        <v>30021999.389853105</v>
      </c>
      <c r="M14" s="5">
        <f>Assumptions!N122*Assumptions!N9</f>
        <v>33750731.714072868</v>
      </c>
      <c r="N14" s="5">
        <f>Assumptions!O122*Assumptions!O9</f>
        <v>37628997.612853602</v>
      </c>
      <c r="O14" s="5">
        <f>Assumptions!P122*Assumptions!P9</f>
        <v>41661571.857031077</v>
      </c>
      <c r="P14" s="5">
        <f>Assumptions!Q122*Assumptions!Q9</f>
        <v>45853366.933107734</v>
      </c>
      <c r="Q14" s="5">
        <f>Assumptions!R122*Assumptions!R9</f>
        <v>50209436.791752979</v>
      </c>
      <c r="R14" s="5">
        <f>Assumptions!S122*Assumptions!S9</f>
        <v>54734980.694582976</v>
      </c>
      <c r="S14" s="5">
        <f>Assumptions!T122*Assumptions!T9</f>
        <v>59435347.161730289</v>
      </c>
      <c r="T14" s="5">
        <f>Assumptions!U122*Assumptions!U9</f>
        <v>64316038.022775911</v>
      </c>
      <c r="U14" s="5">
        <f>Assumptions!V122*Assumptions!V9</f>
        <v>69382712.573681265</v>
      </c>
      <c r="V14" s="5">
        <f>Assumptions!W122*Assumptions!W9</f>
        <v>74641191.842423424</v>
      </c>
      <c r="W14" s="5">
        <f>Assumptions!X122*Assumptions!X9</f>
        <v>80097462.966104582</v>
      </c>
      <c r="X14" s="5">
        <f>Assumptions!Y122*Assumptions!Y9</f>
        <v>85757683.682375953</v>
      </c>
      <c r="Y14" s="5">
        <f>Assumptions!Z122*Assumptions!Z9</f>
        <v>91628186.938087687</v>
      </c>
      <c r="Z14" s="5">
        <f>Assumptions!AA122*Assumptions!AA9</f>
        <v>97715485.618148476</v>
      </c>
      <c r="AA14" s="5">
        <f>Assumptions!AB122*Assumptions!AB9</f>
        <v>104026277.39765391</v>
      </c>
      <c r="AB14" s="5">
        <f>Assumptions!AC122*Assumptions!AC9</f>
        <v>110567449.72041839</v>
      </c>
      <c r="AC14" s="5">
        <f>Assumptions!AD122*Assumptions!AD9</f>
        <v>117346084.90712403</v>
      </c>
      <c r="AD14" s="5">
        <f>Assumptions!AE122*Assumptions!AE9</f>
        <v>124369465.39638004</v>
      </c>
      <c r="AE14" s="5">
        <f>Assumptions!AF122*Assumptions!AF9</f>
        <v>131645079.1220683</v>
      </c>
      <c r="AF14" s="5">
        <f>Assumptions!AG122*Assumptions!AG9</f>
        <v>139180625.03043497</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192</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94</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16064070.177348746</v>
      </c>
      <c r="D27" s="2">
        <f t="shared" ref="D27:AF27" si="8">D12+D13+D14+D19+D20+D22+D24+D25</f>
        <v>19023356.934691597</v>
      </c>
      <c r="E27" s="2">
        <f t="shared" si="8"/>
        <v>22105588.523214102</v>
      </c>
      <c r="F27" s="2">
        <f t="shared" si="8"/>
        <v>25314756.602446176</v>
      </c>
      <c r="G27" s="2">
        <f t="shared" si="8"/>
        <v>28654969.364226125</v>
      </c>
      <c r="H27" s="2">
        <f t="shared" si="8"/>
        <v>32130454.739540827</v>
      </c>
      <c r="I27" s="2">
        <f t="shared" si="8"/>
        <v>35745563.690385483</v>
      </c>
      <c r="J27" s="2">
        <f t="shared" si="8"/>
        <v>39504773.588840641</v>
      </c>
      <c r="K27" s="2">
        <f t="shared" si="8"/>
        <v>43412691.685620002</v>
      </c>
      <c r="L27" s="2">
        <f t="shared" si="8"/>
        <v>47474058.670399964</v>
      </c>
      <c r="M27" s="2">
        <f t="shared" si="8"/>
        <v>51693752.32630007</v>
      </c>
      <c r="N27" s="2">
        <f t="shared" si="8"/>
        <v>56076791.280943982</v>
      </c>
      <c r="O27" s="2">
        <f t="shared" si="8"/>
        <v>60628338.856592178</v>
      </c>
      <c r="P27" s="2">
        <f t="shared" si="8"/>
        <v>65353707.02190049</v>
      </c>
      <c r="Q27" s="2">
        <f t="shared" si="8"/>
        <v>70258360.447923645</v>
      </c>
      <c r="R27" s="2">
        <f t="shared" si="8"/>
        <v>75347920.671049044</v>
      </c>
      <c r="S27" s="2">
        <f t="shared" si="8"/>
        <v>80628170.365614295</v>
      </c>
      <c r="T27" s="2">
        <f t="shared" si="8"/>
        <v>86105057.729031578</v>
      </c>
      <c r="U27" s="2">
        <f t="shared" si="8"/>
        <v>91784700.98231332</v>
      </c>
      <c r="V27" s="2">
        <f t="shared" si="8"/>
        <v>97673392.988967121</v>
      </c>
      <c r="W27" s="2">
        <f t="shared" si="8"/>
        <v>103777605.99530284</v>
      </c>
      <c r="X27" s="2">
        <f t="shared" si="8"/>
        <v>110103996.49527162</v>
      </c>
      <c r="Y27" s="2">
        <f t="shared" si="8"/>
        <v>116659410.22303572</v>
      </c>
      <c r="Z27" s="2">
        <f t="shared" si="8"/>
        <v>123450887.27654868</v>
      </c>
      <c r="AA27" s="2">
        <f t="shared" si="8"/>
        <v>130485667.37550823</v>
      </c>
      <c r="AB27" s="2">
        <f t="shared" si="8"/>
        <v>137771195.2571297</v>
      </c>
      <c r="AC27" s="2">
        <f t="shared" si="8"/>
        <v>145315126.21327412</v>
      </c>
      <c r="AD27" s="2">
        <f t="shared" si="8"/>
        <v>153125331.77255473</v>
      </c>
      <c r="AE27" s="2">
        <f t="shared" si="8"/>
        <v>161209905.53113756</v>
      </c>
      <c r="AF27" s="2">
        <f t="shared" si="8"/>
        <v>169577169.13604414</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3W2DU3RAJ5R2-1900874439-776</_dlc_DocId>
    <_dlc_DocIdUrl xmlns="f54e2983-00ce-40fc-8108-18f351fc47bf">
      <Url>https://dia.cohesion.net.nz/Sites/LGV/TWRP/CAE/_layouts/15/DocIdRedir.aspx?ID=3W2DU3RAJ5R2-1900874439-776</Url>
      <Description>3W2DU3RAJ5R2-1900874439-776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B72F27E7-7EAC-4001-A8DC-00EF474489F0}"/>
</file>

<file path=customXml/itemProps3.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4.xml><?xml version="1.0" encoding="utf-8"?>
<ds:datastoreItem xmlns:ds="http://schemas.openxmlformats.org/officeDocument/2006/customXml" ds:itemID="{A67BEFAF-6AC7-4EA6-8BD3-E3F35EBCEA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2021-06-28T21:55:13Z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1fa5bcda-ba41-4df1-ac0f-e52aedba4858</vt:lpwstr>
  </property>
</Properties>
</file>