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209" documentId="8_{D8885882-5E0B-4529-951C-F96B8AE2640B}" xr6:coauthVersionLast="47" xr6:coauthVersionMax="47" xr10:uidLastSave="{86ABF9A1-F7BD-4B0F-97CD-9A9EF89F2BFC}"/>
  <bookViews>
    <workbookView xWindow="1140" yWindow="1140" windowWidth="36330" windowHeight="708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19" l="1"/>
  <c r="A9" i="19"/>
  <c r="B40" i="21"/>
  <c r="B27" i="21"/>
  <c r="A21" i="21"/>
  <c r="A34" i="21" s="1"/>
  <c r="B8" i="21"/>
  <c r="B21" i="21" s="1"/>
  <c r="B34" i="21" s="1"/>
  <c r="C83" i="2" l="1"/>
  <c r="C87" i="2"/>
  <c r="C82" i="2" l="1"/>
  <c r="C89" i="2" s="1"/>
  <c r="C94" i="2" s="1"/>
  <c r="C90" i="2"/>
  <c r="C95" i="2" s="1"/>
  <c r="C96" i="2" l="1"/>
  <c r="C102" i="2" s="1"/>
  <c r="D113" i="2" s="1"/>
  <c r="C58" i="2"/>
  <c r="C106" i="2" s="1"/>
  <c r="C63" i="2"/>
  <c r="C107" i="2" s="1"/>
  <c r="D11" i="2"/>
  <c r="C40" i="2" l="1"/>
  <c r="C41" i="2"/>
  <c r="C39" i="2"/>
  <c r="C36" i="2"/>
  <c r="C37" i="2"/>
  <c r="C35" i="2"/>
  <c r="F9" i="2" l="1"/>
  <c r="E9" i="2"/>
  <c r="D9" i="2"/>
  <c r="G11" i="2"/>
  <c r="V9" i="2"/>
  <c r="E11" i="2" l="1"/>
  <c r="F11" i="2"/>
  <c r="H11" i="2"/>
  <c r="I11" i="2"/>
  <c r="C67" i="2" l="1"/>
  <c r="C72" i="2"/>
  <c r="C5" i="3" l="1"/>
  <c r="B7" i="21"/>
  <c r="D3" i="3" l="1"/>
  <c r="E3" i="3" s="1"/>
  <c r="F3" i="3" s="1"/>
  <c r="G3" i="3" s="1"/>
  <c r="H3" i="3" s="1"/>
  <c r="I3" i="3" s="1"/>
  <c r="J3" i="3" s="1"/>
  <c r="K3" i="3" s="1"/>
  <c r="L3" i="3" s="1"/>
  <c r="M3" i="3" s="1"/>
  <c r="N3" i="3" s="1"/>
  <c r="O3" i="3" s="1"/>
  <c r="P3" i="3" s="1"/>
  <c r="Q3" i="3" s="1"/>
  <c r="R3" i="3" s="1"/>
  <c r="S3" i="3" s="1"/>
  <c r="T3" i="3" s="1"/>
  <c r="U3" i="3" s="1"/>
  <c r="V3" i="3" s="1"/>
  <c r="W3" i="3" s="1"/>
  <c r="X3" i="3" s="1"/>
  <c r="Y3" i="3" s="1"/>
  <c r="Z3" i="3" s="1"/>
  <c r="AA3" i="3" s="1"/>
  <c r="AB3" i="3" s="1"/>
  <c r="AC3" i="3" s="1"/>
  <c r="AD3" i="3" s="1"/>
  <c r="AE3" i="3" s="1"/>
  <c r="AF3" i="3" s="1"/>
  <c r="D3" i="6"/>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 r="AD3" i="6" s="1"/>
  <c r="AE3" i="6" s="1"/>
  <c r="AF3" i="6" s="1"/>
  <c r="D3" i="4"/>
  <c r="E3" i="4" s="1"/>
  <c r="F3" i="4" s="1"/>
  <c r="G3" i="4" s="1"/>
  <c r="H3" i="4" s="1"/>
  <c r="I3" i="4" s="1"/>
  <c r="J3" i="4" s="1"/>
  <c r="K3" i="4" s="1"/>
  <c r="L3" i="4" s="1"/>
  <c r="M3" i="4" s="1"/>
  <c r="N3" i="4" s="1"/>
  <c r="O3" i="4" s="1"/>
  <c r="P3" i="4" s="1"/>
  <c r="Q3" i="4" s="1"/>
  <c r="R3" i="4" s="1"/>
  <c r="S3" i="4" s="1"/>
  <c r="T3" i="4" s="1"/>
  <c r="U3" i="4" s="1"/>
  <c r="V3" i="4" s="1"/>
  <c r="W3" i="4" s="1"/>
  <c r="X3" i="4" s="1"/>
  <c r="Y3" i="4" s="1"/>
  <c r="Z3" i="4" s="1"/>
  <c r="AA3" i="4" s="1"/>
  <c r="AB3" i="4" s="1"/>
  <c r="AC3" i="4" s="1"/>
  <c r="AD3" i="4" s="1"/>
  <c r="AE3" i="4" s="1"/>
  <c r="AF3" i="4" s="1"/>
  <c r="C3" i="5"/>
  <c r="D3" i="5" s="1"/>
  <c r="E3" i="5" s="1"/>
  <c r="F3" i="5" s="1"/>
  <c r="G3" i="5" s="1"/>
  <c r="H3" i="5" s="1"/>
  <c r="I3" i="5" s="1"/>
  <c r="J3" i="5" s="1"/>
  <c r="K3" i="5" s="1"/>
  <c r="L3" i="5" s="1"/>
  <c r="M3" i="5" s="1"/>
  <c r="N3" i="5" s="1"/>
  <c r="O3" i="5" s="1"/>
  <c r="P3" i="5" s="1"/>
  <c r="Q3" i="5" s="1"/>
  <c r="R3" i="5" s="1"/>
  <c r="S3" i="5" s="1"/>
  <c r="T3" i="5" s="1"/>
  <c r="U3" i="5" s="1"/>
  <c r="V3" i="5" s="1"/>
  <c r="W3" i="5" s="1"/>
  <c r="X3" i="5" s="1"/>
  <c r="Y3" i="5" s="1"/>
  <c r="Z3" i="5" s="1"/>
  <c r="AA3" i="5" s="1"/>
  <c r="AB3" i="5" s="1"/>
  <c r="AC3" i="5" s="1"/>
  <c r="AD3" i="5" s="1"/>
  <c r="AE3" i="5" s="1"/>
  <c r="D15" i="9" l="1"/>
  <c r="E15" i="9"/>
  <c r="F15" i="9"/>
  <c r="C15" i="9"/>
  <c r="D3" i="8"/>
  <c r="E3" i="8" s="1"/>
  <c r="F3" i="8" s="1"/>
  <c r="G3" i="8" s="1"/>
  <c r="H3" i="8" s="1"/>
  <c r="I3" i="8" s="1"/>
  <c r="J3" i="8" s="1"/>
  <c r="K3" i="8" s="1"/>
  <c r="L3" i="8" s="1"/>
  <c r="M3" i="8" s="1"/>
  <c r="N3" i="8" s="1"/>
  <c r="O3" i="8" s="1"/>
  <c r="P3" i="8" s="1"/>
  <c r="Q3" i="8" s="1"/>
  <c r="R3" i="8" s="1"/>
  <c r="S3" i="8" s="1"/>
  <c r="T3" i="8" s="1"/>
  <c r="U3" i="8" s="1"/>
  <c r="V3" i="8" s="1"/>
  <c r="W3" i="8" s="1"/>
  <c r="X3" i="8" s="1"/>
  <c r="Y3" i="8" s="1"/>
  <c r="Z3" i="8" s="1"/>
  <c r="AA3" i="8" s="1"/>
  <c r="AB3" i="8" s="1"/>
  <c r="AC3" i="8" s="1"/>
  <c r="AD3" i="8" s="1"/>
  <c r="AE3" i="8" s="1"/>
  <c r="AF3" i="8" s="1"/>
  <c r="F3" i="7"/>
  <c r="G3" i="7" s="1"/>
  <c r="H3" i="7" s="1"/>
  <c r="I3" i="7" s="1"/>
  <c r="J3" i="7" s="1"/>
  <c r="K3" i="7" s="1"/>
  <c r="L3" i="7" s="1"/>
  <c r="M3" i="7" s="1"/>
  <c r="N3" i="7" s="1"/>
  <c r="O3" i="7" s="1"/>
  <c r="P3" i="7" s="1"/>
  <c r="Q3" i="7" s="1"/>
  <c r="R3" i="7" s="1"/>
  <c r="S3" i="7" s="1"/>
  <c r="T3" i="7" s="1"/>
  <c r="U3" i="7" s="1"/>
  <c r="V3" i="7" s="1"/>
  <c r="W3" i="7" s="1"/>
  <c r="X3" i="7" s="1"/>
  <c r="Y3" i="7" s="1"/>
  <c r="Z3" i="7" s="1"/>
  <c r="AA3" i="7" s="1"/>
  <c r="AB3" i="7" s="1"/>
  <c r="AC3" i="7" s="1"/>
  <c r="AD3" i="7" s="1"/>
  <c r="AE3" i="7" s="1"/>
  <c r="AF3" i="7" s="1"/>
  <c r="AG3" i="7" s="1"/>
  <c r="AH3" i="7" s="1"/>
  <c r="D16" i="8"/>
  <c r="E16" i="8"/>
  <c r="F16" i="8"/>
  <c r="C16" i="8"/>
  <c r="D3" i="9" l="1"/>
  <c r="E3" i="9" s="1"/>
  <c r="F3" i="9" s="1"/>
  <c r="G3" i="9" s="1"/>
  <c r="H3" i="9" s="1"/>
  <c r="I3" i="9" s="1"/>
  <c r="J3" i="9" s="1"/>
  <c r="K3" i="9" s="1"/>
  <c r="L3" i="9" s="1"/>
  <c r="M3" i="9" s="1"/>
  <c r="N3" i="9" s="1"/>
  <c r="O3" i="9" s="1"/>
  <c r="P3" i="9" s="1"/>
  <c r="Q3" i="9" s="1"/>
  <c r="R3" i="9" s="1"/>
  <c r="S3" i="9" s="1"/>
  <c r="T3" i="9" s="1"/>
  <c r="U3" i="9" s="1"/>
  <c r="V3" i="9" s="1"/>
  <c r="W3" i="9" s="1"/>
  <c r="X3" i="9" s="1"/>
  <c r="Y3" i="9" s="1"/>
  <c r="Z3" i="9" s="1"/>
  <c r="AA3" i="9" s="1"/>
  <c r="AB3" i="9" s="1"/>
  <c r="AC3" i="9" s="1"/>
  <c r="AD3" i="9" s="1"/>
  <c r="AE3" i="9" s="1"/>
  <c r="AF3" i="9" s="1"/>
  <c r="D45" i="2" l="1"/>
  <c r="C16" i="9" s="1"/>
  <c r="L11" i="2"/>
  <c r="K9" i="9" s="1"/>
  <c r="M11" i="2"/>
  <c r="L9" i="9" s="1"/>
  <c r="N11" i="2"/>
  <c r="M9" i="9" s="1"/>
  <c r="O11" i="2"/>
  <c r="N9" i="9" s="1"/>
  <c r="P11" i="2"/>
  <c r="O9" i="9" s="1"/>
  <c r="Q11" i="2"/>
  <c r="P9" i="9" s="1"/>
  <c r="R11" i="2"/>
  <c r="Q9" i="9" s="1"/>
  <c r="S11" i="2"/>
  <c r="R9" i="9" s="1"/>
  <c r="T11" i="2"/>
  <c r="S9" i="9" s="1"/>
  <c r="U11" i="2"/>
  <c r="T9" i="9" s="1"/>
  <c r="V11" i="2"/>
  <c r="U9" i="9" s="1"/>
  <c r="W11" i="2"/>
  <c r="V9" i="9" s="1"/>
  <c r="X11" i="2"/>
  <c r="W9" i="9" s="1"/>
  <c r="Y11" i="2"/>
  <c r="X9" i="9" s="1"/>
  <c r="Z11" i="2"/>
  <c r="Y9" i="9" s="1"/>
  <c r="AA11" i="2"/>
  <c r="Z9" i="9" s="1"/>
  <c r="AB11" i="2"/>
  <c r="AA9" i="9" s="1"/>
  <c r="AC11" i="2"/>
  <c r="AB9" i="9" s="1"/>
  <c r="AD11" i="2"/>
  <c r="AC9" i="9" s="1"/>
  <c r="AE11" i="2"/>
  <c r="AD9" i="9" s="1"/>
  <c r="AF11" i="2"/>
  <c r="AE9" i="9" s="1"/>
  <c r="AG11" i="2"/>
  <c r="AF9" i="9" s="1"/>
  <c r="D9" i="9"/>
  <c r="E9" i="9"/>
  <c r="F9" i="9"/>
  <c r="G9" i="9"/>
  <c r="H9" i="9"/>
  <c r="J11" i="2"/>
  <c r="I9" i="9" s="1"/>
  <c r="K11" i="2"/>
  <c r="J9" i="9" s="1"/>
  <c r="C9" i="9"/>
  <c r="E4" i="2"/>
  <c r="F4" i="2" l="1"/>
  <c r="G4" i="2" s="1"/>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E45" i="2"/>
  <c r="C17" i="8"/>
  <c r="F45" i="2" l="1"/>
  <c r="D17" i="8"/>
  <c r="D16" i="9"/>
  <c r="G45" i="2" l="1"/>
  <c r="E17" i="8"/>
  <c r="E16" i="9"/>
  <c r="H45" i="2" l="1"/>
  <c r="F17" i="8"/>
  <c r="F16" i="9"/>
  <c r="I45" i="2" l="1"/>
  <c r="G17" i="8"/>
  <c r="G16" i="9"/>
  <c r="J45" i="2" l="1"/>
  <c r="H17" i="8"/>
  <c r="H16" i="9"/>
  <c r="K45" i="2" l="1"/>
  <c r="I17" i="8"/>
  <c r="I16" i="9"/>
  <c r="L45" i="2" l="1"/>
  <c r="J17" i="8"/>
  <c r="J16" i="9"/>
  <c r="M45" i="2" l="1"/>
  <c r="K17" i="8"/>
  <c r="K16" i="9"/>
  <c r="N45" i="2" l="1"/>
  <c r="L17" i="8"/>
  <c r="L16" i="9"/>
  <c r="O45" i="2" l="1"/>
  <c r="M17" i="8"/>
  <c r="M16" i="9"/>
  <c r="P45" i="2" l="1"/>
  <c r="N17" i="8"/>
  <c r="N16" i="9"/>
  <c r="Q45" i="2" l="1"/>
  <c r="O17" i="8"/>
  <c r="O16" i="9"/>
  <c r="R45" i="2" l="1"/>
  <c r="P17" i="8"/>
  <c r="P16" i="9"/>
  <c r="S45" i="2" l="1"/>
  <c r="Q17" i="8"/>
  <c r="Q16" i="9"/>
  <c r="T45" i="2" l="1"/>
  <c r="R17" i="8"/>
  <c r="R16" i="9"/>
  <c r="U45" i="2" l="1"/>
  <c r="S17" i="8"/>
  <c r="S16" i="9"/>
  <c r="V45" i="2" l="1"/>
  <c r="T17" i="8"/>
  <c r="T16" i="9"/>
  <c r="W45" i="2" l="1"/>
  <c r="U17" i="8"/>
  <c r="U16" i="9"/>
  <c r="X45" i="2" l="1"/>
  <c r="V17" i="8"/>
  <c r="V16" i="9"/>
  <c r="Y45" i="2" l="1"/>
  <c r="W17" i="8"/>
  <c r="W16" i="9"/>
  <c r="Z45" i="2" l="1"/>
  <c r="X17" i="8"/>
  <c r="X16" i="9"/>
  <c r="AA45" i="2" l="1"/>
  <c r="Y17" i="8"/>
  <c r="Y16" i="9"/>
  <c r="AB45" i="2" l="1"/>
  <c r="Z17" i="8"/>
  <c r="Z16" i="9"/>
  <c r="AC45" i="2" l="1"/>
  <c r="AA17" i="8"/>
  <c r="AA16" i="9"/>
  <c r="AD45" i="2" l="1"/>
  <c r="AB17" i="8"/>
  <c r="AB16" i="9"/>
  <c r="AE45" i="2" l="1"/>
  <c r="AC17" i="8"/>
  <c r="AC16" i="9"/>
  <c r="AF45" i="2" l="1"/>
  <c r="AD17" i="8"/>
  <c r="AD16" i="9"/>
  <c r="AG45" i="2" l="1"/>
  <c r="AE17" i="8"/>
  <c r="AE16" i="9"/>
  <c r="AF17" i="8" l="1"/>
  <c r="AF16" i="9"/>
  <c r="AG9" i="2" l="1"/>
  <c r="AF22" i="8" s="1"/>
  <c r="AF9" i="2"/>
  <c r="AE9" i="2"/>
  <c r="AD9" i="2"/>
  <c r="AC9" i="2"/>
  <c r="AB9" i="2"/>
  <c r="AA9" i="2"/>
  <c r="Z9" i="2"/>
  <c r="Y9" i="2"/>
  <c r="X9" i="2"/>
  <c r="W9" i="2"/>
  <c r="U9" i="2"/>
  <c r="T9" i="2"/>
  <c r="S9" i="2"/>
  <c r="R9" i="2"/>
  <c r="Q9" i="2"/>
  <c r="P9" i="2"/>
  <c r="O9" i="2"/>
  <c r="N9" i="2"/>
  <c r="M9" i="2"/>
  <c r="L22" i="8" s="1"/>
  <c r="L9" i="2"/>
  <c r="K9" i="2"/>
  <c r="J9" i="2"/>
  <c r="I9" i="2"/>
  <c r="H9" i="2"/>
  <c r="G9" i="2"/>
  <c r="AA22" i="8" l="1"/>
  <c r="AB22" i="8"/>
  <c r="M22" i="8"/>
  <c r="AC22" i="8"/>
  <c r="N22" i="8"/>
  <c r="V22" i="8"/>
  <c r="AD22" i="8"/>
  <c r="R22" i="8"/>
  <c r="K22" i="8"/>
  <c r="T22" i="8"/>
  <c r="O22" i="8"/>
  <c r="W22" i="8"/>
  <c r="AE22" i="8"/>
  <c r="Z22" i="8"/>
  <c r="J22" i="8"/>
  <c r="S22" i="8"/>
  <c r="U22" i="8"/>
  <c r="H22" i="8"/>
  <c r="P22" i="8"/>
  <c r="X22" i="8"/>
  <c r="I22" i="8"/>
  <c r="Q22" i="8"/>
  <c r="Y22" i="8"/>
  <c r="B11" i="5" l="1"/>
  <c r="C22" i="6" s="1"/>
  <c r="E113" i="2" l="1"/>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l="1"/>
  <c r="V12" i="9" s="1"/>
  <c r="V21" i="9" s="1"/>
  <c r="H116" i="2"/>
  <c r="G6" i="9"/>
  <c r="G12" i="9" s="1"/>
  <c r="G21" i="9" s="1"/>
  <c r="W116" i="2" l="1"/>
  <c r="J116" i="2"/>
  <c r="O116" i="2"/>
  <c r="P116" i="2"/>
  <c r="V116" i="2"/>
  <c r="AB6" i="9"/>
  <c r="AB12" i="9" s="1"/>
  <c r="AB21" i="9" s="1"/>
  <c r="F6" i="9"/>
  <c r="F12" i="9" s="1"/>
  <c r="AE6" i="9"/>
  <c r="AE12" i="9" s="1"/>
  <c r="AE21" i="9" s="1"/>
  <c r="H6" i="9"/>
  <c r="H12" i="9" s="1"/>
  <c r="H21" i="9" s="1"/>
  <c r="L116" i="2"/>
  <c r="T6" i="9"/>
  <c r="T12" i="9" s="1"/>
  <c r="T21" i="9" s="1"/>
  <c r="Q6" i="9"/>
  <c r="Q12" i="9" s="1"/>
  <c r="Q21" i="9" s="1"/>
  <c r="S116" i="2"/>
  <c r="E116" i="2"/>
  <c r="AA6" i="9"/>
  <c r="AA12" i="9" s="1"/>
  <c r="AA21" i="9" s="1"/>
  <c r="F115" i="2"/>
  <c r="W6" i="9"/>
  <c r="W12" i="9" s="1"/>
  <c r="W21" i="9" s="1"/>
  <c r="Z6" i="9"/>
  <c r="Z12" i="9" s="1"/>
  <c r="Z21" i="9" s="1"/>
  <c r="Q116" i="2"/>
  <c r="M116" i="2"/>
  <c r="S6" i="9"/>
  <c r="S12" i="9" s="1"/>
  <c r="S21" i="9" s="1"/>
  <c r="AC6" i="9"/>
  <c r="AC12" i="9" s="1"/>
  <c r="AC21" i="9" s="1"/>
  <c r="K116" i="2"/>
  <c r="C6" i="9"/>
  <c r="C12" i="9" s="1"/>
  <c r="C21" i="9" s="1"/>
  <c r="D116" i="2"/>
  <c r="D115" i="2"/>
  <c r="X6" i="9"/>
  <c r="X12" i="9" s="1"/>
  <c r="X21" i="9" s="1"/>
  <c r="Y116" i="2"/>
  <c r="AF6" i="9"/>
  <c r="AF12" i="9" s="1"/>
  <c r="AF21" i="9" s="1"/>
  <c r="AG116" i="2"/>
  <c r="N6" i="9"/>
  <c r="N12" i="9" s="1"/>
  <c r="N21" i="9" s="1"/>
  <c r="AD6" i="9"/>
  <c r="AD12" i="9" s="1"/>
  <c r="AD21" i="9" s="1"/>
  <c r="AE116" i="2"/>
  <c r="Y6" i="9"/>
  <c r="Y12" i="9" s="1"/>
  <c r="Y21" i="9" s="1"/>
  <c r="Z116" i="2"/>
  <c r="O6" i="9"/>
  <c r="O12" i="9" s="1"/>
  <c r="O21" i="9" s="1"/>
  <c r="M6" i="9"/>
  <c r="M12" i="9" s="1"/>
  <c r="M21" i="9" s="1"/>
  <c r="N116" i="2"/>
  <c r="D118" i="2" l="1"/>
  <c r="D120" i="2" s="1"/>
  <c r="C9" i="6" s="1"/>
  <c r="I6" i="9"/>
  <c r="I12" i="9" s="1"/>
  <c r="I21" i="9" s="1"/>
  <c r="R6" i="9"/>
  <c r="R12" i="9" s="1"/>
  <c r="R21" i="9" s="1"/>
  <c r="K6" i="9"/>
  <c r="K12" i="9" s="1"/>
  <c r="K21" i="9" s="1"/>
  <c r="E115" i="2"/>
  <c r="E118" i="2" s="1"/>
  <c r="I116" i="2"/>
  <c r="U116" i="2"/>
  <c r="F20" i="9"/>
  <c r="F21" i="9"/>
  <c r="J6" i="9"/>
  <c r="J12" i="9" s="1"/>
  <c r="J21" i="9" s="1"/>
  <c r="G116" i="2"/>
  <c r="AA116" i="2"/>
  <c r="X116" i="2"/>
  <c r="AD116" i="2"/>
  <c r="T116" i="2"/>
  <c r="U6" i="9"/>
  <c r="U12" i="9" s="1"/>
  <c r="U21" i="9" s="1"/>
  <c r="G115" i="2"/>
  <c r="AB116" i="2"/>
  <c r="AC116" i="2"/>
  <c r="R116" i="2"/>
  <c r="P6" i="9"/>
  <c r="P12" i="9" s="1"/>
  <c r="P21" i="9" s="1"/>
  <c r="AF116" i="2"/>
  <c r="L6" i="9"/>
  <c r="L12" i="9" s="1"/>
  <c r="L21" i="9" s="1"/>
  <c r="E6" i="9"/>
  <c r="E12" i="9" s="1"/>
  <c r="F116" i="2"/>
  <c r="F118" i="2" s="1"/>
  <c r="C113" i="2"/>
  <c r="C114" i="2" s="1"/>
  <c r="D6" i="9"/>
  <c r="D12" i="9" s="1"/>
  <c r="C20" i="9"/>
  <c r="G118" i="2" l="1"/>
  <c r="G120" i="2" s="1"/>
  <c r="F9" i="6" s="1"/>
  <c r="D20" i="9"/>
  <c r="D21" i="9"/>
  <c r="E20" i="9"/>
  <c r="E21" i="9"/>
  <c r="E120" i="2"/>
  <c r="D9" i="6" s="1"/>
  <c r="F120" i="2"/>
  <c r="E9" i="6" s="1"/>
  <c r="D122" i="2"/>
  <c r="C7" i="9"/>
  <c r="C13" i="9" l="1"/>
  <c r="C23" i="9" s="1"/>
  <c r="F7" i="9"/>
  <c r="F13" i="9" s="1"/>
  <c r="F23" i="9" s="1"/>
  <c r="E7" i="9"/>
  <c r="E13" i="9" s="1"/>
  <c r="E23" i="9" s="1"/>
  <c r="D7" i="9"/>
  <c r="D13" i="9" s="1"/>
  <c r="D23" i="9" s="1"/>
  <c r="C129" i="2" l="1"/>
  <c r="C135" i="2" s="1"/>
  <c r="B10" i="21" s="1"/>
  <c r="B12" i="21" s="1"/>
  <c r="B16" i="21" s="1"/>
  <c r="G22" i="8" l="1"/>
  <c r="F22" i="8"/>
  <c r="C22" i="8"/>
  <c r="E22" i="8"/>
  <c r="D22" i="8" l="1"/>
  <c r="C14" i="8"/>
  <c r="E122" i="2"/>
  <c r="D14" i="8" s="1"/>
  <c r="G122" i="2"/>
  <c r="F14" i="8" s="1"/>
  <c r="F122" i="2"/>
  <c r="E14" i="8" s="1"/>
  <c r="H44" i="2" l="1"/>
  <c r="C24" i="8"/>
  <c r="C25" i="8"/>
  <c r="D24" i="8"/>
  <c r="D25" i="8"/>
  <c r="E24" i="8"/>
  <c r="E25" i="8"/>
  <c r="F24" i="8"/>
  <c r="F25" i="8"/>
  <c r="H43" i="2"/>
  <c r="H115" i="2" l="1"/>
  <c r="H118" i="2" s="1"/>
  <c r="I44" i="2"/>
  <c r="J44" i="2" s="1"/>
  <c r="G15" i="9"/>
  <c r="G20" i="9" s="1"/>
  <c r="I43" i="2"/>
  <c r="G16" i="8"/>
  <c r="D13" i="2" l="1"/>
  <c r="D135" i="2" s="1"/>
  <c r="E13" i="2"/>
  <c r="F13" i="2"/>
  <c r="C5" i="8"/>
  <c r="G13" i="2"/>
  <c r="I115" i="2"/>
  <c r="I118" i="2" s="1"/>
  <c r="I122" i="2" s="1"/>
  <c r="H14" i="8" s="1"/>
  <c r="H25" i="8" s="1"/>
  <c r="H120" i="2"/>
  <c r="H122" i="2"/>
  <c r="G14" i="8" s="1"/>
  <c r="G24" i="8" s="1"/>
  <c r="H15" i="9"/>
  <c r="H20" i="9" s="1"/>
  <c r="AF13" i="2"/>
  <c r="J43" i="2"/>
  <c r="H16" i="8"/>
  <c r="I15" i="9"/>
  <c r="I20" i="9" s="1"/>
  <c r="K44" i="2"/>
  <c r="J115" i="2"/>
  <c r="J118" i="2" s="1"/>
  <c r="G7" i="9" l="1"/>
  <c r="G13" i="9" s="1"/>
  <c r="G23" i="9" s="1"/>
  <c r="G9" i="6"/>
  <c r="I120" i="2"/>
  <c r="G25" i="8"/>
  <c r="H24" i="8"/>
  <c r="AE13" i="2"/>
  <c r="AD12" i="8" s="1"/>
  <c r="V13" i="2"/>
  <c r="U12" i="8" s="1"/>
  <c r="U13" i="2"/>
  <c r="U135" i="2" s="1"/>
  <c r="J13" i="2"/>
  <c r="J135" i="2" s="1"/>
  <c r="E135" i="2"/>
  <c r="C12" i="8"/>
  <c r="C20" i="8" s="1"/>
  <c r="O13" i="2"/>
  <c r="N12" i="8" s="1"/>
  <c r="AB13" i="2"/>
  <c r="AA12" i="8" s="1"/>
  <c r="S13" i="2"/>
  <c r="R12" i="8" s="1"/>
  <c r="Z13" i="2"/>
  <c r="Z135" i="2" s="1"/>
  <c r="AG13" i="2"/>
  <c r="AF12" i="8" s="1"/>
  <c r="AC13" i="2"/>
  <c r="AB12" i="8" s="1"/>
  <c r="AA13" i="2"/>
  <c r="AA135" i="2" s="1"/>
  <c r="Q13" i="2"/>
  <c r="P12" i="8" s="1"/>
  <c r="P13" i="2"/>
  <c r="O12" i="8" s="1"/>
  <c r="G135" i="2"/>
  <c r="E12" i="8"/>
  <c r="W13" i="2"/>
  <c r="V12" i="8" s="1"/>
  <c r="T13" i="2"/>
  <c r="T135" i="2" s="1"/>
  <c r="Y13" i="2"/>
  <c r="X12" i="8" s="1"/>
  <c r="N13" i="2"/>
  <c r="M12" i="8" s="1"/>
  <c r="L13" i="2"/>
  <c r="K12" i="8" s="1"/>
  <c r="R13" i="2"/>
  <c r="R135" i="2" s="1"/>
  <c r="I13" i="2"/>
  <c r="H12" i="8" s="1"/>
  <c r="X13" i="2"/>
  <c r="X135" i="2" s="1"/>
  <c r="AD13" i="2"/>
  <c r="AC12" i="8" s="1"/>
  <c r="K13" i="2"/>
  <c r="K135" i="2" s="1"/>
  <c r="M13" i="2"/>
  <c r="L12" i="8" s="1"/>
  <c r="H13" i="2"/>
  <c r="G12" i="8" s="1"/>
  <c r="J120" i="2"/>
  <c r="I9" i="6" s="1"/>
  <c r="J122" i="2"/>
  <c r="I14" i="8" s="1"/>
  <c r="J15" i="9"/>
  <c r="J20" i="9" s="1"/>
  <c r="L44" i="2"/>
  <c r="K115" i="2"/>
  <c r="K118" i="2" s="1"/>
  <c r="K122" i="2" s="1"/>
  <c r="J14" i="8" s="1"/>
  <c r="K43" i="2"/>
  <c r="I16" i="8"/>
  <c r="AF135" i="2"/>
  <c r="AE12" i="8"/>
  <c r="H7" i="9" l="1"/>
  <c r="H13" i="9" s="1"/>
  <c r="H23" i="9" s="1"/>
  <c r="H9" i="6"/>
  <c r="S12" i="8"/>
  <c r="S20" i="8" s="1"/>
  <c r="Y135" i="2"/>
  <c r="AB135" i="2"/>
  <c r="I135" i="2"/>
  <c r="O135" i="2"/>
  <c r="Q135" i="2"/>
  <c r="AE135" i="2"/>
  <c r="N135" i="2"/>
  <c r="C19" i="8"/>
  <c r="P135" i="2"/>
  <c r="V135" i="2"/>
  <c r="W12" i="8"/>
  <c r="W20" i="8" s="1"/>
  <c r="Z12" i="8"/>
  <c r="Z20" i="8" s="1"/>
  <c r="E6" i="7"/>
  <c r="D5" i="8"/>
  <c r="E5" i="8" s="1"/>
  <c r="F5" i="8" s="1"/>
  <c r="G5" i="8" s="1"/>
  <c r="H5" i="8" s="1"/>
  <c r="I5" i="8" s="1"/>
  <c r="J5" i="8" s="1"/>
  <c r="K5" i="8" s="1"/>
  <c r="L5" i="8" s="1"/>
  <c r="B20" i="21" s="1"/>
  <c r="I12" i="8"/>
  <c r="I20" i="8" s="1"/>
  <c r="S135" i="2"/>
  <c r="D12" i="8"/>
  <c r="D19" i="8" s="1"/>
  <c r="L135" i="2"/>
  <c r="Y12" i="8"/>
  <c r="Y20" i="8" s="1"/>
  <c r="Q12" i="8"/>
  <c r="Q20" i="8" s="1"/>
  <c r="H135" i="2"/>
  <c r="AG135" i="2"/>
  <c r="B36" i="21" s="1"/>
  <c r="J12" i="8"/>
  <c r="J20" i="8" s="1"/>
  <c r="AD135" i="2"/>
  <c r="F12" i="8"/>
  <c r="F20" i="8" s="1"/>
  <c r="AC135" i="2"/>
  <c r="M135" i="2"/>
  <c r="B23" i="21" s="1"/>
  <c r="W135" i="2"/>
  <c r="T12" i="8"/>
  <c r="T20" i="8" s="1"/>
  <c r="F135" i="2"/>
  <c r="J25" i="8"/>
  <c r="L43" i="2"/>
  <c r="J16" i="8"/>
  <c r="J24" i="8" s="1"/>
  <c r="K120" i="2"/>
  <c r="J9" i="6" s="1"/>
  <c r="I25" i="8"/>
  <c r="I24" i="8"/>
  <c r="K15" i="9"/>
  <c r="K20" i="9" s="1"/>
  <c r="M44" i="2"/>
  <c r="L115" i="2"/>
  <c r="L118" i="2" s="1"/>
  <c r="L120" i="2" s="1"/>
  <c r="K9" i="6" s="1"/>
  <c r="I7" i="9"/>
  <c r="I13" i="9" s="1"/>
  <c r="I23" i="9" s="1"/>
  <c r="P20" i="8"/>
  <c r="U20" i="8"/>
  <c r="AA20" i="8"/>
  <c r="AB20" i="8"/>
  <c r="G20" i="8"/>
  <c r="G19" i="8"/>
  <c r="AD20" i="8"/>
  <c r="L20" i="8"/>
  <c r="V20" i="8"/>
  <c r="AF20" i="8"/>
  <c r="K20" i="8"/>
  <c r="E19" i="8"/>
  <c r="E20" i="8"/>
  <c r="R20" i="8"/>
  <c r="O20" i="8"/>
  <c r="N20" i="8"/>
  <c r="M20" i="8"/>
  <c r="AE20" i="8"/>
  <c r="AC20" i="8"/>
  <c r="X20" i="8"/>
  <c r="H19" i="8"/>
  <c r="H20" i="8"/>
  <c r="C17" i="2" l="1"/>
  <c r="B25" i="21"/>
  <c r="B29" i="21" s="1"/>
  <c r="C66" i="2"/>
  <c r="C68" i="2" s="1"/>
  <c r="C71" i="2"/>
  <c r="C73" i="2" s="1"/>
  <c r="C75" i="2" s="1"/>
  <c r="C27" i="8"/>
  <c r="C6" i="8" s="1"/>
  <c r="I19" i="8"/>
  <c r="I27" i="8" s="1"/>
  <c r="I6" i="8" s="1"/>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F19" i="8"/>
  <c r="F27" i="8" s="1"/>
  <c r="F6" i="8" s="1"/>
  <c r="D20" i="8"/>
  <c r="D27" i="8" s="1"/>
  <c r="D6" i="8" s="1"/>
  <c r="L122" i="2"/>
  <c r="K14" i="8" s="1"/>
  <c r="K25" i="8" s="1"/>
  <c r="J19" i="8"/>
  <c r="J27" i="8" s="1"/>
  <c r="J6" i="8" s="1"/>
  <c r="L15" i="9"/>
  <c r="L20" i="9" s="1"/>
  <c r="N44" i="2"/>
  <c r="M115" i="2"/>
  <c r="M118" i="2" s="1"/>
  <c r="M120" i="2" s="1"/>
  <c r="L9" i="6" s="1"/>
  <c r="K16" i="8"/>
  <c r="K19" i="8" s="1"/>
  <c r="M43" i="2"/>
  <c r="J7" i="9"/>
  <c r="J13" i="9" s="1"/>
  <c r="J23" i="9" s="1"/>
  <c r="K7" i="9"/>
  <c r="K13" i="9" s="1"/>
  <c r="K23" i="9" s="1"/>
  <c r="H27" i="8"/>
  <c r="H6" i="8" s="1"/>
  <c r="G27" i="8"/>
  <c r="G6" i="8" s="1"/>
  <c r="E27" i="8"/>
  <c r="E6" i="8" s="1"/>
  <c r="D111" i="2" l="1"/>
  <c r="C5" i="9" s="1"/>
  <c r="C11" i="9" s="1"/>
  <c r="C18" i="2"/>
  <c r="C7" i="6" s="1"/>
  <c r="B6" i="5"/>
  <c r="K24" i="8"/>
  <c r="K27" i="8" s="1"/>
  <c r="K6" i="8" s="1"/>
  <c r="M122" i="2"/>
  <c r="L14" i="8" s="1"/>
  <c r="L7" i="9"/>
  <c r="L13" i="9" s="1"/>
  <c r="L23" i="9" s="1"/>
  <c r="M15" i="9"/>
  <c r="M20" i="9" s="1"/>
  <c r="O44" i="2"/>
  <c r="N115" i="2"/>
  <c r="N118" i="2" s="1"/>
  <c r="N43" i="2"/>
  <c r="L16" i="8"/>
  <c r="L19" i="8" s="1"/>
  <c r="I111" i="2"/>
  <c r="H5" i="9" s="1"/>
  <c r="H11" i="9" s="1"/>
  <c r="H18" i="9" s="1"/>
  <c r="H25" i="9" s="1"/>
  <c r="H18" i="6" s="1"/>
  <c r="C6" i="6"/>
  <c r="AB111" i="2"/>
  <c r="AA8" i="6" s="1"/>
  <c r="AG111" i="2"/>
  <c r="AF5" i="9" s="1"/>
  <c r="AF11" i="9" s="1"/>
  <c r="AF18" i="9" s="1"/>
  <c r="M111" i="2"/>
  <c r="L8" i="6" s="1"/>
  <c r="K111" i="2"/>
  <c r="J5" i="9" s="1"/>
  <c r="J11" i="9" s="1"/>
  <c r="AE111" i="2"/>
  <c r="AD5" i="9" s="1"/>
  <c r="AD11" i="9" s="1"/>
  <c r="AF111" i="2"/>
  <c r="AE5" i="9" s="1"/>
  <c r="AE11" i="9" s="1"/>
  <c r="AE18" i="9" s="1"/>
  <c r="Z111" i="2"/>
  <c r="Y8" i="6" s="1"/>
  <c r="J111" i="2"/>
  <c r="I5" i="9" s="1"/>
  <c r="I11" i="9" s="1"/>
  <c r="I18" i="9" s="1"/>
  <c r="I25" i="9" s="1"/>
  <c r="I18" i="6" s="1"/>
  <c r="F111" i="2"/>
  <c r="E5" i="9" s="1"/>
  <c r="E11" i="9" s="1"/>
  <c r="G111" i="2"/>
  <c r="F8" i="6" s="1"/>
  <c r="N111" i="2"/>
  <c r="M5" i="9" s="1"/>
  <c r="M11" i="9" s="1"/>
  <c r="M18" i="9" s="1"/>
  <c r="T111" i="2"/>
  <c r="S5" i="9" s="1"/>
  <c r="S11" i="9" s="1"/>
  <c r="S18" i="9" s="1"/>
  <c r="X111" i="2"/>
  <c r="W8" i="6" s="1"/>
  <c r="AC111" i="2"/>
  <c r="AB5" i="9" s="1"/>
  <c r="AB11" i="9" s="1"/>
  <c r="Y111" i="2"/>
  <c r="X5" i="9" s="1"/>
  <c r="X11" i="9" s="1"/>
  <c r="S111" i="2"/>
  <c r="R5" i="9" s="1"/>
  <c r="R11" i="9" s="1"/>
  <c r="R18" i="9" s="1"/>
  <c r="W111" i="2"/>
  <c r="V5" i="9" s="1"/>
  <c r="V11" i="9" s="1"/>
  <c r="V18" i="9" s="1"/>
  <c r="O111" i="2"/>
  <c r="N8" i="6" s="1"/>
  <c r="P111" i="2"/>
  <c r="O5" i="9" s="1"/>
  <c r="O11" i="9" s="1"/>
  <c r="O18" i="9" s="1"/>
  <c r="H111" i="2"/>
  <c r="G8" i="6" s="1"/>
  <c r="R111" i="2"/>
  <c r="Q5" i="9" s="1"/>
  <c r="Q11" i="9" s="1"/>
  <c r="Q18" i="9" s="1"/>
  <c r="E111" i="2"/>
  <c r="D8" i="6" s="1"/>
  <c r="AD111" i="2"/>
  <c r="AC5" i="9" s="1"/>
  <c r="AC11" i="9" s="1"/>
  <c r="AC18" i="9" s="1"/>
  <c r="L111" i="2"/>
  <c r="K5" i="9" s="1"/>
  <c r="K11" i="9" s="1"/>
  <c r="K18" i="9" s="1"/>
  <c r="K25" i="9" s="1"/>
  <c r="K18" i="6" s="1"/>
  <c r="V111" i="2"/>
  <c r="U5" i="9" s="1"/>
  <c r="U11" i="9" s="1"/>
  <c r="AA111" i="2"/>
  <c r="Z5" i="9" s="1"/>
  <c r="Z11" i="9" s="1"/>
  <c r="Z18" i="9" s="1"/>
  <c r="Q111" i="2"/>
  <c r="P5" i="9" s="1"/>
  <c r="P11" i="9" s="1"/>
  <c r="U111" i="2"/>
  <c r="T5" i="9" s="1"/>
  <c r="T11" i="9" s="1"/>
  <c r="C18" i="9" l="1"/>
  <c r="C25" i="9" s="1"/>
  <c r="C10" i="4" s="1"/>
  <c r="H8" i="6"/>
  <c r="H7" i="8" s="1"/>
  <c r="N122" i="2"/>
  <c r="M14" i="8" s="1"/>
  <c r="L24" i="8"/>
  <c r="L25" i="8"/>
  <c r="N15" i="9"/>
  <c r="N20" i="9" s="1"/>
  <c r="P44" i="2"/>
  <c r="O115" i="2"/>
  <c r="O118" i="2" s="1"/>
  <c r="O122" i="2" s="1"/>
  <c r="N14" i="8" s="1"/>
  <c r="O43" i="2"/>
  <c r="M16" i="8"/>
  <c r="M19" i="8" s="1"/>
  <c r="N120" i="2"/>
  <c r="M9" i="6" s="1"/>
  <c r="AB8" i="6"/>
  <c r="W5" i="9"/>
  <c r="W11" i="9" s="1"/>
  <c r="W18" i="9" s="1"/>
  <c r="I8" i="6"/>
  <c r="I7" i="8" s="1"/>
  <c r="O8" i="6"/>
  <c r="L5" i="9"/>
  <c r="L11" i="9" s="1"/>
  <c r="L18" i="9" s="1"/>
  <c r="L25" i="9" s="1"/>
  <c r="L18" i="6" s="1"/>
  <c r="AC8" i="6"/>
  <c r="AF8" i="6"/>
  <c r="N5" i="9"/>
  <c r="N11" i="9" s="1"/>
  <c r="N18" i="9" s="1"/>
  <c r="M8" i="6"/>
  <c r="AA5" i="9"/>
  <c r="AA11" i="9" s="1"/>
  <c r="AA18" i="9" s="1"/>
  <c r="Z8" i="6"/>
  <c r="P8" i="6"/>
  <c r="K8" i="6"/>
  <c r="K7" i="8" s="1"/>
  <c r="U8" i="6"/>
  <c r="Y5" i="9"/>
  <c r="Y11" i="9" s="1"/>
  <c r="Y18" i="9" s="1"/>
  <c r="S8" i="6"/>
  <c r="AD8" i="6"/>
  <c r="V8" i="6"/>
  <c r="X8" i="6"/>
  <c r="D5" i="9"/>
  <c r="D11" i="9" s="1"/>
  <c r="D18" i="9" s="1"/>
  <c r="D25" i="9" s="1"/>
  <c r="D18" i="6" s="1"/>
  <c r="C8" i="6"/>
  <c r="C12" i="6" s="1"/>
  <c r="D7" i="6" s="1"/>
  <c r="D12" i="6" s="1"/>
  <c r="G5" i="9"/>
  <c r="G11" i="9" s="1"/>
  <c r="G18" i="9" s="1"/>
  <c r="G25" i="9" s="1"/>
  <c r="G18" i="6" s="1"/>
  <c r="F5" i="9"/>
  <c r="F11" i="9" s="1"/>
  <c r="F18" i="9" s="1"/>
  <c r="F25" i="9" s="1"/>
  <c r="F18" i="6" s="1"/>
  <c r="J8" i="6"/>
  <c r="J7" i="8" s="1"/>
  <c r="Q8" i="6"/>
  <c r="R8" i="6"/>
  <c r="E8" i="6"/>
  <c r="E6" i="4" s="1"/>
  <c r="T8" i="6"/>
  <c r="AE8" i="6"/>
  <c r="H10" i="4"/>
  <c r="D6" i="4"/>
  <c r="D7" i="8"/>
  <c r="AB18" i="9"/>
  <c r="T18" i="9"/>
  <c r="U18" i="9"/>
  <c r="I10" i="4"/>
  <c r="E18" i="9"/>
  <c r="E25" i="9" s="1"/>
  <c r="E18" i="6" s="1"/>
  <c r="L7" i="8"/>
  <c r="L6" i="4"/>
  <c r="K10" i="4"/>
  <c r="AD18" i="9"/>
  <c r="P18" i="9"/>
  <c r="G6" i="4"/>
  <c r="G7" i="8"/>
  <c r="X18" i="9"/>
  <c r="F6" i="4"/>
  <c r="F7" i="8"/>
  <c r="J18" i="9"/>
  <c r="J25" i="9" s="1"/>
  <c r="J18" i="6" s="1"/>
  <c r="C18" i="6" l="1"/>
  <c r="C19" i="6" s="1"/>
  <c r="C20" i="6" s="1"/>
  <c r="C23" i="6" s="1"/>
  <c r="L27" i="8"/>
  <c r="L6" i="8" s="1"/>
  <c r="H6" i="4"/>
  <c r="O120" i="2"/>
  <c r="N9" i="6" s="1"/>
  <c r="O15" i="9"/>
  <c r="O20" i="9" s="1"/>
  <c r="Q44" i="2"/>
  <c r="P115" i="2"/>
  <c r="P118" i="2" s="1"/>
  <c r="M7" i="9"/>
  <c r="M13" i="9" s="1"/>
  <c r="M7" i="8"/>
  <c r="M24" i="8"/>
  <c r="M25" i="8"/>
  <c r="P43" i="2"/>
  <c r="N16" i="8"/>
  <c r="N19" i="8" s="1"/>
  <c r="N25" i="8"/>
  <c r="I6" i="4"/>
  <c r="L10" i="4"/>
  <c r="J6" i="4"/>
  <c r="K6" i="4"/>
  <c r="E7" i="8"/>
  <c r="D10" i="4"/>
  <c r="F10" i="4"/>
  <c r="H10" i="6"/>
  <c r="G10" i="6"/>
  <c r="C6" i="4"/>
  <c r="K10" i="6"/>
  <c r="B7" i="5"/>
  <c r="B8" i="5" s="1"/>
  <c r="B10" i="5" s="1"/>
  <c r="J10" i="6"/>
  <c r="C10" i="6"/>
  <c r="L10" i="6"/>
  <c r="I10" i="6"/>
  <c r="C7" i="8"/>
  <c r="D10" i="6"/>
  <c r="F10" i="6"/>
  <c r="E10" i="6"/>
  <c r="J10" i="4"/>
  <c r="C7" i="5"/>
  <c r="E7" i="6"/>
  <c r="E12" i="6" s="1"/>
  <c r="G10" i="4"/>
  <c r="E10" i="4"/>
  <c r="D19" i="6" l="1"/>
  <c r="D20" i="6" s="1"/>
  <c r="N7" i="9"/>
  <c r="N13" i="9" s="1"/>
  <c r="N23" i="9" s="1"/>
  <c r="M10" i="6"/>
  <c r="N10" i="6"/>
  <c r="M6" i="4"/>
  <c r="N24" i="8"/>
  <c r="N27" i="8" s="1"/>
  <c r="N6" i="8" s="1"/>
  <c r="M27" i="8"/>
  <c r="M6" i="8" s="1"/>
  <c r="Q43" i="2"/>
  <c r="O16" i="8"/>
  <c r="O19" i="8" s="1"/>
  <c r="N6" i="4"/>
  <c r="N7" i="8"/>
  <c r="P122" i="2"/>
  <c r="O14" i="8" s="1"/>
  <c r="P120" i="2"/>
  <c r="O9" i="6" s="1"/>
  <c r="M23" i="9"/>
  <c r="M25" i="9" s="1"/>
  <c r="M18" i="6" s="1"/>
  <c r="P15" i="9"/>
  <c r="P20" i="9" s="1"/>
  <c r="R44" i="2"/>
  <c r="Q115" i="2"/>
  <c r="Q118" i="2" s="1"/>
  <c r="E8" i="7"/>
  <c r="D7" i="5"/>
  <c r="F7" i="6"/>
  <c r="F12" i="6" s="1"/>
  <c r="E19" i="6" l="1"/>
  <c r="E20" i="6" s="1"/>
  <c r="F19" i="6" s="1"/>
  <c r="F20" i="6" s="1"/>
  <c r="G19" i="6" s="1"/>
  <c r="G20" i="6" s="1"/>
  <c r="H19" i="6" s="1"/>
  <c r="H20" i="6" s="1"/>
  <c r="I19" i="6" s="1"/>
  <c r="I20" i="6" s="1"/>
  <c r="J19" i="6" s="1"/>
  <c r="J20" i="6" s="1"/>
  <c r="K19" i="6" s="1"/>
  <c r="K20" i="6" s="1"/>
  <c r="L19" i="6" s="1"/>
  <c r="L20" i="6" s="1"/>
  <c r="M19" i="6" s="1"/>
  <c r="M20" i="6" s="1"/>
  <c r="N25" i="9"/>
  <c r="N18" i="6" s="1"/>
  <c r="Q15" i="9"/>
  <c r="Q20" i="9" s="1"/>
  <c r="S44" i="2"/>
  <c r="R115" i="2"/>
  <c r="R118" i="2" s="1"/>
  <c r="P16" i="8"/>
  <c r="P19" i="8" s="1"/>
  <c r="R43" i="2"/>
  <c r="M10" i="4"/>
  <c r="O7" i="9"/>
  <c r="O13" i="9" s="1"/>
  <c r="O25" i="8"/>
  <c r="O24" i="8"/>
  <c r="Q122" i="2"/>
  <c r="P14" i="8" s="1"/>
  <c r="Q120" i="2"/>
  <c r="P9" i="6" s="1"/>
  <c r="E7" i="5"/>
  <c r="G7" i="6"/>
  <c r="G12" i="6" s="1"/>
  <c r="N19" i="6" l="1"/>
  <c r="N20" i="6" s="1"/>
  <c r="N10" i="4"/>
  <c r="O27" i="8"/>
  <c r="O6" i="8" s="1"/>
  <c r="O7" i="8"/>
  <c r="O6" i="4"/>
  <c r="O10" i="6"/>
  <c r="O23" i="9"/>
  <c r="O25" i="9" s="1"/>
  <c r="O18" i="6" s="1"/>
  <c r="P25" i="8"/>
  <c r="P24" i="8"/>
  <c r="R15" i="9"/>
  <c r="R20" i="9" s="1"/>
  <c r="T44" i="2"/>
  <c r="S115" i="2"/>
  <c r="S118" i="2" s="1"/>
  <c r="P7" i="9"/>
  <c r="P13" i="9" s="1"/>
  <c r="S43" i="2"/>
  <c r="Q16" i="8"/>
  <c r="Q19" i="8" s="1"/>
  <c r="R122" i="2"/>
  <c r="Q14" i="8" s="1"/>
  <c r="R120" i="2"/>
  <c r="Q9" i="6" s="1"/>
  <c r="F7" i="5"/>
  <c r="H7" i="6"/>
  <c r="H12" i="6" s="1"/>
  <c r="O19" i="6" l="1"/>
  <c r="O20" i="6" s="1"/>
  <c r="P27" i="8"/>
  <c r="P6" i="8" s="1"/>
  <c r="O10" i="4"/>
  <c r="P23" i="9"/>
  <c r="P25" i="9" s="1"/>
  <c r="P18" i="6" s="1"/>
  <c r="S120" i="2"/>
  <c r="R9" i="6" s="1"/>
  <c r="S122" i="2"/>
  <c r="R14" i="8" s="1"/>
  <c r="S15" i="9"/>
  <c r="S20" i="9" s="1"/>
  <c r="U44" i="2"/>
  <c r="T115" i="2"/>
  <c r="T118" i="2" s="1"/>
  <c r="Q25" i="8"/>
  <c r="Q24" i="8"/>
  <c r="P7" i="8"/>
  <c r="P6" i="4"/>
  <c r="Q7" i="9"/>
  <c r="Q13" i="9" s="1"/>
  <c r="Q10" i="6"/>
  <c r="P10" i="6"/>
  <c r="T43" i="2"/>
  <c r="R16" i="8"/>
  <c r="R19" i="8" s="1"/>
  <c r="G7" i="5"/>
  <c r="I7" i="6"/>
  <c r="I12" i="6" s="1"/>
  <c r="P19" i="6" l="1"/>
  <c r="P20" i="6" s="1"/>
  <c r="Q27" i="8"/>
  <c r="Q6" i="8" s="1"/>
  <c r="U43" i="2"/>
  <c r="S16" i="8"/>
  <c r="S19" i="8" s="1"/>
  <c r="Q6" i="4"/>
  <c r="Q7" i="8"/>
  <c r="P10" i="4"/>
  <c r="Q23" i="9"/>
  <c r="Q25" i="9" s="1"/>
  <c r="Q18" i="6" s="1"/>
  <c r="T122" i="2"/>
  <c r="S14" i="8" s="1"/>
  <c r="T120" i="2"/>
  <c r="S9" i="6" s="1"/>
  <c r="R25" i="8"/>
  <c r="R24" i="8"/>
  <c r="R7" i="9"/>
  <c r="R13" i="9" s="1"/>
  <c r="T15" i="9"/>
  <c r="T20" i="9" s="1"/>
  <c r="V44" i="2"/>
  <c r="U115" i="2"/>
  <c r="U118" i="2" s="1"/>
  <c r="J7" i="6"/>
  <c r="J12" i="6" s="1"/>
  <c r="H7" i="5"/>
  <c r="Q19" i="6" l="1"/>
  <c r="Q20" i="6" s="1"/>
  <c r="R27" i="8"/>
  <c r="R6" i="8" s="1"/>
  <c r="U120" i="2"/>
  <c r="T9" i="6" s="1"/>
  <c r="U122" i="2"/>
  <c r="T14" i="8" s="1"/>
  <c r="S24" i="8"/>
  <c r="S25" i="8"/>
  <c r="T16" i="8"/>
  <c r="T19" i="8" s="1"/>
  <c r="V43" i="2"/>
  <c r="U15" i="9"/>
  <c r="U20" i="9" s="1"/>
  <c r="W44" i="2"/>
  <c r="V115" i="2"/>
  <c r="V118" i="2" s="1"/>
  <c r="Q10" i="4"/>
  <c r="R23" i="9"/>
  <c r="R25" i="9" s="1"/>
  <c r="R18" i="6" s="1"/>
  <c r="R6" i="4"/>
  <c r="R7" i="8"/>
  <c r="S7" i="9"/>
  <c r="S13" i="9" s="1"/>
  <c r="S10" i="6"/>
  <c r="R10" i="6"/>
  <c r="I7" i="5"/>
  <c r="K7" i="6"/>
  <c r="K12" i="6" s="1"/>
  <c r="R19" i="6" l="1"/>
  <c r="R20" i="6" s="1"/>
  <c r="S27" i="8"/>
  <c r="S6" i="8" s="1"/>
  <c r="V15" i="9"/>
  <c r="V20" i="9" s="1"/>
  <c r="X44" i="2"/>
  <c r="W115" i="2"/>
  <c r="W118" i="2" s="1"/>
  <c r="S7" i="8"/>
  <c r="S6" i="4"/>
  <c r="S23" i="9"/>
  <c r="S25" i="9" s="1"/>
  <c r="S18" i="6" s="1"/>
  <c r="R10" i="4"/>
  <c r="V120" i="2"/>
  <c r="U9" i="6" s="1"/>
  <c r="V122" i="2"/>
  <c r="U14" i="8" s="1"/>
  <c r="T25" i="8"/>
  <c r="T24" i="8"/>
  <c r="T7" i="9"/>
  <c r="T13" i="9" s="1"/>
  <c r="W43" i="2"/>
  <c r="U16" i="8"/>
  <c r="U19" i="8" s="1"/>
  <c r="J7" i="5"/>
  <c r="L7" i="6"/>
  <c r="L12" i="6" s="1"/>
  <c r="S19" i="6" l="1"/>
  <c r="S20" i="6" s="1"/>
  <c r="T27" i="8"/>
  <c r="T6" i="8" s="1"/>
  <c r="S10" i="4"/>
  <c r="U7" i="9"/>
  <c r="U13" i="9" s="1"/>
  <c r="W15" i="9"/>
  <c r="W20" i="9" s="1"/>
  <c r="Y44" i="2"/>
  <c r="X115" i="2"/>
  <c r="X118" i="2" s="1"/>
  <c r="X43" i="2"/>
  <c r="V16" i="8"/>
  <c r="V19" i="8" s="1"/>
  <c r="T23" i="9"/>
  <c r="T25" i="9" s="1"/>
  <c r="T18" i="6" s="1"/>
  <c r="U24" i="8"/>
  <c r="U25" i="8"/>
  <c r="W120" i="2"/>
  <c r="V9" i="6" s="1"/>
  <c r="W122" i="2"/>
  <c r="V14" i="8" s="1"/>
  <c r="T6" i="4"/>
  <c r="T7" i="8"/>
  <c r="T10" i="6"/>
  <c r="M7" i="6"/>
  <c r="M12" i="6" s="1"/>
  <c r="K7" i="5"/>
  <c r="T19" i="6" l="1"/>
  <c r="T20" i="6" s="1"/>
  <c r="U27" i="8"/>
  <c r="U6" i="8" s="1"/>
  <c r="V24" i="8"/>
  <c r="V25" i="8"/>
  <c r="Y43" i="2"/>
  <c r="W16" i="8"/>
  <c r="W19" i="8" s="1"/>
  <c r="V7" i="9"/>
  <c r="V13" i="9" s="1"/>
  <c r="X122" i="2"/>
  <c r="W14" i="8" s="1"/>
  <c r="X120" i="2"/>
  <c r="W9" i="6" s="1"/>
  <c r="X15" i="9"/>
  <c r="X20" i="9" s="1"/>
  <c r="Z44" i="2"/>
  <c r="Y115" i="2"/>
  <c r="Y118" i="2" s="1"/>
  <c r="U6" i="4"/>
  <c r="U7" i="8"/>
  <c r="U10" i="6"/>
  <c r="T10" i="4"/>
  <c r="U23" i="9"/>
  <c r="U25" i="9" s="1"/>
  <c r="U18" i="6" s="1"/>
  <c r="U19" i="6" s="1"/>
  <c r="U20" i="6" s="1"/>
  <c r="L7" i="5"/>
  <c r="N7" i="6"/>
  <c r="N12" i="6" s="1"/>
  <c r="V27" i="8" l="1"/>
  <c r="V6" i="8" s="1"/>
  <c r="U10" i="4"/>
  <c r="V23" i="9"/>
  <c r="V25" i="9" s="1"/>
  <c r="V18" i="6" s="1"/>
  <c r="V19" i="6" s="1"/>
  <c r="V20" i="6" s="1"/>
  <c r="V7" i="8"/>
  <c r="V6" i="4"/>
  <c r="Y122" i="2"/>
  <c r="X14" i="8" s="1"/>
  <c r="Y120" i="2"/>
  <c r="X9" i="6" s="1"/>
  <c r="Y15" i="9"/>
  <c r="Y20" i="9" s="1"/>
  <c r="AA44" i="2"/>
  <c r="Z115" i="2"/>
  <c r="Z118" i="2" s="1"/>
  <c r="Z43" i="2"/>
  <c r="X16" i="8"/>
  <c r="X19" i="8" s="1"/>
  <c r="V10" i="6"/>
  <c r="W7" i="9"/>
  <c r="W13" i="9" s="1"/>
  <c r="W10" i="6"/>
  <c r="W24" i="8"/>
  <c r="W25" i="8"/>
  <c r="M7" i="5"/>
  <c r="O7" i="6"/>
  <c r="O12" i="6" s="1"/>
  <c r="W27" i="8" l="1"/>
  <c r="W6" i="8" s="1"/>
  <c r="Z15" i="9"/>
  <c r="Z20" i="9" s="1"/>
  <c r="AB44" i="2"/>
  <c r="AA115" i="2"/>
  <c r="AA118" i="2" s="1"/>
  <c r="AA43" i="2"/>
  <c r="Y16" i="8"/>
  <c r="Y19" i="8" s="1"/>
  <c r="V10" i="4"/>
  <c r="Z120" i="2"/>
  <c r="Y9" i="6" s="1"/>
  <c r="Z122" i="2"/>
  <c r="Y14" i="8" s="1"/>
  <c r="X7" i="9"/>
  <c r="X13" i="9" s="1"/>
  <c r="W23" i="9"/>
  <c r="W25" i="9" s="1"/>
  <c r="W18" i="6" s="1"/>
  <c r="W19" i="6" s="1"/>
  <c r="W20" i="6" s="1"/>
  <c r="W7" i="8"/>
  <c r="W6" i="4"/>
  <c r="X24" i="8"/>
  <c r="X25" i="8"/>
  <c r="N7" i="5"/>
  <c r="P7" i="6"/>
  <c r="P12" i="6" s="1"/>
  <c r="X27" i="8" l="1"/>
  <c r="X6" i="8" s="1"/>
  <c r="W10" i="4"/>
  <c r="X6" i="4"/>
  <c r="X7" i="8"/>
  <c r="X10" i="6"/>
  <c r="AA120" i="2"/>
  <c r="Z9" i="6" s="1"/>
  <c r="AA122" i="2"/>
  <c r="Z14" i="8" s="1"/>
  <c r="X23" i="9"/>
  <c r="X25" i="9" s="1"/>
  <c r="X18" i="6" s="1"/>
  <c r="X19" i="6" s="1"/>
  <c r="X20" i="6" s="1"/>
  <c r="Z16" i="8"/>
  <c r="Z19" i="8" s="1"/>
  <c r="AB43" i="2"/>
  <c r="Y24" i="8"/>
  <c r="Y25" i="8"/>
  <c r="AA15" i="9"/>
  <c r="AA20" i="9" s="1"/>
  <c r="AC44" i="2"/>
  <c r="AB115" i="2"/>
  <c r="AB118" i="2" s="1"/>
  <c r="Y7" i="9"/>
  <c r="Y13" i="9" s="1"/>
  <c r="O7" i="5"/>
  <c r="Q7" i="6"/>
  <c r="Q12" i="6" s="1"/>
  <c r="Y27" i="8" l="1"/>
  <c r="Y6" i="8" s="1"/>
  <c r="Y7" i="8"/>
  <c r="Y6" i="4"/>
  <c r="Y10" i="6"/>
  <c r="AC43" i="2"/>
  <c r="AA16" i="8"/>
  <c r="AA19" i="8" s="1"/>
  <c r="AB120" i="2"/>
  <c r="AA9" i="6" s="1"/>
  <c r="AB122" i="2"/>
  <c r="AA14" i="8" s="1"/>
  <c r="X10" i="4"/>
  <c r="AB15" i="9"/>
  <c r="AB20" i="9" s="1"/>
  <c r="AD44" i="2"/>
  <c r="AC115" i="2"/>
  <c r="AC118" i="2" s="1"/>
  <c r="Z7" i="9"/>
  <c r="Z13" i="9" s="1"/>
  <c r="Y23" i="9"/>
  <c r="Y25" i="9" s="1"/>
  <c r="Y18" i="6" s="1"/>
  <c r="Y19" i="6" s="1"/>
  <c r="Y20" i="6" s="1"/>
  <c r="Z25" i="8"/>
  <c r="Z24" i="8"/>
  <c r="P7" i="5"/>
  <c r="R7" i="6"/>
  <c r="R12" i="6" s="1"/>
  <c r="Z27" i="8" l="1"/>
  <c r="Z6" i="8" s="1"/>
  <c r="AA7" i="9"/>
  <c r="AA13" i="9" s="1"/>
  <c r="Z6" i="4"/>
  <c r="Z7" i="8"/>
  <c r="Z10" i="6"/>
  <c r="Z23" i="9"/>
  <c r="Z25" i="9" s="1"/>
  <c r="Z18" i="6" s="1"/>
  <c r="Z19" i="6" s="1"/>
  <c r="Z20" i="6" s="1"/>
  <c r="AD43" i="2"/>
  <c r="AB16" i="8"/>
  <c r="AB19" i="8" s="1"/>
  <c r="AA25" i="8"/>
  <c r="AA24" i="8"/>
  <c r="AC15" i="9"/>
  <c r="AC20" i="9" s="1"/>
  <c r="AE44" i="2"/>
  <c r="AD115" i="2"/>
  <c r="AD118" i="2" s="1"/>
  <c r="AC120" i="2"/>
  <c r="AB9" i="6" s="1"/>
  <c r="AC122" i="2"/>
  <c r="AB14" i="8" s="1"/>
  <c r="Y10" i="4"/>
  <c r="Q7" i="5"/>
  <c r="S7" i="6"/>
  <c r="S12" i="6" s="1"/>
  <c r="AA27" i="8" l="1"/>
  <c r="AA6" i="8" s="1"/>
  <c r="AD120" i="2"/>
  <c r="AC9" i="6" s="1"/>
  <c r="AD122" i="2"/>
  <c r="AC14" i="8" s="1"/>
  <c r="AD15" i="9"/>
  <c r="AD20" i="9" s="1"/>
  <c r="AF44" i="2"/>
  <c r="AE115" i="2"/>
  <c r="AE118" i="2" s="1"/>
  <c r="AA6" i="4"/>
  <c r="AA7" i="8"/>
  <c r="AA10" i="6"/>
  <c r="AA23" i="9"/>
  <c r="AA25" i="9" s="1"/>
  <c r="AA18" i="6" s="1"/>
  <c r="AA19" i="6" s="1"/>
  <c r="AA20" i="6" s="1"/>
  <c r="Z10" i="4"/>
  <c r="AB24" i="8"/>
  <c r="AB25" i="8"/>
  <c r="AB7" i="9"/>
  <c r="AB13" i="9" s="1"/>
  <c r="AE43" i="2"/>
  <c r="AC16" i="8"/>
  <c r="AC19" i="8" s="1"/>
  <c r="R7" i="5"/>
  <c r="T7" i="6"/>
  <c r="T12" i="6" s="1"/>
  <c r="AB27" i="8" l="1"/>
  <c r="AB6" i="8" s="1"/>
  <c r="AE15" i="9"/>
  <c r="AE20" i="9" s="1"/>
  <c r="AG44" i="2"/>
  <c r="AF115" i="2"/>
  <c r="AF118" i="2" s="1"/>
  <c r="AE120" i="2"/>
  <c r="AD9" i="6" s="1"/>
  <c r="AE122" i="2"/>
  <c r="AD14" i="8" s="1"/>
  <c r="AC24" i="8"/>
  <c r="AC25" i="8"/>
  <c r="AA10" i="4"/>
  <c r="AC7" i="9"/>
  <c r="AC13" i="9" s="1"/>
  <c r="AD16" i="8"/>
  <c r="AD19" i="8" s="1"/>
  <c r="AF43" i="2"/>
  <c r="AB6" i="4"/>
  <c r="AB7" i="8"/>
  <c r="AB10" i="6"/>
  <c r="AB23" i="9"/>
  <c r="AB25" i="9" s="1"/>
  <c r="AB18" i="6" s="1"/>
  <c r="AB19" i="6" s="1"/>
  <c r="AB20" i="6" s="1"/>
  <c r="U7" i="6"/>
  <c r="U12" i="6" s="1"/>
  <c r="S7" i="5"/>
  <c r="AC27" i="8" l="1"/>
  <c r="AC6" i="8" s="1"/>
  <c r="AC23" i="9"/>
  <c r="AC25" i="9" s="1"/>
  <c r="AC18" i="6" s="1"/>
  <c r="AC19" i="6" s="1"/>
  <c r="AC20" i="6" s="1"/>
  <c r="AC6" i="4"/>
  <c r="AC7" i="8"/>
  <c r="AC10" i="6"/>
  <c r="AD24" i="8"/>
  <c r="AD25" i="8"/>
  <c r="AF15" i="9"/>
  <c r="AF20" i="9" s="1"/>
  <c r="AG115" i="2"/>
  <c r="AG118" i="2" s="1"/>
  <c r="AD7" i="9"/>
  <c r="AD13" i="9" s="1"/>
  <c r="AF122" i="2"/>
  <c r="AE14" i="8" s="1"/>
  <c r="AF120" i="2"/>
  <c r="AE9" i="6" s="1"/>
  <c r="AG43" i="2"/>
  <c r="AE16" i="8"/>
  <c r="AE19" i="8" s="1"/>
  <c r="AB10" i="4"/>
  <c r="V7" i="6"/>
  <c r="V12" i="6" s="1"/>
  <c r="T7" i="5"/>
  <c r="AD27" i="8" l="1"/>
  <c r="AD6" i="8" s="1"/>
  <c r="AC10" i="4"/>
  <c r="AD6" i="4"/>
  <c r="AD7" i="8"/>
  <c r="AD10" i="6"/>
  <c r="AD23" i="9"/>
  <c r="AD25" i="9" s="1"/>
  <c r="AD18" i="6" s="1"/>
  <c r="AD19" i="6" s="1"/>
  <c r="AD20" i="6" s="1"/>
  <c r="AG120" i="2"/>
  <c r="AF9" i="6" s="1"/>
  <c r="AG122" i="2"/>
  <c r="AF14" i="8" s="1"/>
  <c r="AE7" i="9"/>
  <c r="AE13" i="9" s="1"/>
  <c r="AE24" i="8"/>
  <c r="AE25" i="8"/>
  <c r="AF16" i="8"/>
  <c r="AF19" i="8" s="1"/>
  <c r="W7" i="6"/>
  <c r="W12" i="6" s="1"/>
  <c r="U7" i="5"/>
  <c r="AE27" i="8" l="1"/>
  <c r="AE6" i="8" s="1"/>
  <c r="AD10" i="4"/>
  <c r="AE7" i="8"/>
  <c r="AE6" i="4"/>
  <c r="AE10" i="6"/>
  <c r="AF7" i="9"/>
  <c r="AF13" i="9" s="1"/>
  <c r="AE23" i="9"/>
  <c r="AE25" i="9" s="1"/>
  <c r="AE18" i="6" s="1"/>
  <c r="AE19" i="6" s="1"/>
  <c r="AE20" i="6" s="1"/>
  <c r="AF25" i="8"/>
  <c r="AF24" i="8"/>
  <c r="V7" i="5"/>
  <c r="X7" i="6"/>
  <c r="X12" i="6" s="1"/>
  <c r="AF27" i="8" l="1"/>
  <c r="AF6" i="8" s="1"/>
  <c r="AF7" i="8"/>
  <c r="AF6" i="4"/>
  <c r="AF10" i="6"/>
  <c r="AE10" i="4"/>
  <c r="AF23" i="9"/>
  <c r="AF25" i="9" s="1"/>
  <c r="AF18" i="6" s="1"/>
  <c r="AF19" i="6" s="1"/>
  <c r="AF20" i="6" s="1"/>
  <c r="Y7" i="6"/>
  <c r="Y12" i="6" s="1"/>
  <c r="W7" i="5"/>
  <c r="AF10" i="4" l="1"/>
  <c r="X7" i="5"/>
  <c r="Z7" i="6"/>
  <c r="Z12" i="6" s="1"/>
  <c r="Y7" i="5" l="1"/>
  <c r="AA7" i="6"/>
  <c r="AA12" i="6" s="1"/>
  <c r="Z7" i="5" l="1"/>
  <c r="AB7" i="6"/>
  <c r="AB12" i="6" s="1"/>
  <c r="AA7" i="5" l="1"/>
  <c r="AC7" i="6"/>
  <c r="AC12" i="6" s="1"/>
  <c r="AB7" i="5" l="1"/>
  <c r="AD7" i="6"/>
  <c r="AD12" i="6" s="1"/>
  <c r="AC7" i="5" l="1"/>
  <c r="AE7" i="6"/>
  <c r="AE12" i="6" s="1"/>
  <c r="AD7" i="5" l="1"/>
  <c r="AF7" i="6"/>
  <c r="AF12" i="6" s="1"/>
  <c r="AE7" i="5" l="1"/>
  <c r="C6" i="5" l="1"/>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<sst xmlns="http://schemas.openxmlformats.org/spreadsheetml/2006/main" count="280" uniqueCount="206">
  <si>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</si>
  <si>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</si>
  <si>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</si>
  <si>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</si>
  <si>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</si>
  <si>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</si>
  <si>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</si>
  <si>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</si>
  <si>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</si>
  <si>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</si>
  <si>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</si>
  <si>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</si>
  <si>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</si>
  <si>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</si>
  <si>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</si>
  <si>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</si>
  <si>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</si>
  <si>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</si>
  <si>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</si>
  <si>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</si>
  <si>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</si>
  <si>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</si>
  <si>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</si>
  <si>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</si>
  <si>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</si>
  <si>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Growth in debt</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</si>
  <si>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</si>
  <si>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</si>
  <si>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</si>
  <si>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</si>
  <si>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</si>
  <si>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</si>
  <si>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</si>
  <si>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</si>
  <si>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</si>
  <si>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</si>
  <si>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</si>
  <si>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</si>
  <si>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</si>
  <si>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</si>
  <si>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</si>
  <si>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</si>
  <si>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</si>
  <si>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</si>
  <si>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</si>
  <si>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</si>
  <si>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</si>
  <si>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</si>
  <si>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</si>
  <si>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</si>
  <si>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</si>
  <si>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</si>
  <si>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</si>
  <si>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</si>
  <si>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</si>
  <si>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</si>
  <si>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</si>
  <si>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</si>
  <si>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</si>
  <si>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</si>
  <si>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</si>
  <si>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</si>
  <si>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</si>
  <si>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</si>
  <si>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</si>
  <si>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</si>
  <si>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</si>
  <si>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</si>
  <si>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</si>
  <si>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</si>
  <si>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</si>
  <si>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</si>
  <si>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</si>
  <si>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</si>
  <si>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</si>
  <si>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</si>
  <si>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</si>
  <si>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</si>
  <si>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</si>
  <si>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</si>
  <si>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</si>
  <si>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</si>
  <si>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</si>
  <si>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</si>
  <si>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</si>
  <si>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</si>
  <si>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</si>
  <si>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</si>
  <si>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</si>
  <si>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</si>
  <si>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</si>
  <si>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</si>
  <si>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</si>
  <si>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</si>
  <si>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</si>
  <si>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</si>
  <si>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</si>
  <si>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</si>
  <si>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</si>
  <si>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</si>
  <si>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</si>
  <si>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</si>
  <si>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</si>
  <si>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</si>
  <si>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</si>
  <si>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</si>
  <si>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</si>
  <si>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</si>
  <si>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</si>
  <si>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</si>
  <si>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</si>
  <si>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</si>
  <si>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</si>
  <si>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</si>
  <si>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</si>
  <si>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</si>
  <si>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</si>
  <si>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</si>
  <si>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</si>
  <si>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</si>
  <si>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</si>
  <si>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</si>
  <si>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</si>
  <si>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</si>
  <si>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</si>
  <si>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</si>
  <si>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</si>
  <si>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</si>
  <si>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</si>
  <si>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</si>
  <si>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Based on observed experience from GB for entities of such a scale</t>
  </si>
  <si>
    <t xml:space="preserve">Optimised replacement cost </t>
  </si>
  <si>
    <t>RFI Table A1; Line A1.47</t>
  </si>
  <si>
    <t>RFI Table A3; Line A3.58</t>
  </si>
  <si>
    <t>RFI Table J1; Sum of lines J1.1 to J1.30 (Column I)</t>
  </si>
  <si>
    <t>RFI Table J1; Sum of lines J1.1 to J1.30 (Column J)</t>
  </si>
  <si>
    <t>RFI Table F10; Lines F10.62 + F10.70</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</si>
  <si>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</si>
  <si>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</si>
  <si>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</si>
  <si>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</si>
  <si>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</si>
  <si>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</si>
  <si>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</si>
  <si>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</si>
  <si>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</si>
  <si>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</si>
  <si>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</si>
  <si>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</si>
  <si>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</si>
  <si>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</si>
  <si>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</si>
  <si>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</si>
  <si>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</si>
  <si>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</si>
  <si>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</si>
  <si>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</si>
  <si>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</si>
  <si>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</si>
  <si>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</si>
  <si>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</si>
  <si>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</si>
  <si>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</si>
  <si>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</si>
  <si>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</si>
  <si>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</si>
  <si>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</si>
  <si>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</si>
  <si>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WICS internal note: To be checked</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</si>
  <si>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</si>
  <si>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</si>
  <si>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</si>
  <si>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</si>
  <si>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</si>
  <si>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</si>
  <si>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</si>
  <si>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</si>
  <si>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No reported growth investment</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</si>
  <si>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</si>
  <si>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</si>
  <si>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</si>
  <si>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</si>
  <si>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</si>
  <si>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</si>
  <si>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</si>
  <si>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</si>
  <si>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</si>
  <si>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</si>
  <si>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</si>
  <si>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</si>
  <si>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</si>
  <si>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</si>
  <si>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</si>
  <si>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</si>
  <si>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</si>
  <si>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</si>
  <si>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Source / note</t>
  </si>
  <si>
    <t>Far North Stand-alone Council</t>
  </si>
  <si>
    <t xml:space="preserve">RFI Table E1, E2 and E2b; Lines E1.22 - E1.19 + E2.21 + E2b.21 </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</si>
  <si>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</si>
  <si>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</si>
  <si>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</si>
  <si>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</si>
  <si>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</si>
  <si>
    <t>Consistent with reaching a percentage split of 70% for long life assets by 2051. This split is in line with international experience</t>
  </si>
  <si>
    <t>Consistent with reaching a percentage split of 30% for short-medium life assets by 2051. This split is in line with international experience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</si>
</sst>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rgb="FF00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83">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166" fontId="0" fillId="0" borderId="0" xfId="0" applyNumberFormat="1" applyFont="1" applyFill="1" applyAlignment="1">
      <alignment vertical="top" wrapText="1"/>
    </xf>
    <xf numFmtId="0" fontId="18" fillId="0" borderId="0" xfId="0" applyFont="1" applyAlignment="1">
      <alignment horizontal="left" vertical="center" wrapText="1"/>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80" zoomScaleNormal="8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95</v>
      </c>
      <c r="D1" s="61"/>
      <c r="E1" s="61"/>
      <c r="F1" s="61"/>
    </row>
    <row r="2" spans="1:6" x14ac:dyDescent="0.35">
      <c r="A2" s="63" t="s">
        <v>96</v>
      </c>
      <c r="B2" s="60" t="s">
        <v>197</v>
      </c>
      <c r="C2" s="171"/>
      <c r="D2" s="60"/>
      <c r="E2" s="14"/>
      <c r="F2" s="60"/>
    </row>
    <row r="3" spans="1:6" x14ac:dyDescent="0.35">
      <c r="C3" s="14"/>
      <c r="D3" s="14"/>
    </row>
    <row r="4" spans="1:6" x14ac:dyDescent="0.35">
      <c r="A4" s="14" t="s">
        <v>158</v>
      </c>
      <c r="B4" s="14"/>
      <c r="D4" s="14"/>
    </row>
    <row r="6" spans="1:6" ht="21" x14ac:dyDescent="0.5">
      <c r="A6" s="15" t="s">
        <v>167</v>
      </c>
    </row>
    <row r="7" spans="1:6" ht="241" customHeight="1" x14ac:dyDescent="0.35">
      <c r="A7" s="107">
        <v>1</v>
      </c>
      <c r="B7" s="104" t="s">
        <v>169</v>
      </c>
    </row>
    <row r="8" spans="1:6" ht="408" customHeight="1" x14ac:dyDescent="0.35">
      <c r="A8" s="107">
        <v>2</v>
      </c>
      <c r="B8" s="104" t="s">
        <v>190</v>
      </c>
    </row>
    <row r="9" spans="1:6" ht="195.5" customHeight="1" x14ac:dyDescent="0.35">
      <c r="A9" s="107">
        <f>A8+1</f>
        <v>3</v>
      </c>
      <c r="B9" s="105" t="s">
        <v>173</v>
      </c>
    </row>
    <row r="10" spans="1:6" ht="236" customHeight="1" x14ac:dyDescent="0.35">
      <c r="A10" s="107">
        <v>4</v>
      </c>
      <c r="B10" s="105" t="s">
        <v>174</v>
      </c>
    </row>
    <row r="11" spans="1:6" ht="21" x14ac:dyDescent="0.35">
      <c r="A11" s="107">
        <f>A10+1</f>
        <v>5</v>
      </c>
      <c r="B11" s="63" t="s">
        <v>188</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164</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191</v>
      </c>
      <c r="B6" s="1">
        <f>Assumptions!C17</f>
        <v>828700499.99999988</v>
      </c>
      <c r="C6" s="12">
        <f ca="1">B6+Depreciation!C18+'Cash Flow'!C13</f>
        <v>829647342.94066715</v>
      </c>
      <c r="D6" s="1">
        <f ca="1">C6+Depreciation!D18</f>
        <v>907384002.77080178</v>
      </c>
      <c r="E6" s="1">
        <f ca="1">D6+Depreciation!E18</f>
        <v>989117001.95341277</v>
      </c>
      <c r="F6" s="1">
        <f ca="1">E6+Depreciation!F18</f>
        <v>1075022503.8673925</v>
      </c>
      <c r="G6" s="1">
        <f ca="1">F6+Depreciation!G18</f>
        <v>1165283854.0963857</v>
      </c>
      <c r="H6" s="1">
        <f ca="1">G6+Depreciation!H18</f>
        <v>1260091859.6985931</v>
      </c>
      <c r="I6" s="1">
        <f ca="1">H6+Depreciation!I18</f>
        <v>1359645078.9952662</v>
      </c>
      <c r="J6" s="1">
        <f ca="1">I6+Depreciation!J18</f>
        <v>1464150122.2651138</v>
      </c>
      <c r="K6" s="1">
        <f ca="1">J6+Depreciation!K18</f>
        <v>1573821963.7458596</v>
      </c>
      <c r="L6" s="1">
        <f ca="1">K6+Depreciation!L18</f>
        <v>1688884265.3586926</v>
      </c>
      <c r="M6" s="1">
        <f ca="1">L6+Depreciation!M18</f>
        <v>1809569712.5863903</v>
      </c>
      <c r="N6" s="1">
        <f ca="1">M6+Depreciation!N18</f>
        <v>1936120362.951452</v>
      </c>
      <c r="O6" s="1">
        <f ca="1">N6+Depreciation!O18</f>
        <v>2068788007.5567083</v>
      </c>
      <c r="P6" s="1">
        <f ca="1">O6+Depreciation!P18</f>
        <v>2207834546.1675577</v>
      </c>
      <c r="Q6" s="1">
        <f ca="1">P6+Depreciation!Q18</f>
        <v>2353532376.3322825</v>
      </c>
      <c r="R6" s="1">
        <f ca="1">Q6+Depreciation!R18</f>
        <v>2506164797.0547929</v>
      </c>
      <c r="S6" s="1">
        <f ca="1">R6+Depreciation!S18</f>
        <v>2666026427.5526986</v>
      </c>
      <c r="T6" s="1">
        <f ca="1">S6+Depreciation!T18</f>
        <v>2833423641.6528053</v>
      </c>
      <c r="U6" s="1">
        <f ca="1">T6+Depreciation!U18</f>
        <v>3008675018.3960238</v>
      </c>
      <c r="V6" s="1">
        <f ca="1">U6+Depreciation!V18</f>
        <v>3192111809.4442749</v>
      </c>
      <c r="W6" s="1">
        <f ca="1">V6+Depreciation!W18</f>
        <v>3384078423.9032955</v>
      </c>
      <c r="X6" s="1">
        <f ca="1">W6+Depreciation!X18</f>
        <v>3584932931.1973414</v>
      </c>
      <c r="Y6" s="1">
        <f ca="1">X6+Depreciation!Y18</f>
        <v>3795047582.6546478</v>
      </c>
      <c r="Z6" s="1">
        <f ca="1">Y6+Depreciation!Z18</f>
        <v>4014809352.4861951</v>
      </c>
      <c r="AA6" s="1">
        <f ca="1">Z6+Depreciation!AA18</f>
        <v>4244620498.8648419</v>
      </c>
      <c r="AB6" s="1">
        <f ca="1">AA6+Depreciation!AB18</f>
        <v>4484899145.8372955</v>
      </c>
      <c r="AC6" s="1">
        <f ca="1">AB6+Depreciation!AC18</f>
        <v>4736079886.8276672</v>
      </c>
      <c r="AD6" s="1">
        <f ca="1">AC6+Depreciation!AD18</f>
        <v>4998614410.5186043</v>
      </c>
      <c r="AE6" s="1">
        <f ca="1">AD6+Depreciation!AE18</f>
        <v>5272972149.9241686</v>
      </c>
      <c r="AF6" s="1"/>
      <c r="AG6" s="1"/>
      <c r="AH6" s="1"/>
      <c r="AI6" s="1"/>
      <c r="AJ6" s="1"/>
      <c r="AK6" s="1"/>
      <c r="AL6" s="1"/>
      <c r="AM6" s="1"/>
      <c r="AN6" s="1"/>
      <c r="AO6" s="1"/>
      <c r="AP6" s="1"/>
    </row>
    <row r="7" spans="1:42" x14ac:dyDescent="0.35">
      <c r="A7" t="s">
        <v>12</v>
      </c>
      <c r="B7" s="1">
        <f>Depreciation!C12</f>
        <v>429232737.90054071</v>
      </c>
      <c r="C7" s="1">
        <f>Depreciation!D12</f>
        <v>446053448.20257318</v>
      </c>
      <c r="D7" s="1">
        <f>Depreciation!E12</f>
        <v>464921187.47218275</v>
      </c>
      <c r="E7" s="1">
        <f>Depreciation!F12</f>
        <v>485949741.15594506</v>
      </c>
      <c r="F7" s="1">
        <f>Depreciation!G12</f>
        <v>509258080.8113538</v>
      </c>
      <c r="G7" s="1">
        <f>Depreciation!H12</f>
        <v>534970579.50162214</v>
      </c>
      <c r="H7" s="1">
        <f>Depreciation!I12</f>
        <v>563217235.66517401</v>
      </c>
      <c r="I7" s="1">
        <f>Depreciation!J12</f>
        <v>594133905.78164065</v>
      </c>
      <c r="J7" s="1">
        <f>Depreciation!K12</f>
        <v>627862546.16809714</v>
      </c>
      <c r="K7" s="1">
        <f>Depreciation!L12</f>
        <v>664551464.25162363</v>
      </c>
      <c r="L7" s="1">
        <f>Depreciation!M12</f>
        <v>704355579.67707682</v>
      </c>
      <c r="M7" s="1">
        <f>Depreciation!N12</f>
        <v>747436695.62222254</v>
      </c>
      <c r="N7" s="1">
        <f>Depreciation!O12</f>
        <v>793963780.70612538</v>
      </c>
      <c r="O7" s="1">
        <f>Depreciation!P12</f>
        <v>844113261.89093804</v>
      </c>
      <c r="P7" s="1">
        <f>Depreciation!Q12</f>
        <v>898069328.79199266</v>
      </c>
      <c r="Q7" s="1">
        <f>Depreciation!R12</f>
        <v>956024249.82639575</v>
      </c>
      <c r="R7" s="1">
        <f>Depreciation!S12</f>
        <v>1018178700.6461747</v>
      </c>
      <c r="S7" s="1">
        <f>Depreciation!T12</f>
        <v>1084742105.3184545</v>
      </c>
      <c r="T7" s="1">
        <f>Depreciation!U12</f>
        <v>1155932990.7321556</v>
      </c>
      <c r="U7" s="1">
        <f>Depreciation!V12</f>
        <v>1231979354.7283444</v>
      </c>
      <c r="V7" s="1">
        <f>Depreciation!W12</f>
        <v>1313119048.4696372</v>
      </c>
      <c r="W7" s="1">
        <f>Depreciation!X12</f>
        <v>1399600173.5829878</v>
      </c>
      <c r="X7" s="1">
        <f>Depreciation!Y12</f>
        <v>1491681494.629817</v>
      </c>
      <c r="Y7" s="1">
        <f>Depreciation!Z12</f>
        <v>1589632867.4777515</v>
      </c>
      <c r="Z7" s="1">
        <f>Depreciation!AA12</f>
        <v>1693735684.1693101</v>
      </c>
      <c r="AA7" s="1">
        <f>Depreciation!AB12</f>
        <v>1804283334.9046884</v>
      </c>
      <c r="AB7" s="1">
        <f>Depreciation!AC12</f>
        <v>1921581687.7783985</v>
      </c>
      <c r="AC7" s="1">
        <f>Depreciation!AD12</f>
        <v>2045949586.932941</v>
      </c>
      <c r="AD7" s="1">
        <f>Depreciation!AE12</f>
        <v>2177719369.816946</v>
      </c>
      <c r="AE7" s="1">
        <f>Depreciation!AF12</f>
        <v>2317237404.2603655</v>
      </c>
      <c r="AF7" s="1"/>
      <c r="AG7" s="1"/>
      <c r="AH7" s="1"/>
      <c r="AI7" s="1"/>
      <c r="AJ7" s="1"/>
      <c r="AK7" s="1"/>
      <c r="AL7" s="1"/>
      <c r="AM7" s="1"/>
      <c r="AN7" s="1"/>
      <c r="AO7" s="1"/>
      <c r="AP7" s="1"/>
    </row>
    <row r="8" spans="1:42" x14ac:dyDescent="0.35">
      <c r="A8" t="s">
        <v>192</v>
      </c>
      <c r="B8" s="1">
        <f t="shared" ref="B8:AE8" si="1">B6-B7</f>
        <v>399467762.09945917</v>
      </c>
      <c r="C8" s="1">
        <f t="shared" ca="1" si="1"/>
        <v>383593894.73809397</v>
      </c>
      <c r="D8" s="1">
        <f ca="1">D6-D7</f>
        <v>442462815.29861903</v>
      </c>
      <c r="E8" s="1">
        <f t="shared" ca="1" si="1"/>
        <v>503167260.79746771</v>
      </c>
      <c r="F8" s="1">
        <f t="shared" ca="1" si="1"/>
        <v>565764423.05603874</v>
      </c>
      <c r="G8" s="1">
        <f t="shared" ca="1" si="1"/>
        <v>630313274.59476352</v>
      </c>
      <c r="H8" s="1">
        <f t="shared" ca="1" si="1"/>
        <v>696874624.03341913</v>
      </c>
      <c r="I8" s="1">
        <f t="shared" ca="1" si="1"/>
        <v>765511173.21362555</v>
      </c>
      <c r="J8" s="1">
        <f t="shared" ca="1" si="1"/>
        <v>836287576.09701669</v>
      </c>
      <c r="K8" s="1">
        <f t="shared" ca="1" si="1"/>
        <v>909270499.49423599</v>
      </c>
      <c r="L8" s="1">
        <f t="shared" ca="1" si="1"/>
        <v>984528685.68161583</v>
      </c>
      <c r="M8" s="1">
        <f t="shared" ca="1" si="1"/>
        <v>1062133016.9641677</v>
      </c>
      <c r="N8" s="1">
        <f t="shared" ca="1" si="1"/>
        <v>1142156582.2453265</v>
      </c>
      <c r="O8" s="1">
        <f t="shared" ca="1" si="1"/>
        <v>1224674745.6657703</v>
      </c>
      <c r="P8" s="1">
        <f t="shared" ca="1" si="1"/>
        <v>1309765217.3755651</v>
      </c>
      <c r="Q8" s="1">
        <f t="shared" ca="1" si="1"/>
        <v>1397508126.5058868</v>
      </c>
      <c r="R8" s="1">
        <f t="shared" ca="1" si="1"/>
        <v>1487986096.4086182</v>
      </c>
      <c r="S8" s="1">
        <f t="shared" ca="1" si="1"/>
        <v>1581284322.2342441</v>
      </c>
      <c r="T8" s="1">
        <f t="shared" ca="1" si="1"/>
        <v>1677490650.9206498</v>
      </c>
      <c r="U8" s="1">
        <f t="shared" ca="1" si="1"/>
        <v>1776695663.6676793</v>
      </c>
      <c r="V8" s="1">
        <f t="shared" ca="1" si="1"/>
        <v>1878992760.9746377</v>
      </c>
      <c r="W8" s="1">
        <f t="shared" ca="1" si="1"/>
        <v>1984478250.3203077</v>
      </c>
      <c r="X8" s="1">
        <f t="shared" ca="1" si="1"/>
        <v>2093251436.5675244</v>
      </c>
      <c r="Y8" s="1">
        <f t="shared" ca="1" si="1"/>
        <v>2205414715.1768961</v>
      </c>
      <c r="Z8" s="1">
        <f t="shared" ca="1" si="1"/>
        <v>2321073668.316885</v>
      </c>
      <c r="AA8" s="1">
        <f t="shared" ca="1" si="1"/>
        <v>2440337163.9601536</v>
      </c>
      <c r="AB8" s="1">
        <f t="shared" ca="1" si="1"/>
        <v>2563317458.058897</v>
      </c>
      <c r="AC8" s="1">
        <f t="shared" ca="1" si="1"/>
        <v>2690130299.8947263</v>
      </c>
      <c r="AD8" s="1">
        <f t="shared" ca="1" si="1"/>
        <v>2820895040.7016582</v>
      </c>
      <c r="AE8" s="1">
        <f t="shared" ca="1" si="1"/>
        <v>2955734745.6638031</v>
      </c>
      <c r="AF8" s="1"/>
      <c r="AG8" s="1"/>
      <c r="AH8" s="1"/>
      <c r="AI8" s="1"/>
      <c r="AJ8" s="1"/>
      <c r="AK8" s="1"/>
      <c r="AL8" s="1"/>
      <c r="AM8" s="1"/>
      <c r="AN8" s="1"/>
      <c r="AO8" s="1"/>
      <c r="AP8" s="1"/>
    </row>
    <row r="10" spans="1:42" x14ac:dyDescent="0.35">
      <c r="A10" t="s">
        <v>17</v>
      </c>
      <c r="B10" s="1">
        <f>B8-B11</f>
        <v>366247762.09945917</v>
      </c>
      <c r="C10" s="1">
        <f ca="1">C8-C11</f>
        <v>277411166.90215254</v>
      </c>
      <c r="D10" s="1">
        <f ca="1">D8-D11</f>
        <v>271955603.8609671</v>
      </c>
      <c r="E10" s="1">
        <f t="shared" ref="E10:AE10" ca="1" si="2">E8-E11</f>
        <v>283292423.22761554</v>
      </c>
      <c r="F10" s="1">
        <f t="shared" ca="1" si="2"/>
        <v>309833017.47968704</v>
      </c>
      <c r="G10" s="1">
        <f ca="1">G8-G11</f>
        <v>344656356.9083429</v>
      </c>
      <c r="H10" s="1">
        <f t="shared" ca="1" si="2"/>
        <v>384707934.86763573</v>
      </c>
      <c r="I10" s="1">
        <f t="shared" ca="1" si="2"/>
        <v>428751331.38074619</v>
      </c>
      <c r="J10" s="1">
        <f t="shared" ca="1" si="2"/>
        <v>477583971.97261542</v>
      </c>
      <c r="K10" s="1">
        <f t="shared" ca="1" si="2"/>
        <v>529211531.46941841</v>
      </c>
      <c r="L10" s="1">
        <f t="shared" ca="1" si="2"/>
        <v>582529958.51565993</v>
      </c>
      <c r="M10" s="1">
        <f t="shared" ca="1" si="2"/>
        <v>637780185.41899824</v>
      </c>
      <c r="N10" s="1">
        <f t="shared" ca="1" si="2"/>
        <v>695232083.55259144</v>
      </c>
      <c r="O10" s="1">
        <f t="shared" ca="1" si="2"/>
        <v>755187108.27198863</v>
      </c>
      <c r="P10" s="1">
        <f t="shared" ca="1" si="2"/>
        <v>817981150.27086425</v>
      </c>
      <c r="Q10" s="1">
        <f t="shared" ca="1" si="2"/>
        <v>882944466.37628984</v>
      </c>
      <c r="R10" s="1">
        <f t="shared" ca="1" si="2"/>
        <v>949230271.7242533</v>
      </c>
      <c r="S10" s="1">
        <f t="shared" ca="1" si="2"/>
        <v>1016963705.7844899</v>
      </c>
      <c r="T10" s="1">
        <f t="shared" ca="1" si="2"/>
        <v>1086285128.7862585</v>
      </c>
      <c r="U10" s="1">
        <f t="shared" ca="1" si="2"/>
        <v>1157351488.4671307</v>
      </c>
      <c r="V10" s="1">
        <f t="shared" ca="1" si="2"/>
        <v>1230337787.8123212</v>
      </c>
      <c r="W10" s="1">
        <f t="shared" ca="1" si="2"/>
        <v>1305438660.4164786</v>
      </c>
      <c r="X10" s="1">
        <f t="shared" ca="1" si="2"/>
        <v>1382870060.5037224</v>
      </c>
      <c r="Y10" s="1">
        <f t="shared" ca="1" si="2"/>
        <v>1462871075.0689638</v>
      </c>
      <c r="Z10" s="1">
        <f t="shared" ca="1" si="2"/>
        <v>1545705866.0554748</v>
      </c>
      <c r="AA10" s="1">
        <f t="shared" ca="1" si="2"/>
        <v>1631665750.9616582</v>
      </c>
      <c r="AB10" s="1">
        <f t="shared" ca="1" si="2"/>
        <v>1714564042.8942618</v>
      </c>
      <c r="AC10" s="1">
        <f t="shared" ca="1" si="2"/>
        <v>1793974511.896981</v>
      </c>
      <c r="AD10" s="1">
        <f t="shared" ca="1" si="2"/>
        <v>1869442524.2278514</v>
      </c>
      <c r="AE10" s="1">
        <f t="shared" ca="1" si="2"/>
        <v>1940483519.4084759</v>
      </c>
      <c r="AF10" s="1"/>
      <c r="AG10" s="1"/>
      <c r="AH10" s="1"/>
      <c r="AI10" s="1"/>
      <c r="AJ10" s="1"/>
      <c r="AK10" s="1"/>
      <c r="AL10" s="1"/>
      <c r="AM10" s="1"/>
      <c r="AN10" s="1"/>
      <c r="AO10" s="1"/>
    </row>
    <row r="11" spans="1:42" x14ac:dyDescent="0.35">
      <c r="A11" t="s">
        <v>9</v>
      </c>
      <c r="B11" s="1">
        <f>Assumptions!$C$20</f>
        <v>33220000</v>
      </c>
      <c r="C11" s="1">
        <f ca="1">'Debt worksheet'!D5</f>
        <v>106182727.8359414</v>
      </c>
      <c r="D11" s="1">
        <f ca="1">'Debt worksheet'!E5</f>
        <v>170507211.43765193</v>
      </c>
      <c r="E11" s="1">
        <f ca="1">'Debt worksheet'!F5</f>
        <v>219874837.56985217</v>
      </c>
      <c r="F11" s="1">
        <f ca="1">'Debt worksheet'!G5</f>
        <v>255931405.5763517</v>
      </c>
      <c r="G11" s="1">
        <f ca="1">'Debt worksheet'!H5</f>
        <v>285656917.68642062</v>
      </c>
      <c r="H11" s="1">
        <f ca="1">'Debt worksheet'!I5</f>
        <v>312166689.16578341</v>
      </c>
      <c r="I11" s="1">
        <f ca="1">'Debt worksheet'!J5</f>
        <v>336759841.83287936</v>
      </c>
      <c r="J11" s="1">
        <f ca="1">'Debt worksheet'!K5</f>
        <v>358703604.12440127</v>
      </c>
      <c r="K11" s="1">
        <f ca="1">'Debt worksheet'!L5</f>
        <v>380058968.02481759</v>
      </c>
      <c r="L11" s="1">
        <f ca="1">'Debt worksheet'!M5</f>
        <v>401998727.1659559</v>
      </c>
      <c r="M11" s="1">
        <f ca="1">'Debt worksheet'!N5</f>
        <v>424352831.54516947</v>
      </c>
      <c r="N11" s="1">
        <f ca="1">'Debt worksheet'!O5</f>
        <v>446924498.69273508</v>
      </c>
      <c r="O11" s="1">
        <f ca="1">'Debt worksheet'!P5</f>
        <v>469487637.39378166</v>
      </c>
      <c r="P11" s="1">
        <f ca="1">'Debt worksheet'!Q5</f>
        <v>491784067.10470074</v>
      </c>
      <c r="Q11" s="1">
        <f ca="1">'Debt worksheet'!R5</f>
        <v>514563660.12959695</v>
      </c>
      <c r="R11" s="1">
        <f ca="1">'Debt worksheet'!S5</f>
        <v>538755824.68436491</v>
      </c>
      <c r="S11" s="1">
        <f ca="1">'Debt worksheet'!T5</f>
        <v>564320616.44975424</v>
      </c>
      <c r="T11" s="1">
        <f ca="1">'Debt worksheet'!U5</f>
        <v>591205522.13439131</v>
      </c>
      <c r="U11" s="1">
        <f ca="1">'Debt worksheet'!V5</f>
        <v>619344175.20054865</v>
      </c>
      <c r="V11" s="1">
        <f ca="1">'Debt worksheet'!W5</f>
        <v>648654973.16231644</v>
      </c>
      <c r="W11" s="1">
        <f ca="1">'Debt worksheet'!X5</f>
        <v>679039589.9038291</v>
      </c>
      <c r="X11" s="1">
        <f ca="1">'Debt worksheet'!Y5</f>
        <v>710381376.063802</v>
      </c>
      <c r="Y11" s="1">
        <f ca="1">'Debt worksheet'!Z5</f>
        <v>742543640.10793233</v>
      </c>
      <c r="Z11" s="1">
        <f ca="1">'Debt worksheet'!AA5</f>
        <v>775367802.26141036</v>
      </c>
      <c r="AA11" s="1">
        <f ca="1">'Debt worksheet'!AB5</f>
        <v>808671412.99849534</v>
      </c>
      <c r="AB11" s="1">
        <f ca="1">'Debt worksheet'!AC5</f>
        <v>848753415.16463518</v>
      </c>
      <c r="AC11" s="1">
        <f ca="1">'Debt worksheet'!AD5</f>
        <v>896155787.99774528</v>
      </c>
      <c r="AD11" s="1">
        <f ca="1">'Debt worksheet'!AE5</f>
        <v>951452516.47380698</v>
      </c>
      <c r="AE11" s="1">
        <f ca="1">'Debt worksheet'!AF5</f>
        <v>1015251226.2553271</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80" zoomScaleNormal="80" workbookViewId="0">
      <pane xSplit="1" topLeftCell="B1" activePane="topRight" state="frozen"/>
      <selection sqref="A1:XFD1048576"/>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165</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-13935644.95987341</v>
      </c>
      <c r="D5" s="4">
        <f ca="1">'Profit and Loss'!D9</f>
        <v>-3408534.0736083537</v>
      </c>
      <c r="E5" s="4">
        <f ca="1">'Profit and Loss'!E9</f>
        <v>13497633.780801181</v>
      </c>
      <c r="F5" s="4">
        <f ca="1">'Profit and Loss'!F9</f>
        <v>28820380.223717973</v>
      </c>
      <c r="G5" s="4">
        <f ca="1">'Profit and Loss'!G9</f>
        <v>37227498.463515513</v>
      </c>
      <c r="H5" s="4">
        <f ca="1">'Profit and Loss'!H9</f>
        <v>42585735.432576388</v>
      </c>
      <c r="I5" s="4">
        <f ca="1">'Profit and Loss'!I9</f>
        <v>46713410.466025196</v>
      </c>
      <c r="J5" s="4">
        <f ca="1">'Profit and Loss'!J9</f>
        <v>51644610.86185918</v>
      </c>
      <c r="K5" s="4">
        <f ca="1">'Profit and Loss'!K9</f>
        <v>54587837.193872958</v>
      </c>
      <c r="L5" s="4">
        <f ca="1">'Profit and Loss'!L9</f>
        <v>56433624.388168193</v>
      </c>
      <c r="M5" s="4">
        <f ca="1">'Profit and Loss'!M9</f>
        <v>58527227.423030749</v>
      </c>
      <c r="N5" s="4">
        <f ca="1">'Profit and Loss'!N9</f>
        <v>60897867.272350535</v>
      </c>
      <c r="O5" s="4">
        <f ca="1">'Profit and Loss'!O9</f>
        <v>63577420.82030692</v>
      </c>
      <c r="P5" s="4">
        <f ca="1">'Profit and Loss'!P9</f>
        <v>66600627.715117693</v>
      </c>
      <c r="Q5" s="4">
        <f ca="1">'Profit and Loss'!Q9</f>
        <v>68962170.238773748</v>
      </c>
      <c r="R5" s="4">
        <f ca="1">'Profit and Loss'!R9</f>
        <v>70485335.13333945</v>
      </c>
      <c r="S5" s="4">
        <f ca="1">'Profit and Loss'!S9</f>
        <v>72142387.912737504</v>
      </c>
      <c r="T5" s="4">
        <f ca="1">'Profit and Loss'!T9</f>
        <v>73948903.743189797</v>
      </c>
      <c r="U5" s="4">
        <f ca="1">'Profit and Loss'!U9</f>
        <v>75921838.263360009</v>
      </c>
      <c r="V5" s="4">
        <f ca="1">'Profit and Loss'!V9</f>
        <v>78079629.090294123</v>
      </c>
      <c r="W5" s="4">
        <f ca="1">'Profit and Loss'!W9</f>
        <v>80442303.976215184</v>
      </c>
      <c r="X5" s="4">
        <f ca="1">'Profit and Loss'!X9</f>
        <v>83031596.0207223</v>
      </c>
      <c r="Y5" s="4">
        <f ca="1">'Profit and Loss'!Y9</f>
        <v>85871066.366347075</v>
      </c>
      <c r="Z5" s="4">
        <f ca="1">'Profit and Loss'!Z9</f>
        <v>88986234.830134705</v>
      </c>
      <c r="AA5" s="4">
        <f ca="1">'Profit and Loss'!AA9</f>
        <v>92404718.950003326</v>
      </c>
      <c r="AB5" s="4">
        <f ca="1">'Profit and Loss'!AB9</f>
        <v>89648994.070935249</v>
      </c>
      <c r="AC5" s="4">
        <f ca="1">'Profit and Loss'!AC9</f>
        <v>86480015.283551395</v>
      </c>
      <c r="AD5" s="4">
        <f ca="1">'Profit and Loss'!AD9</f>
        <v>82869896.060333014</v>
      </c>
      <c r="AE5" s="4">
        <f ca="1">'Profit and Loss'!AE9</f>
        <v>78789246.740039229</v>
      </c>
      <c r="AF5" s="4">
        <f ca="1">'Profit and Loss'!AF9</f>
        <v>74207101.882880628</v>
      </c>
      <c r="AG5" s="4"/>
      <c r="AH5" s="4"/>
      <c r="AI5" s="4"/>
      <c r="AJ5" s="4"/>
      <c r="AK5" s="4"/>
      <c r="AL5" s="4"/>
      <c r="AM5" s="4"/>
      <c r="AN5" s="4"/>
      <c r="AO5" s="4"/>
      <c r="AP5" s="4"/>
    </row>
    <row r="6" spans="1:42" x14ac:dyDescent="0.35">
      <c r="A6" t="s">
        <v>21</v>
      </c>
      <c r="C6" s="4">
        <f>Depreciation!C8+Depreciation!C9</f>
        <v>14882487.900540752</v>
      </c>
      <c r="D6" s="4">
        <f>Depreciation!D8+Depreciation!D9</f>
        <v>16820710.302032508</v>
      </c>
      <c r="E6" s="4">
        <f>Depreciation!E8+Depreciation!E9</f>
        <v>18867739.269609582</v>
      </c>
      <c r="F6" s="4">
        <f>Depreciation!F8+Depreciation!F9</f>
        <v>21028553.683762304</v>
      </c>
      <c r="G6" s="4">
        <f>Depreciation!G8+Depreciation!G9</f>
        <v>23308339.655408733</v>
      </c>
      <c r="H6" s="4">
        <f>Depreciation!H8+Depreciation!H9</f>
        <v>25712498.690268345</v>
      </c>
      <c r="I6" s="4">
        <f>Depreciation!I8+Depreciation!I9</f>
        <v>28246656.163551837</v>
      </c>
      <c r="J6" s="4">
        <f>Depreciation!J8+Depreciation!J9</f>
        <v>30916670.116466649</v>
      </c>
      <c r="K6" s="4">
        <f>Depreciation!K8+Depreciation!K9</f>
        <v>33728640.386456527</v>
      </c>
      <c r="L6" s="4">
        <f>Depreciation!L8+Depreciation!L9</f>
        <v>36688918.083526492</v>
      </c>
      <c r="M6" s="4">
        <f>Depreciation!M8+Depreciation!M9</f>
        <v>39804115.425453201</v>
      </c>
      <c r="N6" s="4">
        <f>Depreciation!N8+Depreciation!N9</f>
        <v>43081115.945145696</v>
      </c>
      <c r="O6" s="4">
        <f>Depreciation!O8+Depreciation!O9</f>
        <v>46527085.083902851</v>
      </c>
      <c r="P6" s="4">
        <f>Depreciation!P8+Depreciation!P9</f>
        <v>50149481.184812613</v>
      </c>
      <c r="Q6" s="4">
        <f>Depreciation!Q8+Depreciation!Q9</f>
        <v>53956066.901054688</v>
      </c>
      <c r="R6" s="4">
        <f>Depreciation!R8+Depreciation!R9</f>
        <v>57954921.034403034</v>
      </c>
      <c r="S6" s="4">
        <f>Depreciation!S8+Depreciation!S9</f>
        <v>62154450.819778979</v>
      </c>
      <c r="T6" s="4">
        <f>Depreciation!T8+Depreciation!T9</f>
        <v>66563404.672279745</v>
      </c>
      <c r="U6" s="4">
        <f>Depreciation!U8+Depreciation!U9</f>
        <v>71190885.413701087</v>
      </c>
      <c r="V6" s="4">
        <f>Depreciation!V8+Depreciation!V9</f>
        <v>76046363.996189028</v>
      </c>
      <c r="W6" s="4">
        <f>Depreciation!W8+Depreciation!W9</f>
        <v>81139693.741292551</v>
      </c>
      <c r="X6" s="4">
        <f>Depreciation!X8+Depreciation!X9</f>
        <v>86481125.113350585</v>
      </c>
      <c r="Y6" s="4">
        <f>Depreciation!Y8+Depreciation!Y9</f>
        <v>92081321.046829253</v>
      </c>
      <c r="Z6" s="4">
        <f>Depreciation!Z8+Depreciation!Z9</f>
        <v>97951372.847934499</v>
      </c>
      <c r="AA6" s="4">
        <f>Depreciation!AA8+Depreciation!AA9</f>
        <v>104102816.69155855</v>
      </c>
      <c r="AB6" s="4">
        <f>Depreciation!AB8+Depreciation!AB9</f>
        <v>110547650.73537822</v>
      </c>
      <c r="AC6" s="4">
        <f>Depreciation!AC8+Depreciation!AC9</f>
        <v>117298352.87371019</v>
      </c>
      <c r="AD6" s="4">
        <f>Depreciation!AD8+Depreciation!AD9</f>
        <v>124367899.1545424</v>
      </c>
      <c r="AE6" s="4">
        <f>Depreciation!AE8+Depreciation!AE9</f>
        <v>131769782.88400519</v>
      </c>
      <c r="AF6" s="4">
        <f>Depreciation!AF8+Depreciation!AF9</f>
        <v>139518034.44341931</v>
      </c>
      <c r="AG6" s="4"/>
      <c r="AH6" s="4"/>
      <c r="AI6" s="4"/>
      <c r="AJ6" s="4"/>
      <c r="AK6" s="4"/>
      <c r="AL6" s="4"/>
      <c r="AM6" s="4"/>
      <c r="AN6" s="4"/>
      <c r="AO6" s="4"/>
      <c r="AP6" s="4"/>
    </row>
    <row r="7" spans="1:42" x14ac:dyDescent="0.35">
      <c r="A7" t="s">
        <v>23</v>
      </c>
      <c r="C7" s="4">
        <f ca="1">C6+C5</f>
        <v>946842.94066734239</v>
      </c>
      <c r="D7" s="4">
        <f ca="1">D6+D5</f>
        <v>13412176.228424154</v>
      </c>
      <c r="E7" s="4">
        <f t="shared" ref="E7:AF7" ca="1" si="1">E6+E5</f>
        <v>32365373.050410762</v>
      </c>
      <c r="F7" s="4">
        <f t="shared" ca="1" si="1"/>
        <v>49848933.907480277</v>
      </c>
      <c r="G7" s="4">
        <f ca="1">G6+G5</f>
        <v>60535838.118924245</v>
      </c>
      <c r="H7" s="4">
        <f t="shared" ca="1" si="1"/>
        <v>68298234.122844726</v>
      </c>
      <c r="I7" s="4">
        <f t="shared" ca="1" si="1"/>
        <v>74960066.629577041</v>
      </c>
      <c r="J7" s="4">
        <f t="shared" ca="1" si="1"/>
        <v>82561280.978325829</v>
      </c>
      <c r="K7" s="4">
        <f t="shared" ca="1" si="1"/>
        <v>88316477.580329478</v>
      </c>
      <c r="L7" s="4">
        <f t="shared" ca="1" si="1"/>
        <v>93122542.471694678</v>
      </c>
      <c r="M7" s="4">
        <f t="shared" ca="1" si="1"/>
        <v>98331342.84848395</v>
      </c>
      <c r="N7" s="4">
        <f t="shared" ca="1" si="1"/>
        <v>103978983.21749623</v>
      </c>
      <c r="O7" s="4">
        <f t="shared" ca="1" si="1"/>
        <v>110104505.90420976</v>
      </c>
      <c r="P7" s="4">
        <f t="shared" ca="1" si="1"/>
        <v>116750108.8999303</v>
      </c>
      <c r="Q7" s="4">
        <f t="shared" ca="1" si="1"/>
        <v>122918237.13982844</v>
      </c>
      <c r="R7" s="4">
        <f t="shared" ca="1" si="1"/>
        <v>128440256.16774249</v>
      </c>
      <c r="S7" s="4">
        <f t="shared" ca="1" si="1"/>
        <v>134296838.73251647</v>
      </c>
      <c r="T7" s="4">
        <f t="shared" ca="1" si="1"/>
        <v>140512308.41546953</v>
      </c>
      <c r="U7" s="4">
        <f t="shared" ca="1" si="1"/>
        <v>147112723.67706108</v>
      </c>
      <c r="V7" s="4">
        <f t="shared" ca="1" si="1"/>
        <v>154125993.08648315</v>
      </c>
      <c r="W7" s="4">
        <f t="shared" ca="1" si="1"/>
        <v>161581997.71750772</v>
      </c>
      <c r="X7" s="4">
        <f t="shared" ca="1" si="1"/>
        <v>169512721.1340729</v>
      </c>
      <c r="Y7" s="4">
        <f t="shared" ca="1" si="1"/>
        <v>177952387.41317633</v>
      </c>
      <c r="Z7" s="4">
        <f t="shared" ca="1" si="1"/>
        <v>186937607.6780692</v>
      </c>
      <c r="AA7" s="4">
        <f t="shared" ca="1" si="1"/>
        <v>196507535.64156187</v>
      </c>
      <c r="AB7" s="4">
        <f t="shared" ca="1" si="1"/>
        <v>200196644.80631346</v>
      </c>
      <c r="AC7" s="4">
        <f t="shared" ca="1" si="1"/>
        <v>203778368.15726158</v>
      </c>
      <c r="AD7" s="4">
        <f t="shared" ca="1" si="1"/>
        <v>207237795.2148754</v>
      </c>
      <c r="AE7" s="4">
        <f t="shared" ca="1" si="1"/>
        <v>210559029.62404442</v>
      </c>
      <c r="AF7" s="4">
        <f t="shared" ca="1" si="1"/>
        <v>213725136.32629994</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73909570.77660875</v>
      </c>
      <c r="D10" s="9">
        <f>Investment!D25</f>
        <v>77736659.830134675</v>
      </c>
      <c r="E10" s="9">
        <f>Investment!E25</f>
        <v>81732999.182611018</v>
      </c>
      <c r="F10" s="9">
        <f>Investment!F25</f>
        <v>85905501.913979799</v>
      </c>
      <c r="G10" s="9">
        <f>Investment!G25</f>
        <v>90261350.228993177</v>
      </c>
      <c r="H10" s="9">
        <f>Investment!H25</f>
        <v>94808005.602207482</v>
      </c>
      <c r="I10" s="9">
        <f>Investment!I25</f>
        <v>99553219.296673015</v>
      </c>
      <c r="J10" s="9">
        <f>Investment!J25</f>
        <v>104505043.26984772</v>
      </c>
      <c r="K10" s="9">
        <f>Investment!K25</f>
        <v>109671841.48074581</v>
      </c>
      <c r="L10" s="9">
        <f>Investment!L25</f>
        <v>115062301.61283302</v>
      </c>
      <c r="M10" s="9">
        <f>Investment!M25</f>
        <v>120685447.22769752</v>
      </c>
      <c r="N10" s="9">
        <f>Investment!N25</f>
        <v>126550650.36506185</v>
      </c>
      <c r="O10" s="9">
        <f>Investment!O25</f>
        <v>132667644.60525632</v>
      </c>
      <c r="P10" s="9">
        <f>Investment!P25</f>
        <v>139046538.61084938</v>
      </c>
      <c r="Q10" s="9">
        <f>Investment!Q25</f>
        <v>145697830.16472462</v>
      </c>
      <c r="R10" s="9">
        <f>Investment!R25</f>
        <v>152632420.72251043</v>
      </c>
      <c r="S10" s="9">
        <f>Investment!S25</f>
        <v>159861630.49790579</v>
      </c>
      <c r="T10" s="9">
        <f>Investment!T25</f>
        <v>167397214.10010663</v>
      </c>
      <c r="U10" s="9">
        <f>Investment!U25</f>
        <v>175251376.74321842</v>
      </c>
      <c r="V10" s="9">
        <f>Investment!V25</f>
        <v>183436791.04825094</v>
      </c>
      <c r="W10" s="9">
        <f>Investment!W25</f>
        <v>191966614.45902044</v>
      </c>
      <c r="X10" s="9">
        <f>Investment!X25</f>
        <v>200854507.29404575</v>
      </c>
      <c r="Y10" s="9">
        <f>Investment!Y25</f>
        <v>210114651.45730662</v>
      </c>
      <c r="Z10" s="9">
        <f>Investment!Z25</f>
        <v>219761769.8315472</v>
      </c>
      <c r="AA10" s="9">
        <f>Investment!AA25</f>
        <v>229811146.37864685</v>
      </c>
      <c r="AB10" s="9">
        <f>Investment!AB25</f>
        <v>240278646.9724533</v>
      </c>
      <c r="AC10" s="9">
        <f>Investment!AC25</f>
        <v>251180740.99037167</v>
      </c>
      <c r="AD10" s="9">
        <f>Investment!AD25</f>
        <v>262534523.6909371</v>
      </c>
      <c r="AE10" s="9">
        <f>Investment!AE25</f>
        <v>274357739.40556455</v>
      </c>
      <c r="AF10" s="9">
        <f>Investment!AF25</f>
        <v>286668805.57366848</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-72962727.835941404</v>
      </c>
      <c r="D12" s="1">
        <f t="shared" ref="D12:AF12" ca="1" si="2">D7-D9-D10</f>
        <v>-64324483.601710521</v>
      </c>
      <c r="E12" s="1">
        <f ca="1">E7-E9-E10</f>
        <v>-49367626.132200256</v>
      </c>
      <c r="F12" s="1">
        <f t="shared" ca="1" si="2"/>
        <v>-36056568.006499521</v>
      </c>
      <c r="G12" s="1">
        <f ca="1">G7-G9-G10</f>
        <v>-29725512.110068932</v>
      </c>
      <c r="H12" s="1">
        <f t="shared" ca="1" si="2"/>
        <v>-26509771.479362756</v>
      </c>
      <c r="I12" s="1">
        <f t="shared" ca="1" si="2"/>
        <v>-24593152.667095974</v>
      </c>
      <c r="J12" s="1">
        <f t="shared" ca="1" si="2"/>
        <v>-21943762.291521892</v>
      </c>
      <c r="K12" s="1">
        <f t="shared" ca="1" si="2"/>
        <v>-21355363.90041633</v>
      </c>
      <c r="L12" s="1">
        <f t="shared" ca="1" si="2"/>
        <v>-21939759.141138345</v>
      </c>
      <c r="M12" s="1">
        <f t="shared" ca="1" si="2"/>
        <v>-22354104.379213572</v>
      </c>
      <c r="N12" s="1">
        <f t="shared" ca="1" si="2"/>
        <v>-22571667.147565618</v>
      </c>
      <c r="O12" s="1">
        <f t="shared" ca="1" si="2"/>
        <v>-22563138.701046556</v>
      </c>
      <c r="P12" s="1">
        <f t="shared" ca="1" si="2"/>
        <v>-22296429.710919082</v>
      </c>
      <c r="Q12" s="1">
        <f t="shared" ca="1" si="2"/>
        <v>-22779593.024896175</v>
      </c>
      <c r="R12" s="1">
        <f t="shared" ca="1" si="2"/>
        <v>-24192164.554767936</v>
      </c>
      <c r="S12" s="1">
        <f t="shared" ca="1" si="2"/>
        <v>-25564791.765389323</v>
      </c>
      <c r="T12" s="1">
        <f t="shared" ca="1" si="2"/>
        <v>-26884905.6846371</v>
      </c>
      <c r="U12" s="1">
        <f t="shared" ca="1" si="2"/>
        <v>-28138653.066157341</v>
      </c>
      <c r="V12" s="1">
        <f t="shared" ca="1" si="2"/>
        <v>-29310797.961767793</v>
      </c>
      <c r="W12" s="1">
        <f t="shared" ca="1" si="2"/>
        <v>-30384616.741512716</v>
      </c>
      <c r="X12" s="1">
        <f t="shared" ca="1" si="2"/>
        <v>-31341786.159972847</v>
      </c>
      <c r="Y12" s="1">
        <f t="shared" ca="1" si="2"/>
        <v>-32162264.044130296</v>
      </c>
      <c r="Z12" s="1">
        <f t="shared" ca="1" si="2"/>
        <v>-32824162.153477997</v>
      </c>
      <c r="AA12" s="1">
        <f t="shared" ca="1" si="2"/>
        <v>-33303610.737084985</v>
      </c>
      <c r="AB12" s="1">
        <f t="shared" ca="1" si="2"/>
        <v>-40082002.166139841</v>
      </c>
      <c r="AC12" s="1">
        <f t="shared" ca="1" si="2"/>
        <v>-47402372.833110094</v>
      </c>
      <c r="AD12" s="1">
        <f t="shared" ca="1" si="2"/>
        <v>-55296728.476061702</v>
      </c>
      <c r="AE12" s="1">
        <f t="shared" ca="1" si="2"/>
        <v>-63798709.781520128</v>
      </c>
      <c r="AF12" s="1">
        <f t="shared" ca="1" si="2"/>
        <v>-72943669.247368544</v>
      </c>
      <c r="AG12" s="1"/>
      <c r="AH12" s="1"/>
      <c r="AI12" s="1"/>
      <c r="AJ12" s="1"/>
      <c r="AK12" s="1"/>
      <c r="AL12" s="1"/>
      <c r="AM12" s="1"/>
      <c r="AN12" s="1"/>
      <c r="AO12" s="1"/>
      <c r="AP12" s="1"/>
    </row>
    <row r="13" spans="1:42" x14ac:dyDescent="0.35">
      <c r="A13" t="s">
        <v>19</v>
      </c>
      <c r="C13" s="1">
        <f ca="1">C12</f>
        <v>-72962727.835941404</v>
      </c>
      <c r="D13" s="1">
        <f ca="1">D12</f>
        <v>-64324483.601710521</v>
      </c>
      <c r="E13" s="1">
        <f ca="1">E12</f>
        <v>-49367626.132200256</v>
      </c>
      <c r="F13" s="1">
        <f t="shared" ref="F13:AF13" ca="1" si="3">F12</f>
        <v>-36056568.006499521</v>
      </c>
      <c r="G13" s="1">
        <f ca="1">G12</f>
        <v>-29725512.110068932</v>
      </c>
      <c r="H13" s="1">
        <f t="shared" ca="1" si="3"/>
        <v>-26509771.479362756</v>
      </c>
      <c r="I13" s="1">
        <f t="shared" ca="1" si="3"/>
        <v>-24593152.667095974</v>
      </c>
      <c r="J13" s="1">
        <f t="shared" ca="1" si="3"/>
        <v>-21943762.291521892</v>
      </c>
      <c r="K13" s="1">
        <f t="shared" ca="1" si="3"/>
        <v>-21355363.90041633</v>
      </c>
      <c r="L13" s="1">
        <f t="shared" ca="1" si="3"/>
        <v>-21939759.141138345</v>
      </c>
      <c r="M13" s="1">
        <f t="shared" ca="1" si="3"/>
        <v>-22354104.379213572</v>
      </c>
      <c r="N13" s="1">
        <f t="shared" ca="1" si="3"/>
        <v>-22571667.147565618</v>
      </c>
      <c r="O13" s="1">
        <f t="shared" ca="1" si="3"/>
        <v>-22563138.701046556</v>
      </c>
      <c r="P13" s="1">
        <f t="shared" ca="1" si="3"/>
        <v>-22296429.710919082</v>
      </c>
      <c r="Q13" s="1">
        <f t="shared" ca="1" si="3"/>
        <v>-22779593.024896175</v>
      </c>
      <c r="R13" s="1">
        <f t="shared" ca="1" si="3"/>
        <v>-24192164.554767936</v>
      </c>
      <c r="S13" s="1">
        <f t="shared" ca="1" si="3"/>
        <v>-25564791.765389323</v>
      </c>
      <c r="T13" s="1">
        <f t="shared" ca="1" si="3"/>
        <v>-26884905.6846371</v>
      </c>
      <c r="U13" s="1">
        <f t="shared" ca="1" si="3"/>
        <v>-28138653.066157341</v>
      </c>
      <c r="V13" s="1">
        <f t="shared" ca="1" si="3"/>
        <v>-29310797.961767793</v>
      </c>
      <c r="W13" s="1">
        <f t="shared" ca="1" si="3"/>
        <v>-30384616.741512716</v>
      </c>
      <c r="X13" s="1">
        <f t="shared" ca="1" si="3"/>
        <v>-31341786.159972847</v>
      </c>
      <c r="Y13" s="1">
        <f t="shared" ca="1" si="3"/>
        <v>-32162264.044130296</v>
      </c>
      <c r="Z13" s="1">
        <f t="shared" ca="1" si="3"/>
        <v>-32824162.153477997</v>
      </c>
      <c r="AA13" s="1">
        <f t="shared" ca="1" si="3"/>
        <v>-33303610.737084985</v>
      </c>
      <c r="AB13" s="1">
        <f t="shared" ca="1" si="3"/>
        <v>-40082002.166139841</v>
      </c>
      <c r="AC13" s="1">
        <f t="shared" ca="1" si="3"/>
        <v>-47402372.833110094</v>
      </c>
      <c r="AD13" s="1">
        <f t="shared" ca="1" si="3"/>
        <v>-55296728.476061702</v>
      </c>
      <c r="AE13" s="1">
        <f t="shared" ca="1" si="3"/>
        <v>-63798709.781520128</v>
      </c>
      <c r="AF13" s="1">
        <f t="shared" ca="1" si="3"/>
        <v>-72943669.247368544</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80" zoomScaleNormal="80" workbookViewId="0">
      <pane xSplit="1" topLeftCell="B1" activePane="topRight" state="frozen"/>
      <selection sqref="A1:XFD1048576"/>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139</v>
      </c>
      <c r="C6" s="9">
        <f>Assumptions!C17</f>
        <v>828700499.99999988</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414350249.99999994</v>
      </c>
      <c r="D7" s="9">
        <f>C12</f>
        <v>429232737.90054071</v>
      </c>
      <c r="E7" s="9">
        <f>D12</f>
        <v>446053448.20257318</v>
      </c>
      <c r="F7" s="9">
        <f t="shared" ref="F7:H7" si="1">E12</f>
        <v>464921187.47218275</v>
      </c>
      <c r="G7" s="9">
        <f t="shared" si="1"/>
        <v>485949741.15594506</v>
      </c>
      <c r="H7" s="9">
        <f t="shared" si="1"/>
        <v>509258080.8113538</v>
      </c>
      <c r="I7" s="9">
        <f t="shared" ref="I7" si="2">H12</f>
        <v>534970579.50162214</v>
      </c>
      <c r="J7" s="9">
        <f t="shared" ref="J7" si="3">I12</f>
        <v>563217235.66517401</v>
      </c>
      <c r="K7" s="9">
        <f t="shared" ref="K7" si="4">J12</f>
        <v>594133905.78164065</v>
      </c>
      <c r="L7" s="9">
        <f t="shared" ref="L7" si="5">K12</f>
        <v>627862546.16809714</v>
      </c>
      <c r="M7" s="9">
        <f t="shared" ref="M7" si="6">L12</f>
        <v>664551464.25162363</v>
      </c>
      <c r="N7" s="9">
        <f t="shared" ref="N7" si="7">M12</f>
        <v>704355579.67707682</v>
      </c>
      <c r="O7" s="9">
        <f t="shared" ref="O7" si="8">N12</f>
        <v>747436695.62222254</v>
      </c>
      <c r="P7" s="9">
        <f t="shared" ref="P7" si="9">O12</f>
        <v>793963780.70612538</v>
      </c>
      <c r="Q7" s="9">
        <f t="shared" ref="Q7" si="10">P12</f>
        <v>844113261.89093804</v>
      </c>
      <c r="R7" s="9">
        <f t="shared" ref="R7" si="11">Q12</f>
        <v>898069328.79199266</v>
      </c>
      <c r="S7" s="9">
        <f t="shared" ref="S7" si="12">R12</f>
        <v>956024249.82639575</v>
      </c>
      <c r="T7" s="9">
        <f t="shared" ref="T7" si="13">S12</f>
        <v>1018178700.6461747</v>
      </c>
      <c r="U7" s="9">
        <f t="shared" ref="U7" si="14">T12</f>
        <v>1084742105.3184545</v>
      </c>
      <c r="V7" s="9">
        <f t="shared" ref="V7" si="15">U12</f>
        <v>1155932990.7321556</v>
      </c>
      <c r="W7" s="9">
        <f t="shared" ref="W7" si="16">V12</f>
        <v>1231979354.7283444</v>
      </c>
      <c r="X7" s="9">
        <f t="shared" ref="X7" si="17">W12</f>
        <v>1313119048.4696372</v>
      </c>
      <c r="Y7" s="9">
        <f t="shared" ref="Y7" si="18">X12</f>
        <v>1399600173.5829878</v>
      </c>
      <c r="Z7" s="9">
        <f t="shared" ref="Z7" si="19">Y12</f>
        <v>1491681494.629817</v>
      </c>
      <c r="AA7" s="9">
        <f t="shared" ref="AA7" si="20">Z12</f>
        <v>1589632867.4777515</v>
      </c>
      <c r="AB7" s="9">
        <f t="shared" ref="AB7" si="21">AA12</f>
        <v>1693735684.1693101</v>
      </c>
      <c r="AC7" s="9">
        <f t="shared" ref="AC7" si="22">AB12</f>
        <v>1804283334.9046884</v>
      </c>
      <c r="AD7" s="9">
        <f t="shared" ref="AD7" si="23">AC12</f>
        <v>1921581687.7783985</v>
      </c>
      <c r="AE7" s="9">
        <f t="shared" ref="AE7" si="24">AD12</f>
        <v>2045949586.932941</v>
      </c>
      <c r="AF7" s="9">
        <f t="shared" ref="AF7" si="25">AE12</f>
        <v>2177719369.816946</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140</v>
      </c>
      <c r="C8" s="9">
        <f>Assumptions!D111*Assumptions!D11</f>
        <v>13465837.91151512</v>
      </c>
      <c r="D8" s="9">
        <f>Assumptions!E111*Assumptions!E11</f>
        <v>13896744.724683603</v>
      </c>
      <c r="E8" s="9">
        <f>Assumptions!F111*Assumptions!F11</f>
        <v>14341440.555873478</v>
      </c>
      <c r="F8" s="9">
        <f>Assumptions!G111*Assumptions!G11</f>
        <v>14800366.65366143</v>
      </c>
      <c r="G8" s="9">
        <f>Assumptions!H111*Assumptions!H11</f>
        <v>15273978.386578597</v>
      </c>
      <c r="H8" s="9">
        <f>Assumptions!I111*Assumptions!I11</f>
        <v>15762745.694949109</v>
      </c>
      <c r="I8" s="9">
        <f>Assumptions!J111*Assumptions!J11</f>
        <v>16267153.557187479</v>
      </c>
      <c r="J8" s="9">
        <f>Assumptions!K111*Assumptions!K11</f>
        <v>16787702.47101748</v>
      </c>
      <c r="K8" s="9">
        <f>Assumptions!L111*Assumptions!L11</f>
        <v>17324908.950090043</v>
      </c>
      <c r="L8" s="9">
        <f>Assumptions!M111*Assumptions!M11</f>
        <v>17879306.036492921</v>
      </c>
      <c r="M8" s="9">
        <f>Assumptions!N111*Assumptions!N11</f>
        <v>18451443.829660695</v>
      </c>
      <c r="N8" s="9">
        <f>Assumptions!O111*Assumptions!O11</f>
        <v>19041890.032209836</v>
      </c>
      <c r="O8" s="9">
        <f>Assumptions!P111*Assumptions!P11</f>
        <v>19651230.513240553</v>
      </c>
      <c r="P8" s="9">
        <f>Assumptions!Q111*Assumptions!Q11</f>
        <v>20280069.889664248</v>
      </c>
      <c r="Q8" s="9">
        <f>Assumptions!R111*Assumptions!R11</f>
        <v>20929032.126133502</v>
      </c>
      <c r="R8" s="9">
        <f>Assumptions!S111*Assumptions!S11</f>
        <v>21598761.154169776</v>
      </c>
      <c r="S8" s="9">
        <f>Assumptions!T111*Assumptions!T11</f>
        <v>22289921.511103213</v>
      </c>
      <c r="T8" s="9">
        <f>Assumptions!U111*Assumptions!U11</f>
        <v>23003198.99945851</v>
      </c>
      <c r="U8" s="9">
        <f>Assumptions!V111*Assumptions!V11</f>
        <v>23739301.367441181</v>
      </c>
      <c r="V8" s="9">
        <f>Assumptions!W111*Assumptions!W11</f>
        <v>24498959.011199303</v>
      </c>
      <c r="W8" s="9">
        <f>Assumptions!X111*Assumptions!X11</f>
        <v>25282925.699557684</v>
      </c>
      <c r="X8" s="9">
        <f>Assumptions!Y111*Assumptions!Y11</f>
        <v>26091979.321943525</v>
      </c>
      <c r="Y8" s="9">
        <f>Assumptions!Z111*Assumptions!Z11</f>
        <v>26926922.660245713</v>
      </c>
      <c r="Z8" s="9">
        <f>Assumptions!AA111*Assumptions!AA11</f>
        <v>27788584.185373578</v>
      </c>
      <c r="AA8" s="9">
        <f>Assumptions!AB111*Assumptions!AB11</f>
        <v>28677818.879305538</v>
      </c>
      <c r="AB8" s="9">
        <f>Assumptions!AC111*Assumptions!AC11</f>
        <v>29595509.08344331</v>
      </c>
      <c r="AC8" s="9">
        <f>Assumptions!AD111*Assumptions!AD11</f>
        <v>30542565.374113493</v>
      </c>
      <c r="AD8" s="9">
        <f>Assumptions!AE111*Assumptions!AE11</f>
        <v>31519927.466085132</v>
      </c>
      <c r="AE8" s="9">
        <f>Assumptions!AF111*Assumptions!AF11</f>
        <v>32528565.144999854</v>
      </c>
      <c r="AF8" s="9">
        <f>Assumptions!AG111*Assumptions!AG11</f>
        <v>33569479.229639843</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1416649.9890256317</v>
      </c>
      <c r="D9" s="9">
        <f>Assumptions!E120*Assumptions!E11</f>
        <v>2923965.5773489033</v>
      </c>
      <c r="E9" s="9">
        <f>Assumptions!F120*Assumptions!F11</f>
        <v>4526298.7137361038</v>
      </c>
      <c r="F9" s="9">
        <f>Assumptions!G120*Assumptions!G11</f>
        <v>6228187.0301008765</v>
      </c>
      <c r="G9" s="9">
        <f>Assumptions!H120*Assumptions!H11</f>
        <v>8034361.2688301336</v>
      </c>
      <c r="H9" s="9">
        <f>Assumptions!I120*Assumptions!I11</f>
        <v>9949752.9953192379</v>
      </c>
      <c r="I9" s="9">
        <f>Assumptions!J120*Assumptions!J11</f>
        <v>11979502.60636436</v>
      </c>
      <c r="J9" s="9">
        <f>Assumptions!K120*Assumptions!K11</f>
        <v>14128967.645449171</v>
      </c>
      <c r="K9" s="9">
        <f>Assumptions!L120*Assumptions!L11</f>
        <v>16403731.436366485</v>
      </c>
      <c r="L9" s="9">
        <f>Assumptions!M120*Assumptions!M11</f>
        <v>18809612.047033571</v>
      </c>
      <c r="M9" s="9">
        <f>Assumptions!N120*Assumptions!N11</f>
        <v>21352671.59579251</v>
      </c>
      <c r="N9" s="9">
        <f>Assumptions!O120*Assumptions!O11</f>
        <v>24039225.912935857</v>
      </c>
      <c r="O9" s="9">
        <f>Assumptions!P120*Assumptions!P11</f>
        <v>26875854.570662294</v>
      </c>
      <c r="P9" s="9">
        <f>Assumptions!Q120*Assumptions!Q11</f>
        <v>29869411.295148365</v>
      </c>
      <c r="Q9" s="9">
        <f>Assumptions!R120*Assumptions!R11</f>
        <v>33027034.774921186</v>
      </c>
      <c r="R9" s="9">
        <f>Assumptions!S120*Assumptions!S11</f>
        <v>36356159.880233258</v>
      </c>
      <c r="S9" s="9">
        <f>Assumptions!T120*Assumptions!T11</f>
        <v>39864529.308675766</v>
      </c>
      <c r="T9" s="9">
        <f>Assumptions!U120*Assumptions!U11</f>
        <v>43560205.672821231</v>
      </c>
      <c r="U9" s="9">
        <f>Assumptions!V120*Assumptions!V11</f>
        <v>47451584.04625991</v>
      </c>
      <c r="V9" s="9">
        <f>Assumptions!W120*Assumptions!W11</f>
        <v>51547404.984989725</v>
      </c>
      <c r="W9" s="9">
        <f>Assumptions!X120*Assumptions!X11</f>
        <v>55856768.041734867</v>
      </c>
      <c r="X9" s="9">
        <f>Assumptions!Y120*Assumptions!Y11</f>
        <v>60389145.791407064</v>
      </c>
      <c r="Y9" s="9">
        <f>Assumptions!Z120*Assumptions!Z11</f>
        <v>65154398.386583537</v>
      </c>
      <c r="Z9" s="9">
        <f>Assumptions!AA120*Assumptions!AA11</f>
        <v>70162788.662560925</v>
      </c>
      <c r="AA9" s="9">
        <f>Assumptions!AB120*Assumptions!AB11</f>
        <v>75424997.812253013</v>
      </c>
      <c r="AB9" s="9">
        <f>Assumptions!AC120*Assumptions!AC11</f>
        <v>80952141.651934907</v>
      </c>
      <c r="AC9" s="9">
        <f>Assumptions!AD120*Assumptions!AD11</f>
        <v>86755787.499596685</v>
      </c>
      <c r="AD9" s="9">
        <f>Assumptions!AE120*Assumptions!AE11</f>
        <v>92847971.688457265</v>
      </c>
      <c r="AE9" s="9">
        <f>Assumptions!AF120*Assumptions!AF11</f>
        <v>99241217.739005327</v>
      </c>
      <c r="AF9" s="9">
        <f>Assumptions!AG120*Assumptions!AG11</f>
        <v>105948555.21377946</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36</v>
      </c>
      <c r="C10" s="9">
        <f>SUM($C$8:C9)</f>
        <v>14882487.900540752</v>
      </c>
      <c r="D10" s="9">
        <f>SUM($C$8:D9)</f>
        <v>31703198.202573255</v>
      </c>
      <c r="E10" s="9">
        <f>SUM($C$8:E9)</f>
        <v>50570937.472182833</v>
      </c>
      <c r="F10" s="9">
        <f>SUM($C$8:F9)</f>
        <v>71599491.155945137</v>
      </c>
      <c r="G10" s="9">
        <f>SUM($C$8:G9)</f>
        <v>94907830.811353892</v>
      </c>
      <c r="H10" s="9">
        <f>SUM($C$8:H9)</f>
        <v>120620329.50162223</v>
      </c>
      <c r="I10" s="9">
        <f>SUM($C$8:I9)</f>
        <v>148866985.6651741</v>
      </c>
      <c r="J10" s="9">
        <f>SUM($C$8:J9)</f>
        <v>179783655.78164071</v>
      </c>
      <c r="K10" s="9">
        <f>SUM($C$8:K9)</f>
        <v>213512296.16809729</v>
      </c>
      <c r="L10" s="9">
        <f>SUM($C$8:L9)</f>
        <v>250201214.25162378</v>
      </c>
      <c r="M10" s="9">
        <f>SUM($C$8:M9)</f>
        <v>290005329.677077</v>
      </c>
      <c r="N10" s="9">
        <f>SUM($C$8:N9)</f>
        <v>333086445.62222266</v>
      </c>
      <c r="O10" s="9">
        <f>SUM($C$8:O9)</f>
        <v>379613530.70612556</v>
      </c>
      <c r="P10" s="9">
        <f>SUM($C$8:P9)</f>
        <v>429763011.89093816</v>
      </c>
      <c r="Q10" s="9">
        <f>SUM($C$8:Q9)</f>
        <v>483719078.79199284</v>
      </c>
      <c r="R10" s="9">
        <f>SUM($C$8:R9)</f>
        <v>541673999.82639587</v>
      </c>
      <c r="S10" s="9">
        <f>SUM($C$8:S9)</f>
        <v>603828450.64617491</v>
      </c>
      <c r="T10" s="9">
        <f>SUM($C$8:T9)</f>
        <v>670391855.31845474</v>
      </c>
      <c r="U10" s="9">
        <f>SUM($C$8:U9)</f>
        <v>741582740.73215568</v>
      </c>
      <c r="V10" s="9">
        <f>SUM($C$8:V9)</f>
        <v>817629104.7283448</v>
      </c>
      <c r="W10" s="9">
        <f>SUM($C$8:W9)</f>
        <v>898768798.46963727</v>
      </c>
      <c r="X10" s="9">
        <f>SUM($C$8:X9)</f>
        <v>985249923.5829879</v>
      </c>
      <c r="Y10" s="9">
        <f>SUM($C$8:Y9)</f>
        <v>1077331244.629817</v>
      </c>
      <c r="Z10" s="9">
        <f>SUM($C$8:Z9)</f>
        <v>1175282617.4777515</v>
      </c>
      <c r="AA10" s="9">
        <f>SUM($C$8:AA9)</f>
        <v>1279385434.1693101</v>
      </c>
      <c r="AB10" s="9">
        <f>SUM($C$8:AB9)</f>
        <v>1389933084.9046881</v>
      </c>
      <c r="AC10" s="9">
        <f>SUM($C$8:AC9)</f>
        <v>1507231437.7783983</v>
      </c>
      <c r="AD10" s="9">
        <f>SUM($C$8:AD9)</f>
        <v>1631599336.9329407</v>
      </c>
      <c r="AE10" s="9">
        <f>SUM($C$8:AE9)</f>
        <v>1763369119.8169458</v>
      </c>
      <c r="AF10" s="9">
        <f>SUM($C$8:AF9)</f>
        <v>1902887154.2603652</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429232737.90054071</v>
      </c>
      <c r="D12" s="9">
        <f>D7+D8+D9</f>
        <v>446053448.20257318</v>
      </c>
      <c r="E12" s="9">
        <f>E7+E8+E9</f>
        <v>464921187.47218275</v>
      </c>
      <c r="F12" s="9">
        <f t="shared" ref="F12:H12" si="26">F7+F8+F9</f>
        <v>485949741.15594506</v>
      </c>
      <c r="G12" s="9">
        <f t="shared" si="26"/>
        <v>509258080.8113538</v>
      </c>
      <c r="H12" s="9">
        <f t="shared" si="26"/>
        <v>534970579.50162214</v>
      </c>
      <c r="I12" s="9">
        <f t="shared" ref="I12:AF12" si="27">I7+I8+I9</f>
        <v>563217235.66517401</v>
      </c>
      <c r="J12" s="9">
        <f t="shared" si="27"/>
        <v>594133905.78164065</v>
      </c>
      <c r="K12" s="9">
        <f t="shared" si="27"/>
        <v>627862546.16809714</v>
      </c>
      <c r="L12" s="9">
        <f t="shared" si="27"/>
        <v>664551464.25162363</v>
      </c>
      <c r="M12" s="9">
        <f t="shared" si="27"/>
        <v>704355579.67707682</v>
      </c>
      <c r="N12" s="9">
        <f t="shared" si="27"/>
        <v>747436695.62222254</v>
      </c>
      <c r="O12" s="9">
        <f t="shared" si="27"/>
        <v>793963780.70612538</v>
      </c>
      <c r="P12" s="9">
        <f t="shared" si="27"/>
        <v>844113261.89093804</v>
      </c>
      <c r="Q12" s="9">
        <f t="shared" si="27"/>
        <v>898069328.79199266</v>
      </c>
      <c r="R12" s="9">
        <f t="shared" si="27"/>
        <v>956024249.82639575</v>
      </c>
      <c r="S12" s="9">
        <f t="shared" si="27"/>
        <v>1018178700.6461747</v>
      </c>
      <c r="T12" s="9">
        <f t="shared" si="27"/>
        <v>1084742105.3184545</v>
      </c>
      <c r="U12" s="9">
        <f t="shared" si="27"/>
        <v>1155932990.7321556</v>
      </c>
      <c r="V12" s="9">
        <f t="shared" si="27"/>
        <v>1231979354.7283444</v>
      </c>
      <c r="W12" s="9">
        <f t="shared" si="27"/>
        <v>1313119048.4696372</v>
      </c>
      <c r="X12" s="9">
        <f t="shared" si="27"/>
        <v>1399600173.5829878</v>
      </c>
      <c r="Y12" s="9">
        <f t="shared" si="27"/>
        <v>1491681494.629817</v>
      </c>
      <c r="Z12" s="9">
        <f t="shared" si="27"/>
        <v>1589632867.4777515</v>
      </c>
      <c r="AA12" s="9">
        <f t="shared" si="27"/>
        <v>1693735684.1693101</v>
      </c>
      <c r="AB12" s="9">
        <f t="shared" si="27"/>
        <v>1804283334.9046884</v>
      </c>
      <c r="AC12" s="9">
        <f t="shared" si="27"/>
        <v>1921581687.7783985</v>
      </c>
      <c r="AD12" s="9">
        <f t="shared" si="27"/>
        <v>2045949586.932941</v>
      </c>
      <c r="AE12" s="9">
        <f t="shared" si="27"/>
        <v>2177719369.816946</v>
      </c>
      <c r="AF12" s="9">
        <f t="shared" si="27"/>
        <v>2317237404.2603655</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73909570.77660875</v>
      </c>
      <c r="D18" s="9">
        <f>Investment!D25</f>
        <v>77736659.830134675</v>
      </c>
      <c r="E18" s="9">
        <f>Investment!E25</f>
        <v>81732999.182611018</v>
      </c>
      <c r="F18" s="9">
        <f>Investment!F25</f>
        <v>85905501.913979799</v>
      </c>
      <c r="G18" s="9">
        <f>Investment!G25</f>
        <v>90261350.228993177</v>
      </c>
      <c r="H18" s="9">
        <f>Investment!H25</f>
        <v>94808005.602207482</v>
      </c>
      <c r="I18" s="9">
        <f>Investment!I25</f>
        <v>99553219.296673015</v>
      </c>
      <c r="J18" s="9">
        <f>Investment!J25</f>
        <v>104505043.26984772</v>
      </c>
      <c r="K18" s="9">
        <f>Investment!K25</f>
        <v>109671841.48074581</v>
      </c>
      <c r="L18" s="9">
        <f>Investment!L25</f>
        <v>115062301.61283302</v>
      </c>
      <c r="M18" s="9">
        <f>Investment!M25</f>
        <v>120685447.22769752</v>
      </c>
      <c r="N18" s="9">
        <f>Investment!N25</f>
        <v>126550650.36506185</v>
      </c>
      <c r="O18" s="9">
        <f>Investment!O25</f>
        <v>132667644.60525632</v>
      </c>
      <c r="P18" s="9">
        <f>Investment!P25</f>
        <v>139046538.61084938</v>
      </c>
      <c r="Q18" s="9">
        <f>Investment!Q25</f>
        <v>145697830.16472462</v>
      </c>
      <c r="R18" s="9">
        <f>Investment!R25</f>
        <v>152632420.72251043</v>
      </c>
      <c r="S18" s="9">
        <f>Investment!S25</f>
        <v>159861630.49790579</v>
      </c>
      <c r="T18" s="9">
        <f>Investment!T25</f>
        <v>167397214.10010663</v>
      </c>
      <c r="U18" s="9">
        <f>Investment!U25</f>
        <v>175251376.74321842</v>
      </c>
      <c r="V18" s="9">
        <f>Investment!V25</f>
        <v>183436791.04825094</v>
      </c>
      <c r="W18" s="9">
        <f>Investment!W25</f>
        <v>191966614.45902044</v>
      </c>
      <c r="X18" s="9">
        <f>Investment!X25</f>
        <v>200854507.29404575</v>
      </c>
      <c r="Y18" s="9">
        <f>Investment!Y25</f>
        <v>210114651.45730662</v>
      </c>
      <c r="Z18" s="9">
        <f>Investment!Z25</f>
        <v>219761769.8315472</v>
      </c>
      <c r="AA18" s="9">
        <f>Investment!AA25</f>
        <v>229811146.37864685</v>
      </c>
      <c r="AB18" s="9">
        <f>Investment!AB25</f>
        <v>240278646.9724533</v>
      </c>
      <c r="AC18" s="9">
        <f>Investment!AC25</f>
        <v>251180740.99037167</v>
      </c>
      <c r="AD18" s="9">
        <f>Investment!AD25</f>
        <v>262534523.6909371</v>
      </c>
      <c r="AE18" s="9">
        <f>Investment!AE25</f>
        <v>274357739.40556455</v>
      </c>
      <c r="AF18" s="9">
        <f>Investment!AF25</f>
        <v>286668805.57366848</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45</v>
      </c>
      <c r="C19" s="9">
        <f>$C$6-C7+C18</f>
        <v>488259820.77660871</v>
      </c>
      <c r="D19" s="9">
        <f>D18+C20</f>
        <v>551113992.70620263</v>
      </c>
      <c r="E19" s="9">
        <f>E18+D20</f>
        <v>616026281.58678114</v>
      </c>
      <c r="F19" s="9">
        <f t="shared" ref="F19:AF19" si="28">F18+E20</f>
        <v>683064044.23115134</v>
      </c>
      <c r="G19" s="9">
        <f t="shared" si="28"/>
        <v>752296840.77638221</v>
      </c>
      <c r="H19" s="9">
        <f t="shared" si="28"/>
        <v>823796506.72318101</v>
      </c>
      <c r="I19" s="9">
        <f t="shared" si="28"/>
        <v>897637227.32958567</v>
      </c>
      <c r="J19" s="9">
        <f t="shared" si="28"/>
        <v>973895614.43588161</v>
      </c>
      <c r="K19" s="9">
        <f t="shared" si="28"/>
        <v>1052650785.8001608</v>
      </c>
      <c r="L19" s="9">
        <f t="shared" si="28"/>
        <v>1133984447.0265374</v>
      </c>
      <c r="M19" s="9">
        <f t="shared" si="28"/>
        <v>1217980976.1707087</v>
      </c>
      <c r="N19" s="9">
        <f t="shared" si="28"/>
        <v>1304727511.1103172</v>
      </c>
      <c r="O19" s="9">
        <f t="shared" si="28"/>
        <v>1394314039.7704277</v>
      </c>
      <c r="P19" s="9">
        <f t="shared" si="28"/>
        <v>1486833493.2973742</v>
      </c>
      <c r="Q19" s="9">
        <f t="shared" si="28"/>
        <v>1582381842.2772863</v>
      </c>
      <c r="R19" s="9">
        <f t="shared" si="28"/>
        <v>1681058196.098742</v>
      </c>
      <c r="S19" s="9">
        <f t="shared" si="28"/>
        <v>1782964905.5622447</v>
      </c>
      <c r="T19" s="9">
        <f t="shared" si="28"/>
        <v>1888207668.8425725</v>
      </c>
      <c r="U19" s="9">
        <f t="shared" si="28"/>
        <v>1996895640.913511</v>
      </c>
      <c r="V19" s="9">
        <f t="shared" si="28"/>
        <v>2109141546.5480609</v>
      </c>
      <c r="W19" s="9">
        <f t="shared" si="28"/>
        <v>2225061797.0108924</v>
      </c>
      <c r="X19" s="9">
        <f t="shared" si="28"/>
        <v>2344776610.5636454</v>
      </c>
      <c r="Y19" s="9">
        <f t="shared" si="28"/>
        <v>2468410136.9076014</v>
      </c>
      <c r="Z19" s="9">
        <f t="shared" si="28"/>
        <v>2596090585.6923194</v>
      </c>
      <c r="AA19" s="9">
        <f t="shared" si="28"/>
        <v>2727950359.2230315</v>
      </c>
      <c r="AB19" s="9">
        <f t="shared" si="28"/>
        <v>2864126189.5039263</v>
      </c>
      <c r="AC19" s="9">
        <f t="shared" si="28"/>
        <v>3004759279.7589197</v>
      </c>
      <c r="AD19" s="9">
        <f t="shared" si="28"/>
        <v>3149995450.5761466</v>
      </c>
      <c r="AE19" s="9">
        <f t="shared" si="28"/>
        <v>3299985290.8271685</v>
      </c>
      <c r="AF19" s="9">
        <f t="shared" si="28"/>
        <v>3454884313.5168314</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473377332.87606794</v>
      </c>
      <c r="D20" s="9">
        <f>D19-D8-D9</f>
        <v>534293282.4041701</v>
      </c>
      <c r="E20" s="9">
        <f t="shared" ref="E20:AF20" si="29">E19-E8-E9</f>
        <v>597158542.31717157</v>
      </c>
      <c r="F20" s="9">
        <f t="shared" si="29"/>
        <v>662035490.54738903</v>
      </c>
      <c r="G20" s="9">
        <f t="shared" si="29"/>
        <v>728988501.12097347</v>
      </c>
      <c r="H20" s="9">
        <f t="shared" si="29"/>
        <v>798084008.03291261</v>
      </c>
      <c r="I20" s="9">
        <f t="shared" si="29"/>
        <v>869390571.16603386</v>
      </c>
      <c r="J20" s="9">
        <f t="shared" si="29"/>
        <v>942978944.31941497</v>
      </c>
      <c r="K20" s="9">
        <f t="shared" si="29"/>
        <v>1018922145.4137043</v>
      </c>
      <c r="L20" s="9">
        <f t="shared" si="29"/>
        <v>1097295528.943011</v>
      </c>
      <c r="M20" s="9">
        <f t="shared" si="29"/>
        <v>1178176860.7452555</v>
      </c>
      <c r="N20" s="9">
        <f t="shared" si="29"/>
        <v>1261646395.1651714</v>
      </c>
      <c r="O20" s="9">
        <f t="shared" si="29"/>
        <v>1347786954.6865249</v>
      </c>
      <c r="P20" s="9">
        <f t="shared" si="29"/>
        <v>1436684012.1125617</v>
      </c>
      <c r="Q20" s="9">
        <f t="shared" si="29"/>
        <v>1528425775.3762317</v>
      </c>
      <c r="R20" s="9">
        <f t="shared" si="29"/>
        <v>1623103275.0643389</v>
      </c>
      <c r="S20" s="9">
        <f t="shared" si="29"/>
        <v>1720810454.7424657</v>
      </c>
      <c r="T20" s="9">
        <f t="shared" si="29"/>
        <v>1821644264.1702926</v>
      </c>
      <c r="U20" s="9">
        <f t="shared" si="29"/>
        <v>1925704755.49981</v>
      </c>
      <c r="V20" s="9">
        <f t="shared" si="29"/>
        <v>2033095182.551872</v>
      </c>
      <c r="W20" s="9">
        <f t="shared" si="29"/>
        <v>2143922103.2695997</v>
      </c>
      <c r="X20" s="9">
        <f t="shared" si="29"/>
        <v>2258295485.4502945</v>
      </c>
      <c r="Y20" s="9">
        <f t="shared" si="29"/>
        <v>2376328815.8607721</v>
      </c>
      <c r="Z20" s="9">
        <f t="shared" si="29"/>
        <v>2498139212.8443847</v>
      </c>
      <c r="AA20" s="9">
        <f t="shared" si="29"/>
        <v>2623847542.5314732</v>
      </c>
      <c r="AB20" s="9">
        <f t="shared" si="29"/>
        <v>2753578538.768548</v>
      </c>
      <c r="AC20" s="9">
        <f t="shared" si="29"/>
        <v>2887460926.8852096</v>
      </c>
      <c r="AD20" s="9">
        <f t="shared" si="29"/>
        <v>3025627551.4216042</v>
      </c>
      <c r="AE20" s="9">
        <f t="shared" si="29"/>
        <v>3168215507.9431629</v>
      </c>
      <c r="AF20" s="9">
        <f t="shared" si="29"/>
        <v>3315366279.0734119</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37</v>
      </c>
      <c r="C22" s="9">
        <f>'Balance Sheet'!B11</f>
        <v>33220000</v>
      </c>
      <c r="D22" s="9">
        <f ca="1">'Balance Sheet'!C11</f>
        <v>106182727.8359414</v>
      </c>
      <c r="E22" s="9">
        <f ca="1">'Balance Sheet'!D11</f>
        <v>170507211.43765193</v>
      </c>
      <c r="F22" s="9">
        <f ca="1">'Balance Sheet'!E11</f>
        <v>219874837.56985217</v>
      </c>
      <c r="G22" s="9">
        <f ca="1">'Balance Sheet'!F11</f>
        <v>255931405.5763517</v>
      </c>
      <c r="H22" s="9">
        <f ca="1">'Balance Sheet'!G11</f>
        <v>285656917.68642062</v>
      </c>
      <c r="I22" s="9">
        <f ca="1">'Balance Sheet'!H11</f>
        <v>312166689.16578341</v>
      </c>
      <c r="J22" s="9">
        <f ca="1">'Balance Sheet'!I11</f>
        <v>336759841.83287936</v>
      </c>
      <c r="K22" s="9">
        <f ca="1">'Balance Sheet'!J11</f>
        <v>358703604.12440127</v>
      </c>
      <c r="L22" s="9">
        <f ca="1">'Balance Sheet'!K11</f>
        <v>380058968.02481759</v>
      </c>
      <c r="M22" s="9">
        <f ca="1">'Balance Sheet'!L11</f>
        <v>401998727.1659559</v>
      </c>
      <c r="N22" s="9">
        <f ca="1">'Balance Sheet'!M11</f>
        <v>424352831.54516947</v>
      </c>
      <c r="O22" s="9">
        <f ca="1">'Balance Sheet'!N11</f>
        <v>446924498.69273508</v>
      </c>
      <c r="P22" s="9">
        <f ca="1">'Balance Sheet'!O11</f>
        <v>469487637.39378166</v>
      </c>
      <c r="Q22" s="9">
        <f ca="1">'Balance Sheet'!P11</f>
        <v>491784067.10470074</v>
      </c>
      <c r="R22" s="9">
        <f ca="1">'Balance Sheet'!Q11</f>
        <v>514563660.12959695</v>
      </c>
      <c r="S22" s="9">
        <f ca="1">'Balance Sheet'!R11</f>
        <v>538755824.68436491</v>
      </c>
      <c r="T22" s="9">
        <f ca="1">'Balance Sheet'!S11</f>
        <v>564320616.44975424</v>
      </c>
      <c r="U22" s="9">
        <f ca="1">'Balance Sheet'!T11</f>
        <v>591205522.13439131</v>
      </c>
      <c r="V22" s="9">
        <f ca="1">'Balance Sheet'!U11</f>
        <v>619344175.20054865</v>
      </c>
      <c r="W22" s="9">
        <f ca="1">'Balance Sheet'!V11</f>
        <v>648654973.16231644</v>
      </c>
      <c r="X22" s="9">
        <f ca="1">'Balance Sheet'!W11</f>
        <v>679039589.9038291</v>
      </c>
      <c r="Y22" s="9">
        <f ca="1">'Balance Sheet'!X11</f>
        <v>710381376.063802</v>
      </c>
      <c r="Z22" s="9">
        <f ca="1">'Balance Sheet'!Y11</f>
        <v>742543640.10793233</v>
      </c>
      <c r="AA22" s="9">
        <f ca="1">'Balance Sheet'!Z11</f>
        <v>775367802.26141036</v>
      </c>
      <c r="AB22" s="9">
        <f ca="1">'Balance Sheet'!AA11</f>
        <v>808671412.99849534</v>
      </c>
      <c r="AC22" s="9">
        <f ca="1">'Balance Sheet'!AB11</f>
        <v>848753415.16463518</v>
      </c>
      <c r="AD22" s="9">
        <f ca="1">'Balance Sheet'!AC11</f>
        <v>896155787.99774528</v>
      </c>
      <c r="AE22" s="9">
        <f ca="1">'Balance Sheet'!AD11</f>
        <v>951452516.47380698</v>
      </c>
      <c r="AF22" s="9">
        <f ca="1">'Balance Sheet'!AE11</f>
        <v>1015251226.2553271</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38</v>
      </c>
      <c r="C23" s="9">
        <f>C20-C22</f>
        <v>440157332.87606794</v>
      </c>
      <c r="D23" s="9">
        <f t="shared" ref="D23:AF23" ca="1" si="30">D20-D22</f>
        <v>428110554.56822872</v>
      </c>
      <c r="E23" s="9">
        <f t="shared" ca="1" si="30"/>
        <v>426651330.87951964</v>
      </c>
      <c r="F23" s="9">
        <f t="shared" ca="1" si="30"/>
        <v>442160652.97753686</v>
      </c>
      <c r="G23" s="9">
        <f t="shared" ca="1" si="30"/>
        <v>473057095.54462177</v>
      </c>
      <c r="H23" s="9">
        <f t="shared" ca="1" si="30"/>
        <v>512427090.34649199</v>
      </c>
      <c r="I23" s="9">
        <f t="shared" ca="1" si="30"/>
        <v>557223882.00025046</v>
      </c>
      <c r="J23" s="9">
        <f ca="1">J20-J22</f>
        <v>606219102.48653555</v>
      </c>
      <c r="K23" s="9">
        <f t="shared" ca="1" si="30"/>
        <v>660218541.28930306</v>
      </c>
      <c r="L23" s="9">
        <f t="shared" ca="1" si="30"/>
        <v>717236560.91819346</v>
      </c>
      <c r="M23" s="9">
        <f t="shared" ca="1" si="30"/>
        <v>776178133.57929957</v>
      </c>
      <c r="N23" s="9">
        <f t="shared" ca="1" si="30"/>
        <v>837293563.62000191</v>
      </c>
      <c r="O23" s="9">
        <f t="shared" ca="1" si="30"/>
        <v>900862455.99378979</v>
      </c>
      <c r="P23" s="9">
        <f t="shared" ca="1" si="30"/>
        <v>967196374.71878004</v>
      </c>
      <c r="Q23" s="9">
        <f t="shared" ca="1" si="30"/>
        <v>1036641708.2715309</v>
      </c>
      <c r="R23" s="9">
        <f t="shared" ca="1" si="30"/>
        <v>1108539614.934742</v>
      </c>
      <c r="S23" s="9">
        <f t="shared" ca="1" si="30"/>
        <v>1182054630.0581007</v>
      </c>
      <c r="T23" s="9">
        <f t="shared" ca="1" si="30"/>
        <v>1257323647.7205384</v>
      </c>
      <c r="U23" s="9">
        <f t="shared" ca="1" si="30"/>
        <v>1334499233.3654187</v>
      </c>
      <c r="V23" s="9">
        <f t="shared" ca="1" si="30"/>
        <v>1413751007.3513234</v>
      </c>
      <c r="W23" s="9">
        <f t="shared" ca="1" si="30"/>
        <v>1495267130.1072831</v>
      </c>
      <c r="X23" s="9">
        <f t="shared" ca="1" si="30"/>
        <v>1579255895.5464654</v>
      </c>
      <c r="Y23" s="9">
        <f t="shared" ca="1" si="30"/>
        <v>1665947439.7969701</v>
      </c>
      <c r="Z23" s="9">
        <f t="shared" ca="1" si="30"/>
        <v>1755595572.7364523</v>
      </c>
      <c r="AA23" s="9">
        <f t="shared" ca="1" si="30"/>
        <v>1848479740.2700629</v>
      </c>
      <c r="AB23" s="9">
        <f t="shared" ca="1" si="30"/>
        <v>1944907125.7700527</v>
      </c>
      <c r="AC23" s="9">
        <f t="shared" ca="1" si="30"/>
        <v>2038707511.7205744</v>
      </c>
      <c r="AD23" s="9">
        <f t="shared" ca="1" si="30"/>
        <v>2129471763.4238589</v>
      </c>
      <c r="AE23" s="9">
        <f t="shared" ca="1" si="30"/>
        <v>2216762991.4693561</v>
      </c>
      <c r="AF23" s="9">
        <f t="shared" ca="1" si="30"/>
        <v>2300115052.8180847</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166</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33220000</v>
      </c>
      <c r="D5" s="1">
        <f ca="1">C5+C6</f>
        <v>106182727.8359414</v>
      </c>
      <c r="E5" s="1">
        <f t="shared" ref="E5:AF5" ca="1" si="1">D5+D6</f>
        <v>170507211.43765193</v>
      </c>
      <c r="F5" s="1">
        <f t="shared" ca="1" si="1"/>
        <v>219874837.56985217</v>
      </c>
      <c r="G5" s="1">
        <f t="shared" ca="1" si="1"/>
        <v>255931405.5763517</v>
      </c>
      <c r="H5" s="1">
        <f t="shared" ca="1" si="1"/>
        <v>285656917.68642062</v>
      </c>
      <c r="I5" s="1">
        <f t="shared" ca="1" si="1"/>
        <v>312166689.16578341</v>
      </c>
      <c r="J5" s="1">
        <f t="shared" ca="1" si="1"/>
        <v>336759841.83287936</v>
      </c>
      <c r="K5" s="1">
        <f t="shared" ca="1" si="1"/>
        <v>358703604.12440127</v>
      </c>
      <c r="L5" s="1">
        <f t="shared" ca="1" si="1"/>
        <v>380058968.02481759</v>
      </c>
      <c r="M5" s="1">
        <f t="shared" ca="1" si="1"/>
        <v>401998727.1659559</v>
      </c>
      <c r="N5" s="1">
        <f t="shared" ca="1" si="1"/>
        <v>424352831.54516947</v>
      </c>
      <c r="O5" s="1">
        <f t="shared" ca="1" si="1"/>
        <v>446924498.69273508</v>
      </c>
      <c r="P5" s="1">
        <f t="shared" ca="1" si="1"/>
        <v>469487637.39378166</v>
      </c>
      <c r="Q5" s="1">
        <f t="shared" ca="1" si="1"/>
        <v>491784067.10470074</v>
      </c>
      <c r="R5" s="1">
        <f t="shared" ca="1" si="1"/>
        <v>514563660.12959695</v>
      </c>
      <c r="S5" s="1">
        <f t="shared" ca="1" si="1"/>
        <v>538755824.68436491</v>
      </c>
      <c r="T5" s="1">
        <f t="shared" ca="1" si="1"/>
        <v>564320616.44975424</v>
      </c>
      <c r="U5" s="1">
        <f t="shared" ca="1" si="1"/>
        <v>591205522.13439131</v>
      </c>
      <c r="V5" s="1">
        <f t="shared" ca="1" si="1"/>
        <v>619344175.20054865</v>
      </c>
      <c r="W5" s="1">
        <f t="shared" ca="1" si="1"/>
        <v>648654973.16231644</v>
      </c>
      <c r="X5" s="1">
        <f t="shared" ca="1" si="1"/>
        <v>679039589.9038291</v>
      </c>
      <c r="Y5" s="1">
        <f t="shared" ca="1" si="1"/>
        <v>710381376.063802</v>
      </c>
      <c r="Z5" s="1">
        <f t="shared" ca="1" si="1"/>
        <v>742543640.10793233</v>
      </c>
      <c r="AA5" s="1">
        <f t="shared" ca="1" si="1"/>
        <v>775367802.26141036</v>
      </c>
      <c r="AB5" s="1">
        <f t="shared" ca="1" si="1"/>
        <v>808671412.99849534</v>
      </c>
      <c r="AC5" s="1">
        <f t="shared" ca="1" si="1"/>
        <v>848753415.16463518</v>
      </c>
      <c r="AD5" s="1">
        <f t="shared" ca="1" si="1"/>
        <v>896155787.99774528</v>
      </c>
      <c r="AE5" s="1">
        <f t="shared" ca="1" si="1"/>
        <v>951452516.47380698</v>
      </c>
      <c r="AF5" s="1">
        <f t="shared" ca="1" si="1"/>
        <v>1015251226.2553271</v>
      </c>
      <c r="AG5" s="1"/>
      <c r="AH5" s="1"/>
      <c r="AI5" s="1"/>
      <c r="AJ5" s="1"/>
      <c r="AK5" s="1"/>
      <c r="AL5" s="1"/>
      <c r="AM5" s="1"/>
      <c r="AN5" s="1"/>
      <c r="AO5" s="1"/>
      <c r="AP5" s="1"/>
    </row>
    <row r="6" spans="1:42" x14ac:dyDescent="0.35">
      <c r="A6" s="63" t="s">
        <v>3</v>
      </c>
      <c r="C6" s="1">
        <f ca="1">-'Cash Flow'!C13</f>
        <v>72962727.835941404</v>
      </c>
      <c r="D6" s="1">
        <f ca="1">-'Cash Flow'!D13</f>
        <v>64324483.601710521</v>
      </c>
      <c r="E6" s="1">
        <f ca="1">-'Cash Flow'!E13</f>
        <v>49367626.132200256</v>
      </c>
      <c r="F6" s="1">
        <f ca="1">-'Cash Flow'!F13</f>
        <v>36056568.006499521</v>
      </c>
      <c r="G6" s="1">
        <f ca="1">-'Cash Flow'!G13</f>
        <v>29725512.110068932</v>
      </c>
      <c r="H6" s="1">
        <f ca="1">-'Cash Flow'!H13</f>
        <v>26509771.479362756</v>
      </c>
      <c r="I6" s="1">
        <f ca="1">-'Cash Flow'!I13</f>
        <v>24593152.667095974</v>
      </c>
      <c r="J6" s="1">
        <f ca="1">-'Cash Flow'!J13</f>
        <v>21943762.291521892</v>
      </c>
      <c r="K6" s="1">
        <f ca="1">-'Cash Flow'!K13</f>
        <v>21355363.90041633</v>
      </c>
      <c r="L6" s="1">
        <f ca="1">-'Cash Flow'!L13</f>
        <v>21939759.141138345</v>
      </c>
      <c r="M6" s="1">
        <f ca="1">-'Cash Flow'!M13</f>
        <v>22354104.379213572</v>
      </c>
      <c r="N6" s="1">
        <f ca="1">-'Cash Flow'!N13</f>
        <v>22571667.147565618</v>
      </c>
      <c r="O6" s="1">
        <f ca="1">-'Cash Flow'!O13</f>
        <v>22563138.701046556</v>
      </c>
      <c r="P6" s="1">
        <f ca="1">-'Cash Flow'!P13</f>
        <v>22296429.710919082</v>
      </c>
      <c r="Q6" s="1">
        <f ca="1">-'Cash Flow'!Q13</f>
        <v>22779593.024896175</v>
      </c>
      <c r="R6" s="1">
        <f ca="1">-'Cash Flow'!R13</f>
        <v>24192164.554767936</v>
      </c>
      <c r="S6" s="1">
        <f ca="1">-'Cash Flow'!S13</f>
        <v>25564791.765389323</v>
      </c>
      <c r="T6" s="1">
        <f ca="1">-'Cash Flow'!T13</f>
        <v>26884905.6846371</v>
      </c>
      <c r="U6" s="1">
        <f ca="1">-'Cash Flow'!U13</f>
        <v>28138653.066157341</v>
      </c>
      <c r="V6" s="1">
        <f ca="1">-'Cash Flow'!V13</f>
        <v>29310797.961767793</v>
      </c>
      <c r="W6" s="1">
        <f ca="1">-'Cash Flow'!W13</f>
        <v>30384616.741512716</v>
      </c>
      <c r="X6" s="1">
        <f ca="1">-'Cash Flow'!X13</f>
        <v>31341786.159972847</v>
      </c>
      <c r="Y6" s="1">
        <f ca="1">-'Cash Flow'!Y13</f>
        <v>32162264.044130296</v>
      </c>
      <c r="Z6" s="1">
        <f ca="1">-'Cash Flow'!Z13</f>
        <v>32824162.153477997</v>
      </c>
      <c r="AA6" s="1">
        <f ca="1">-'Cash Flow'!AA13</f>
        <v>33303610.737084985</v>
      </c>
      <c r="AB6" s="1">
        <f ca="1">-'Cash Flow'!AB13</f>
        <v>40082002.166139841</v>
      </c>
      <c r="AC6" s="1">
        <f ca="1">-'Cash Flow'!AC13</f>
        <v>47402372.833110094</v>
      </c>
      <c r="AD6" s="1">
        <f ca="1">-'Cash Flow'!AD13</f>
        <v>55296728.476061702</v>
      </c>
      <c r="AE6" s="1">
        <f ca="1">-'Cash Flow'!AE13</f>
        <v>63798709.781520128</v>
      </c>
      <c r="AF6" s="1">
        <f ca="1">-'Cash Flow'!AF13</f>
        <v>72943669.247368544</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3716395.4742579493</v>
      </c>
      <c r="D8" s="1">
        <f ca="1">IF(SUM(D5:D6)&gt;0,Assumptions!$C$26*SUM(D5:D6),Assumptions!$C$27*(SUM(D5:D6)))</f>
        <v>5967752.4003178179</v>
      </c>
      <c r="E8" s="1">
        <f ca="1">IF(SUM(E5:E6)&gt;0,Assumptions!$C$26*SUM(E5:E6),Assumptions!$C$27*(SUM(E5:E6)))</f>
        <v>7695619.314944827</v>
      </c>
      <c r="F8" s="1">
        <f ca="1">IF(SUM(F5:F6)&gt;0,Assumptions!$C$26*SUM(F5:F6),Assumptions!$C$27*(SUM(F5:F6)))</f>
        <v>8957599.1951723099</v>
      </c>
      <c r="G8" s="1">
        <f ca="1">IF(SUM(G5:G6)&gt;0,Assumptions!$C$26*SUM(G5:G6),Assumptions!$C$27*(SUM(G5:G6)))</f>
        <v>9997992.1190247219</v>
      </c>
      <c r="H8" s="1">
        <f ca="1">IF(SUM(H5:H6)&gt;0,Assumptions!$C$26*SUM(H5:H6),Assumptions!$C$27*(SUM(H5:H6)))</f>
        <v>10925834.120802421</v>
      </c>
      <c r="I8" s="1">
        <f ca="1">IF(SUM(I5:I6)&gt;0,Assumptions!$C$26*SUM(I5:I6),Assumptions!$C$27*(SUM(I5:I6)))</f>
        <v>11786594.464150779</v>
      </c>
      <c r="J8" s="1">
        <f ca="1">IF(SUM(J5:J6)&gt;0,Assumptions!$C$26*SUM(J5:J6),Assumptions!$C$27*(SUM(J5:J6)))</f>
        <v>12554626.144354045</v>
      </c>
      <c r="K8" s="1">
        <f ca="1">IF(SUM(K5:K6)&gt;0,Assumptions!$C$26*SUM(K5:K6),Assumptions!$C$27*(SUM(K5:K6)))</f>
        <v>13302063.880868617</v>
      </c>
      <c r="L8" s="1">
        <f ca="1">IF(SUM(L5:L6)&gt;0,Assumptions!$C$26*SUM(L5:L6),Assumptions!$C$27*(SUM(L5:L6)))</f>
        <v>14069955.450808458</v>
      </c>
      <c r="M8" s="1">
        <f ca="1">IF(SUM(M5:M6)&gt;0,Assumptions!$C$26*SUM(M5:M6),Assumptions!$C$27*(SUM(M5:M6)))</f>
        <v>14852349.104080932</v>
      </c>
      <c r="N8" s="1">
        <f ca="1">IF(SUM(N5:N6)&gt;0,Assumptions!$C$26*SUM(N5:N6),Assumptions!$C$27*(SUM(N5:N6)))</f>
        <v>15642357.454245729</v>
      </c>
      <c r="O8" s="1">
        <f ca="1">IF(SUM(O5:O6)&gt;0,Assumptions!$C$26*SUM(O5:O6),Assumptions!$C$27*(SUM(O5:O6)))</f>
        <v>16432067.30878236</v>
      </c>
      <c r="P8" s="1">
        <f ca="1">IF(SUM(P5:P6)&gt;0,Assumptions!$C$26*SUM(P5:P6),Assumptions!$C$27*(SUM(P5:P6)))</f>
        <v>17212442.348664526</v>
      </c>
      <c r="Q8" s="1">
        <f ca="1">IF(SUM(Q5:Q6)&gt;0,Assumptions!$C$26*SUM(Q5:Q6),Assumptions!$C$27*(SUM(Q5:Q6)))</f>
        <v>18009728.104535896</v>
      </c>
      <c r="R8" s="1">
        <f ca="1">IF(SUM(R5:R6)&gt;0,Assumptions!$C$26*SUM(R5:R6),Assumptions!$C$27*(SUM(R5:R6)))</f>
        <v>18856453.863952775</v>
      </c>
      <c r="S8" s="1">
        <f ca="1">IF(SUM(S5:S6)&gt;0,Assumptions!$C$26*SUM(S5:S6),Assumptions!$C$27*(SUM(S5:S6)))</f>
        <v>19751221.575741399</v>
      </c>
      <c r="T8" s="1">
        <f ca="1">IF(SUM(T5:T6)&gt;0,Assumptions!$C$26*SUM(T5:T6),Assumptions!$C$27*(SUM(T5:T6)))</f>
        <v>20692193.274703696</v>
      </c>
      <c r="U8" s="1">
        <f ca="1">IF(SUM(U5:U6)&gt;0,Assumptions!$C$26*SUM(U5:U6),Assumptions!$C$27*(SUM(U5:U6)))</f>
        <v>21677046.132019203</v>
      </c>
      <c r="V8" s="1">
        <f ca="1">IF(SUM(V5:V6)&gt;0,Assumptions!$C$26*SUM(V5:V6),Assumptions!$C$27*(SUM(V5:V6)))</f>
        <v>22702924.060681079</v>
      </c>
      <c r="W8" s="1">
        <f ca="1">IF(SUM(W5:W6)&gt;0,Assumptions!$C$26*SUM(W5:W6),Assumptions!$C$27*(SUM(W5:W6)))</f>
        <v>23766385.64663402</v>
      </c>
      <c r="X8" s="1">
        <f ca="1">IF(SUM(X5:X6)&gt;0,Assumptions!$C$26*SUM(X5:X6),Assumptions!$C$27*(SUM(X5:X6)))</f>
        <v>24863348.162233073</v>
      </c>
      <c r="Y8" s="1">
        <f ca="1">IF(SUM(Y5:Y6)&gt;0,Assumptions!$C$26*SUM(Y5:Y6),Assumptions!$C$27*(SUM(Y5:Y6)))</f>
        <v>25989027.403777633</v>
      </c>
      <c r="Z8" s="1">
        <f ca="1">IF(SUM(Z5:Z6)&gt;0,Assumptions!$C$26*SUM(Z5:Z6),Assumptions!$C$27*(SUM(Z5:Z6)))</f>
        <v>27137873.079149365</v>
      </c>
      <c r="AA8" s="1">
        <f ca="1">IF(SUM(AA5:AA6)&gt;0,Assumptions!$C$26*SUM(AA5:AA6),Assumptions!$C$27*(SUM(AA5:AA6)))</f>
        <v>28303499.454947341</v>
      </c>
      <c r="AB8" s="1">
        <f ca="1">IF(SUM(AB5:AB6)&gt;0,Assumptions!$C$26*SUM(AB5:AB6),Assumptions!$C$27*(SUM(AB5:AB6)))</f>
        <v>29706369.530762233</v>
      </c>
      <c r="AC8" s="1">
        <f ca="1">IF(SUM(AC5:AC6)&gt;0,Assumptions!$C$26*SUM(AC5:AC6),Assumptions!$C$27*(SUM(AC5:AC6)))</f>
        <v>31365452.579921089</v>
      </c>
      <c r="AD8" s="1">
        <f ca="1">IF(SUM(AD5:AD6)&gt;0,Assumptions!$C$26*SUM(AD5:AD6),Assumptions!$C$27*(SUM(AD5:AD6)))</f>
        <v>33300838.076583248</v>
      </c>
      <c r="AE8" s="1">
        <f ca="1">IF(SUM(AE5:AE6)&gt;0,Assumptions!$C$26*SUM(AE5:AE6),Assumptions!$C$27*(SUM(AE5:AE6)))</f>
        <v>35533792.918936454</v>
      </c>
      <c r="AF8" s="1">
        <f ca="1">IF(SUM(AF5:AF6)&gt;0,Assumptions!$C$26*SUM(AF5:AF6),Assumptions!$C$27*(SUM(AF5:AF6)))</f>
        <v>38086821.342594348</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zoomScale="80" zoomScaleNormal="80" workbookViewId="0">
      <selection sqref="A1:XFD1048576"/>
    </sheetView>
  </sheetViews>
  <sheetFormatPr defaultRowHeight="15.5" x14ac:dyDescent="0.35"/>
  <cols>
    <col min="1" max="16384" width="8.6640625" style="174"/>
  </cols>
  <sheetData>
    <row r="1" spans="1:1" x14ac:dyDescent="0.35">
      <c r="A1" s="175" t="s">
        <v>176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2"/>
  <sheetViews>
    <sheetView zoomScale="80" zoomScaleNormal="80" workbookViewId="0">
      <selection sqref="A1:XFD1048576"/>
    </sheetView>
  </sheetViews>
  <sheetFormatPr defaultRowHeight="15.5" x14ac:dyDescent="0.35"/>
  <cols>
    <col min="1" max="1" width="107.9140625" style="63" customWidth="1"/>
    <col min="2" max="2" width="18.1640625" style="63" bestFit="1" customWidth="1"/>
    <col min="3" max="3" width="60.6640625" style="63" customWidth="1"/>
    <col min="4" max="16384" width="8.6640625" style="63"/>
  </cols>
  <sheetData>
    <row r="1" spans="1:3" ht="26" x14ac:dyDescent="0.6">
      <c r="A1" s="13" t="s">
        <v>186</v>
      </c>
    </row>
    <row r="2" spans="1:3" ht="26" x14ac:dyDescent="0.6">
      <c r="A2" s="13"/>
    </row>
    <row r="3" spans="1:3" ht="186" x14ac:dyDescent="0.35">
      <c r="A3" s="173" t="s">
        <v>189</v>
      </c>
    </row>
    <row r="4" spans="1:3" ht="26" x14ac:dyDescent="0.6">
      <c r="A4" s="13"/>
    </row>
    <row r="5" spans="1:3" ht="18.5" x14ac:dyDescent="0.45">
      <c r="A5" s="89" t="s">
        <v>178</v>
      </c>
      <c r="B5" s="90"/>
    </row>
    <row r="6" spans="1:3" ht="18.5" x14ac:dyDescent="0.45">
      <c r="A6" s="90"/>
      <c r="B6" s="90"/>
    </row>
    <row r="7" spans="1:3" ht="18.5" x14ac:dyDescent="0.45">
      <c r="A7" s="90" t="s">
        <v>97</v>
      </c>
      <c r="B7" s="91">
        <f>Assumptions!C24</f>
        <v>15382983</v>
      </c>
      <c r="C7" s="180" t="s">
        <v>136</v>
      </c>
    </row>
    <row r="8" spans="1:3" ht="34" x14ac:dyDescent="0.45">
      <c r="A8" s="90" t="s">
        <v>175</v>
      </c>
      <c r="B8" s="92">
        <f>Assumptions!$C$133</f>
        <v>0.7</v>
      </c>
      <c r="C8" s="180" t="s">
        <v>199</v>
      </c>
    </row>
    <row r="9" spans="1:3" ht="18.5" x14ac:dyDescent="0.45">
      <c r="A9" s="90"/>
      <c r="B9" s="93"/>
      <c r="C9" s="180"/>
    </row>
    <row r="10" spans="1:3" ht="68" x14ac:dyDescent="0.45">
      <c r="A10" s="94" t="s">
        <v>103</v>
      </c>
      <c r="B10" s="95">
        <f>Assumptions!C135</f>
        <v>9629.7314814814818</v>
      </c>
      <c r="C10" s="180" t="s">
        <v>200</v>
      </c>
    </row>
    <row r="11" spans="1:3" ht="18.5" x14ac:dyDescent="0.45">
      <c r="A11" s="94"/>
      <c r="B11" s="94"/>
      <c r="C11" s="180"/>
    </row>
    <row r="12" spans="1:3" ht="18.5" x14ac:dyDescent="0.45">
      <c r="A12" s="94" t="s">
        <v>185</v>
      </c>
      <c r="B12" s="91">
        <f>(B7*B8)/B10</f>
        <v>1118.2127062117611</v>
      </c>
      <c r="C12" s="180"/>
    </row>
    <row r="13" spans="1:3" ht="18.5" x14ac:dyDescent="0.45">
      <c r="A13" s="96"/>
      <c r="B13" s="97"/>
      <c r="C13" s="180"/>
    </row>
    <row r="14" spans="1:3" ht="18.5" x14ac:dyDescent="0.45">
      <c r="A14" s="94" t="s">
        <v>104</v>
      </c>
      <c r="B14" s="98">
        <v>1</v>
      </c>
      <c r="C14" s="180"/>
    </row>
    <row r="15" spans="1:3" ht="18.5" x14ac:dyDescent="0.45">
      <c r="A15" s="96"/>
      <c r="B15" s="99"/>
      <c r="C15" s="180"/>
    </row>
    <row r="16" spans="1:3" ht="18.5" x14ac:dyDescent="0.45">
      <c r="A16" s="96" t="s">
        <v>180</v>
      </c>
      <c r="B16" s="100">
        <f>B12/B14</f>
        <v>1118.2127062117611</v>
      </c>
      <c r="C16" s="180"/>
    </row>
    <row r="17" spans="1:3" ht="18.5" x14ac:dyDescent="0.45">
      <c r="A17" s="94"/>
      <c r="B17" s="101"/>
      <c r="C17" s="180"/>
    </row>
    <row r="18" spans="1:3" ht="18.5" x14ac:dyDescent="0.45">
      <c r="A18" s="102" t="s">
        <v>179</v>
      </c>
      <c r="B18" s="101"/>
      <c r="C18" s="180"/>
    </row>
    <row r="19" spans="1:3" ht="18.5" x14ac:dyDescent="0.45">
      <c r="A19" s="94"/>
      <c r="B19" s="101"/>
      <c r="C19" s="180"/>
    </row>
    <row r="20" spans="1:3" ht="34" x14ac:dyDescent="0.45">
      <c r="A20" s="94" t="s">
        <v>66</v>
      </c>
      <c r="B20" s="91">
        <f>'Profit and Loss'!L5</f>
        <v>157300183.87828711</v>
      </c>
      <c r="C20" s="180" t="s">
        <v>201</v>
      </c>
    </row>
    <row r="21" spans="1:3" ht="34" x14ac:dyDescent="0.45">
      <c r="A21" s="94" t="str">
        <f>A8</f>
        <v>Assumed revenue from households</v>
      </c>
      <c r="B21" s="92">
        <f>B8</f>
        <v>0.7</v>
      </c>
      <c r="C21" s="180" t="s">
        <v>199</v>
      </c>
    </row>
    <row r="22" spans="1:3" ht="18.5" x14ac:dyDescent="0.45">
      <c r="A22" s="94"/>
      <c r="B22" s="94"/>
      <c r="C22" s="180"/>
    </row>
    <row r="23" spans="1:3" ht="34" x14ac:dyDescent="0.45">
      <c r="A23" s="94" t="s">
        <v>102</v>
      </c>
      <c r="B23" s="95">
        <f>Assumptions!M135</f>
        <v>10676.835402348532</v>
      </c>
      <c r="C23" s="180" t="s">
        <v>202</v>
      </c>
    </row>
    <row r="24" spans="1:3" ht="18.5" x14ac:dyDescent="0.45">
      <c r="A24" s="94"/>
      <c r="B24" s="94"/>
      <c r="C24" s="180"/>
    </row>
    <row r="25" spans="1:3" ht="18.5" x14ac:dyDescent="0.45">
      <c r="A25" s="94" t="s">
        <v>184</v>
      </c>
      <c r="B25" s="91">
        <f>(B20*B21)/B23</f>
        <v>10312.992995151033</v>
      </c>
      <c r="C25" s="180"/>
    </row>
    <row r="26" spans="1:3" ht="18.5" x14ac:dyDescent="0.45">
      <c r="A26" s="94"/>
      <c r="B26" s="91"/>
      <c r="C26" s="180"/>
    </row>
    <row r="27" spans="1:3" ht="34" x14ac:dyDescent="0.45">
      <c r="A27" s="94" t="s">
        <v>104</v>
      </c>
      <c r="B27" s="103">
        <f>1.022^11</f>
        <v>1.2704566586717592</v>
      </c>
      <c r="C27" s="180" t="s">
        <v>203</v>
      </c>
    </row>
    <row r="28" spans="1:3" ht="18.5" x14ac:dyDescent="0.45">
      <c r="A28" s="96"/>
      <c r="B28" s="97"/>
      <c r="C28" s="180"/>
    </row>
    <row r="29" spans="1:3" ht="18.5" x14ac:dyDescent="0.45">
      <c r="A29" s="96" t="s">
        <v>181</v>
      </c>
      <c r="B29" s="91">
        <f>B25/B27</f>
        <v>8117.5480680569553</v>
      </c>
      <c r="C29" s="180"/>
    </row>
    <row r="30" spans="1:3" ht="18.5" x14ac:dyDescent="0.45">
      <c r="A30" s="96"/>
      <c r="B30" s="97"/>
      <c r="C30" s="180"/>
    </row>
    <row r="31" spans="1:3" ht="18.5" x14ac:dyDescent="0.45">
      <c r="A31" s="102" t="s">
        <v>187</v>
      </c>
      <c r="B31" s="96"/>
      <c r="C31" s="180"/>
    </row>
    <row r="32" spans="1:3" ht="18.5" x14ac:dyDescent="0.45">
      <c r="A32" s="94"/>
      <c r="B32" s="91"/>
      <c r="C32" s="180"/>
    </row>
    <row r="33" spans="1:3" ht="34" x14ac:dyDescent="0.45">
      <c r="A33" s="94" t="s">
        <v>67</v>
      </c>
      <c r="B33" s="91">
        <f>'Profit and Loss'!AF5</f>
        <v>405366009.34577239</v>
      </c>
      <c r="C33" s="180" t="s">
        <v>201</v>
      </c>
    </row>
    <row r="34" spans="1:3" ht="34" x14ac:dyDescent="0.45">
      <c r="A34" s="94" t="str">
        <f>A21</f>
        <v>Assumed revenue from households</v>
      </c>
      <c r="B34" s="92">
        <f>B21</f>
        <v>0.7</v>
      </c>
      <c r="C34" s="180" t="s">
        <v>199</v>
      </c>
    </row>
    <row r="35" spans="1:3" ht="18.5" x14ac:dyDescent="0.45">
      <c r="A35" s="94"/>
      <c r="B35" s="94"/>
      <c r="C35" s="180"/>
    </row>
    <row r="36" spans="1:3" ht="34" x14ac:dyDescent="0.45">
      <c r="A36" s="94" t="s">
        <v>101</v>
      </c>
      <c r="B36" s="95">
        <f>Assumptions!AG135</f>
        <v>13124.999274334419</v>
      </c>
      <c r="C36" s="180" t="s">
        <v>202</v>
      </c>
    </row>
    <row r="37" spans="1:3" ht="18.5" x14ac:dyDescent="0.45">
      <c r="A37" s="94"/>
      <c r="B37" s="94"/>
      <c r="C37" s="180"/>
    </row>
    <row r="38" spans="1:3" ht="18.5" x14ac:dyDescent="0.45">
      <c r="A38" s="94" t="s">
        <v>183</v>
      </c>
      <c r="B38" s="91">
        <f>(B33*B34)/B36</f>
        <v>21619.521693758736</v>
      </c>
      <c r="C38" s="180"/>
    </row>
    <row r="39" spans="1:3" ht="18.5" x14ac:dyDescent="0.45">
      <c r="A39" s="94"/>
      <c r="B39" s="94"/>
      <c r="C39" s="180"/>
    </row>
    <row r="40" spans="1:3" ht="34" x14ac:dyDescent="0.45">
      <c r="A40" s="94" t="s">
        <v>104</v>
      </c>
      <c r="B40" s="103">
        <f>1.022^31</f>
        <v>1.9632597808456462</v>
      </c>
      <c r="C40" s="180" t="s">
        <v>203</v>
      </c>
    </row>
    <row r="41" spans="1:3" ht="18.5" x14ac:dyDescent="0.45">
      <c r="A41" s="96"/>
      <c r="B41" s="97"/>
    </row>
    <row r="42" spans="1:3" ht="18.5" x14ac:dyDescent="0.45">
      <c r="A42" s="96" t="s">
        <v>182</v>
      </c>
      <c r="B42" s="91">
        <f>B38/B40</f>
        <v>11012.053475901408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zoomScale="80" zoomScaleNormal="80" workbookViewId="0">
      <selection sqref="A1:XFD1048576"/>
    </sheetView>
  </sheetViews>
  <sheetFormatPr defaultRowHeight="15.5" x14ac:dyDescent="0.35"/>
  <cols>
    <col min="1" max="16384" width="8.6640625" style="174"/>
  </cols>
  <sheetData>
    <row r="1" spans="1:1" x14ac:dyDescent="0.35">
      <c r="A1" s="175"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80" zoomScaleNormal="80" workbookViewId="0">
      <pane ySplit="4" topLeftCell="A88" activePane="bottomLeft" state="frozen"/>
      <selection sqref="A1:XFD1048576"/>
      <selection pane="bottomLeft" sqref="A1:XFD1048576"/>
    </sheetView>
  </sheetViews>
  <sheetFormatPr defaultColWidth="10.83203125" defaultRowHeight="15.5" x14ac:dyDescent="0.35"/>
  <cols>
    <col min="1" max="1" width="89.9140625" style="76" bestFit="1" customWidth="1"/>
    <col min="2" max="2" width="84.5" style="76"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161</v>
      </c>
    </row>
    <row r="2" spans="1:33" ht="26.5" thickBot="1" x14ac:dyDescent="0.4">
      <c r="A2" s="111"/>
      <c r="B2" s="111"/>
      <c r="D2" s="112"/>
    </row>
    <row r="3" spans="1:33" s="114" customFormat="1" ht="21.5" thickBot="1" x14ac:dyDescent="0.4">
      <c r="A3" s="84"/>
      <c r="B3" s="84"/>
      <c r="C3" s="113"/>
      <c r="D3" s="181" t="s">
        <v>28</v>
      </c>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row>
    <row r="4" spans="1:33" s="120" customFormat="1" ht="16" thickBot="1" x14ac:dyDescent="0.4">
      <c r="A4" s="115" t="s">
        <v>26</v>
      </c>
      <c r="B4" s="115" t="s">
        <v>196</v>
      </c>
      <c r="C4" s="116" t="s">
        <v>27</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29</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30</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63</v>
      </c>
      <c r="B9" s="78" t="s">
        <v>129</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64</v>
      </c>
      <c r="B11" s="78" t="s">
        <v>129</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32</v>
      </c>
      <c r="B13" s="106" t="s">
        <v>138</v>
      </c>
      <c r="C13" s="127">
        <v>1.0375570496765185E-2</v>
      </c>
      <c r="D13" s="128">
        <f t="shared" ref="D13:AG13" si="3">(1+$C$13)^D8</f>
        <v>1.0103755704967652</v>
      </c>
      <c r="E13" s="128">
        <f t="shared" si="3"/>
        <v>1.0208587934566637</v>
      </c>
      <c r="F13" s="128">
        <f t="shared" si="3"/>
        <v>1.0314507858354161</v>
      </c>
      <c r="G13" s="128">
        <f t="shared" si="3"/>
        <v>1.0421526761777953</v>
      </c>
      <c r="H13" s="128">
        <f t="shared" si="3"/>
        <v>1.0529656047378706</v>
      </c>
      <c r="I13" s="128">
        <f t="shared" si="3"/>
        <v>1.0638907236004973</v>
      </c>
      <c r="J13" s="128">
        <f t="shared" si="3"/>
        <v>1.0749291968040688</v>
      </c>
      <c r="K13" s="128">
        <f t="shared" si="3"/>
        <v>1.0860822004645407</v>
      </c>
      <c r="L13" s="128">
        <f t="shared" si="3"/>
        <v>1.0973509229007425</v>
      </c>
      <c r="M13" s="128">
        <f t="shared" si="3"/>
        <v>1.1087365647609895</v>
      </c>
      <c r="N13" s="128">
        <f t="shared" si="3"/>
        <v>1.1202403391510085</v>
      </c>
      <c r="O13" s="128">
        <f t="shared" si="3"/>
        <v>1.1318634717631899</v>
      </c>
      <c r="P13" s="128">
        <f t="shared" si="3"/>
        <v>1.1436072010071823</v>
      </c>
      <c r="Q13" s="128">
        <f t="shared" si="3"/>
        <v>1.1554727781418406</v>
      </c>
      <c r="R13" s="128">
        <f t="shared" si="3"/>
        <v>1.1674614674085444</v>
      </c>
      <c r="S13" s="128">
        <f t="shared" si="3"/>
        <v>1.1795745461658989</v>
      </c>
      <c r="T13" s="128">
        <f t="shared" si="3"/>
        <v>1.1918133050258328</v>
      </c>
      <c r="U13" s="128">
        <f t="shared" si="3"/>
        <v>1.2041790479911112</v>
      </c>
      <c r="V13" s="128">
        <f t="shared" si="3"/>
        <v>1.2166730925942706</v>
      </c>
      <c r="W13" s="128">
        <f t="shared" si="3"/>
        <v>1.2292967700379998</v>
      </c>
      <c r="X13" s="128">
        <f t="shared" si="3"/>
        <v>1.242051425336975</v>
      </c>
      <c r="Y13" s="128">
        <f t="shared" si="3"/>
        <v>1.2549384174611664</v>
      </c>
      <c r="Z13" s="128">
        <f t="shared" si="3"/>
        <v>1.2679591194806337</v>
      </c>
      <c r="AA13" s="128">
        <f t="shared" si="3"/>
        <v>1.2811149187118214</v>
      </c>
      <c r="AB13" s="128">
        <f t="shared" si="3"/>
        <v>1.2944072168653737</v>
      </c>
      <c r="AC13" s="128">
        <f t="shared" si="3"/>
        <v>1.3078374301954818</v>
      </c>
      <c r="AD13" s="128">
        <f t="shared" si="3"/>
        <v>1.3214069896507834</v>
      </c>
      <c r="AE13" s="128">
        <f t="shared" si="3"/>
        <v>1.3351173410268233</v>
      </c>
      <c r="AF13" s="128">
        <f t="shared" si="3"/>
        <v>1.3489699451201009</v>
      </c>
      <c r="AG13" s="128">
        <f t="shared" si="3"/>
        <v>1.3629662778837119</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193</v>
      </c>
      <c r="B15" s="178" t="s">
        <v>194</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131</v>
      </c>
      <c r="B17" s="77" t="s">
        <v>171</v>
      </c>
      <c r="C17" s="136">
        <f>AVERAGE(C49:C50)</f>
        <v>828700499.99999988</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125</v>
      </c>
      <c r="C18" s="136">
        <f>C17/2</f>
        <v>414350249.99999994</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65</v>
      </c>
      <c r="B20" s="77" t="s">
        <v>137</v>
      </c>
      <c r="C20" s="137">
        <v>33220000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159</v>
      </c>
      <c r="B22" s="178" t="s">
        <v>194</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136</v>
      </c>
      <c r="C24" s="136">
        <v>15382983</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198</v>
      </c>
      <c r="C25" s="136">
        <v>20879034</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129</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47</v>
      </c>
      <c r="B27" s="78" t="s">
        <v>129</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51</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52</v>
      </c>
      <c r="B31" s="70" t="s">
        <v>130</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53</v>
      </c>
      <c r="B32" s="70" t="s">
        <v>130</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ht="31" x14ac:dyDescent="0.35">
      <c r="A33" s="81" t="s">
        <v>105</v>
      </c>
      <c r="B33" s="82" t="s">
        <v>127</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54</v>
      </c>
      <c r="B35" s="69" t="s">
        <v>128</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55</v>
      </c>
      <c r="B36" s="69" t="s">
        <v>128</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56</v>
      </c>
      <c r="B37" s="69" t="s">
        <v>128</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57</v>
      </c>
      <c r="B39" s="69" t="s">
        <v>128</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58</v>
      </c>
      <c r="B40" s="69" t="s">
        <v>128</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59</v>
      </c>
      <c r="B41" s="69" t="s">
        <v>128</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60</v>
      </c>
      <c r="B43" s="69" t="s">
        <v>87</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61</v>
      </c>
      <c r="B44" s="69" t="s">
        <v>87</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88</v>
      </c>
      <c r="B45" s="69" t="s">
        <v>87</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160</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107</v>
      </c>
      <c r="B49" s="77" t="s">
        <v>134</v>
      </c>
      <c r="C49" s="71">
        <v>499643000</v>
      </c>
      <c r="D49" s="140" t="s">
        <v>168</v>
      </c>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108</v>
      </c>
      <c r="B50" s="77" t="s">
        <v>135</v>
      </c>
      <c r="C50" s="71">
        <v>1157757999.9999998</v>
      </c>
      <c r="D50" s="140" t="s">
        <v>168</v>
      </c>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120</v>
      </c>
      <c r="B52" s="77" t="s">
        <v>115</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121</v>
      </c>
      <c r="B53" s="77" t="s">
        <v>115</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119</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109</v>
      </c>
      <c r="B56" s="77" t="s">
        <v>172</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110</v>
      </c>
      <c r="B57" s="77" t="s">
        <v>172</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111</v>
      </c>
      <c r="B58" s="69" t="s">
        <v>87</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117</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109</v>
      </c>
      <c r="B61" s="77" t="s">
        <v>115</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110</v>
      </c>
      <c r="B62" s="77" t="s">
        <v>115</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111</v>
      </c>
      <c r="B63" s="69" t="s">
        <v>87</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116</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109</v>
      </c>
      <c r="B66" s="86" t="s">
        <v>87</v>
      </c>
      <c r="C66" s="71">
        <f>C49*C52/C57</f>
        <v>1475717.5398310744</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110</v>
      </c>
      <c r="B67" s="86" t="s">
        <v>87</v>
      </c>
      <c r="C67" s="71">
        <f>C50*C52/C56</f>
        <v>4836144.8510761913</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111</v>
      </c>
      <c r="B68" s="86" t="s">
        <v>87</v>
      </c>
      <c r="C68" s="145">
        <f>AVERAGE(C66:C67)</f>
        <v>3155931.1954536326</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118</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109</v>
      </c>
      <c r="B71" s="86" t="s">
        <v>87</v>
      </c>
      <c r="C71" s="71">
        <f>C49*C53/C62</f>
        <v>4022394.0991073949</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110</v>
      </c>
      <c r="B72" s="86" t="s">
        <v>87</v>
      </c>
      <c r="C72" s="71">
        <f>C50*C53/C61</f>
        <v>12401901.298575725</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111</v>
      </c>
      <c r="B73" s="86" t="s">
        <v>87</v>
      </c>
      <c r="C73" s="145">
        <f>AVERAGE(C71:C72)</f>
        <v>8212147.6988415606</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112</v>
      </c>
      <c r="B75" s="70" t="s">
        <v>122</v>
      </c>
      <c r="C75" s="71">
        <f>C67+C73</f>
        <v>13048292.549917752</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x14ac:dyDescent="0.35">
      <c r="A77" s="69" t="s">
        <v>141</v>
      </c>
      <c r="B77" s="179" t="s">
        <v>177</v>
      </c>
      <c r="C77" s="87">
        <v>0</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142</v>
      </c>
      <c r="B79" s="69" t="s">
        <v>155</v>
      </c>
      <c r="C79" s="87">
        <v>1736176208.2848775</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143</v>
      </c>
      <c r="B80" s="69" t="s">
        <v>155</v>
      </c>
      <c r="C80" s="87">
        <v>1695630935.6725638</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144</v>
      </c>
      <c r="B82" s="69" t="s">
        <v>87</v>
      </c>
      <c r="C82" s="87">
        <f>C79+$C$77</f>
        <v>1736176208.2848775</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145</v>
      </c>
      <c r="B83" s="69" t="s">
        <v>87</v>
      </c>
      <c r="C83" s="87">
        <f>C80+$C$77</f>
        <v>1695630935.6725638</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150</v>
      </c>
      <c r="B85" s="69" t="s">
        <v>132</v>
      </c>
      <c r="C85" s="150">
        <v>22360</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151</v>
      </c>
      <c r="B86" s="69" t="s">
        <v>133</v>
      </c>
      <c r="C86" s="150">
        <v>29640.55</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114</v>
      </c>
      <c r="B87" s="69" t="s">
        <v>87</v>
      </c>
      <c r="C87" s="150">
        <f>AVERAGE(C85:C86)</f>
        <v>26000.275000000001</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146</v>
      </c>
      <c r="B89" s="69" t="s">
        <v>87</v>
      </c>
      <c r="C89" s="150">
        <f>C82/$C$87</f>
        <v>66775.301733726956</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146</v>
      </c>
      <c r="B90" s="69" t="s">
        <v>87</v>
      </c>
      <c r="C90" s="150">
        <f>C83/$C$87</f>
        <v>65215.88466554926</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147</v>
      </c>
      <c r="B92" s="69" t="s">
        <v>154</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148</v>
      </c>
      <c r="B94" s="69" t="s">
        <v>87</v>
      </c>
      <c r="C94" s="87">
        <f>IF(C89&lt;$C$92,C89*$C$87,$C$92*$C$87)</f>
        <v>1736176208.2848778</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149</v>
      </c>
      <c r="B95" s="69" t="s">
        <v>87</v>
      </c>
      <c r="C95" s="87">
        <f>IF(C90&lt;$C$92,C90*$C$87,$C$92*$C$87)</f>
        <v>1695630935.6725638</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153</v>
      </c>
      <c r="B96" s="69" t="s">
        <v>87</v>
      </c>
      <c r="C96" s="87">
        <f>AVERAGE(C94:C95)</f>
        <v>1715903571.9787207</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99</v>
      </c>
      <c r="B98" s="69"/>
      <c r="C98" s="71">
        <v>1715903571.9787207</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49</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50</v>
      </c>
      <c r="B102" s="69" t="s">
        <v>87</v>
      </c>
      <c r="C102" s="71">
        <f>C96/C100</f>
        <v>57196785.732624024</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41</v>
      </c>
      <c r="B104" s="70" t="s">
        <v>205</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42</v>
      </c>
      <c r="B105" s="70" t="s">
        <v>204</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43</v>
      </c>
      <c r="B106" s="69" t="s">
        <v>170</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44</v>
      </c>
      <c r="B107" s="69" t="s">
        <v>170</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113</v>
      </c>
      <c r="B109" s="69" t="s">
        <v>126</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68</v>
      </c>
      <c r="B111" s="69" t="s">
        <v>128</v>
      </c>
      <c r="C111" s="71"/>
      <c r="D111" s="149">
        <f t="shared" ref="D111:AG111" si="9">$C$75</f>
        <v>13048292.549917752</v>
      </c>
      <c r="E111" s="149">
        <f t="shared" si="9"/>
        <v>13048292.549917752</v>
      </c>
      <c r="F111" s="149">
        <f t="shared" si="9"/>
        <v>13048292.549917752</v>
      </c>
      <c r="G111" s="149">
        <f t="shared" si="9"/>
        <v>13048292.549917752</v>
      </c>
      <c r="H111" s="149">
        <f t="shared" si="9"/>
        <v>13048292.549917752</v>
      </c>
      <c r="I111" s="149">
        <f t="shared" si="9"/>
        <v>13048292.549917752</v>
      </c>
      <c r="J111" s="149">
        <f t="shared" si="9"/>
        <v>13048292.549917752</v>
      </c>
      <c r="K111" s="149">
        <f t="shared" si="9"/>
        <v>13048292.549917752</v>
      </c>
      <c r="L111" s="149">
        <f t="shared" si="9"/>
        <v>13048292.549917752</v>
      </c>
      <c r="M111" s="149">
        <f t="shared" si="9"/>
        <v>13048292.549917752</v>
      </c>
      <c r="N111" s="149">
        <f t="shared" si="9"/>
        <v>13048292.549917752</v>
      </c>
      <c r="O111" s="149">
        <f t="shared" si="9"/>
        <v>13048292.549917752</v>
      </c>
      <c r="P111" s="149">
        <f t="shared" si="9"/>
        <v>13048292.549917752</v>
      </c>
      <c r="Q111" s="149">
        <f t="shared" si="9"/>
        <v>13048292.549917752</v>
      </c>
      <c r="R111" s="149">
        <f t="shared" si="9"/>
        <v>13048292.549917752</v>
      </c>
      <c r="S111" s="149">
        <f t="shared" si="9"/>
        <v>13048292.549917752</v>
      </c>
      <c r="T111" s="149">
        <f t="shared" si="9"/>
        <v>13048292.549917752</v>
      </c>
      <c r="U111" s="149">
        <f t="shared" si="9"/>
        <v>13048292.549917752</v>
      </c>
      <c r="V111" s="149">
        <f t="shared" si="9"/>
        <v>13048292.549917752</v>
      </c>
      <c r="W111" s="149">
        <f t="shared" si="9"/>
        <v>13048292.549917752</v>
      </c>
      <c r="X111" s="149">
        <f t="shared" si="9"/>
        <v>13048292.549917752</v>
      </c>
      <c r="Y111" s="149">
        <f t="shared" si="9"/>
        <v>13048292.549917752</v>
      </c>
      <c r="Z111" s="149">
        <f t="shared" si="9"/>
        <v>13048292.549917752</v>
      </c>
      <c r="AA111" s="149">
        <f t="shared" si="9"/>
        <v>13048292.549917752</v>
      </c>
      <c r="AB111" s="149">
        <f t="shared" si="9"/>
        <v>13048292.549917752</v>
      </c>
      <c r="AC111" s="149">
        <f t="shared" si="9"/>
        <v>13048292.549917752</v>
      </c>
      <c r="AD111" s="149">
        <f t="shared" si="9"/>
        <v>13048292.549917752</v>
      </c>
      <c r="AE111" s="149">
        <f t="shared" si="9"/>
        <v>13048292.549917752</v>
      </c>
      <c r="AF111" s="149">
        <f t="shared" si="9"/>
        <v>13048292.549917752</v>
      </c>
      <c r="AG111" s="149">
        <f t="shared" si="9"/>
        <v>13048292.549917752</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69</v>
      </c>
      <c r="B113" s="69" t="s">
        <v>87</v>
      </c>
      <c r="C113" s="71">
        <f>SUM(D113:AG113)</f>
        <v>1715903571.9787214</v>
      </c>
      <c r="D113" s="149">
        <f t="shared" ref="D113:AG113" si="10">$C$102</f>
        <v>57196785.732624024</v>
      </c>
      <c r="E113" s="149">
        <f t="shared" si="10"/>
        <v>57196785.732624024</v>
      </c>
      <c r="F113" s="149">
        <f t="shared" si="10"/>
        <v>57196785.732624024</v>
      </c>
      <c r="G113" s="149">
        <f t="shared" si="10"/>
        <v>57196785.732624024</v>
      </c>
      <c r="H113" s="149">
        <f t="shared" si="10"/>
        <v>57196785.732624024</v>
      </c>
      <c r="I113" s="149">
        <f t="shared" si="10"/>
        <v>57196785.732624024</v>
      </c>
      <c r="J113" s="149">
        <f t="shared" si="10"/>
        <v>57196785.732624024</v>
      </c>
      <c r="K113" s="149">
        <f t="shared" si="10"/>
        <v>57196785.732624024</v>
      </c>
      <c r="L113" s="149">
        <f t="shared" si="10"/>
        <v>57196785.732624024</v>
      </c>
      <c r="M113" s="149">
        <f t="shared" si="10"/>
        <v>57196785.732624024</v>
      </c>
      <c r="N113" s="149">
        <f t="shared" si="10"/>
        <v>57196785.732624024</v>
      </c>
      <c r="O113" s="149">
        <f t="shared" si="10"/>
        <v>57196785.732624024</v>
      </c>
      <c r="P113" s="149">
        <f t="shared" si="10"/>
        <v>57196785.732624024</v>
      </c>
      <c r="Q113" s="149">
        <f t="shared" si="10"/>
        <v>57196785.732624024</v>
      </c>
      <c r="R113" s="149">
        <f t="shared" si="10"/>
        <v>57196785.732624024</v>
      </c>
      <c r="S113" s="149">
        <f t="shared" si="10"/>
        <v>57196785.732624024</v>
      </c>
      <c r="T113" s="149">
        <f t="shared" si="10"/>
        <v>57196785.732624024</v>
      </c>
      <c r="U113" s="149">
        <f t="shared" si="10"/>
        <v>57196785.732624024</v>
      </c>
      <c r="V113" s="149">
        <f t="shared" si="10"/>
        <v>57196785.732624024</v>
      </c>
      <c r="W113" s="149">
        <f t="shared" si="10"/>
        <v>57196785.732624024</v>
      </c>
      <c r="X113" s="149">
        <f t="shared" si="10"/>
        <v>57196785.732624024</v>
      </c>
      <c r="Y113" s="149">
        <f t="shared" si="10"/>
        <v>57196785.732624024</v>
      </c>
      <c r="Z113" s="149">
        <f t="shared" si="10"/>
        <v>57196785.732624024</v>
      </c>
      <c r="AA113" s="149">
        <f t="shared" si="10"/>
        <v>57196785.732624024</v>
      </c>
      <c r="AB113" s="149">
        <f t="shared" si="10"/>
        <v>57196785.732624024</v>
      </c>
      <c r="AC113" s="149">
        <f t="shared" si="10"/>
        <v>57196785.732624024</v>
      </c>
      <c r="AD113" s="149">
        <f t="shared" si="10"/>
        <v>57196785.732624024</v>
      </c>
      <c r="AE113" s="149">
        <f t="shared" si="10"/>
        <v>57196785.732624024</v>
      </c>
      <c r="AF113" s="149">
        <f t="shared" si="10"/>
        <v>57196785.732624024</v>
      </c>
      <c r="AG113" s="149">
        <f t="shared" si="10"/>
        <v>57196785.732624024</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89</v>
      </c>
      <c r="B115" s="69" t="s">
        <v>87</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90</v>
      </c>
      <c r="B116" s="69" t="s">
        <v>87</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91</v>
      </c>
      <c r="B118" s="69" t="s">
        <v>87</v>
      </c>
      <c r="C118" s="126"/>
      <c r="D118" s="149">
        <f>D113+D115+D116</f>
        <v>57196785.732624024</v>
      </c>
      <c r="E118" s="149">
        <f t="shared" ref="E118:AG118" si="13">E113+E115+E116</f>
        <v>57196785.732624024</v>
      </c>
      <c r="F118" s="149">
        <f>F113+F115+F116</f>
        <v>57196785.732624024</v>
      </c>
      <c r="G118" s="149">
        <f t="shared" si="13"/>
        <v>57196785.732624024</v>
      </c>
      <c r="H118" s="149">
        <f t="shared" si="13"/>
        <v>57196785.732624024</v>
      </c>
      <c r="I118" s="149">
        <f t="shared" si="13"/>
        <v>57196785.732624024</v>
      </c>
      <c r="J118" s="149">
        <f t="shared" si="13"/>
        <v>57196785.732624024</v>
      </c>
      <c r="K118" s="149">
        <f t="shared" si="13"/>
        <v>57196785.732624024</v>
      </c>
      <c r="L118" s="149">
        <f t="shared" si="13"/>
        <v>57196785.732624024</v>
      </c>
      <c r="M118" s="149">
        <f t="shared" si="13"/>
        <v>57196785.732624024</v>
      </c>
      <c r="N118" s="149">
        <f t="shared" si="13"/>
        <v>57196785.732624024</v>
      </c>
      <c r="O118" s="149">
        <f t="shared" si="13"/>
        <v>57196785.732624024</v>
      </c>
      <c r="P118" s="149">
        <f t="shared" si="13"/>
        <v>57196785.732624024</v>
      </c>
      <c r="Q118" s="149">
        <f t="shared" si="13"/>
        <v>57196785.732624024</v>
      </c>
      <c r="R118" s="149">
        <f t="shared" si="13"/>
        <v>57196785.732624024</v>
      </c>
      <c r="S118" s="149">
        <f t="shared" si="13"/>
        <v>57196785.732624024</v>
      </c>
      <c r="T118" s="149">
        <f t="shared" si="13"/>
        <v>57196785.732624024</v>
      </c>
      <c r="U118" s="149">
        <f t="shared" si="13"/>
        <v>57196785.732624024</v>
      </c>
      <c r="V118" s="149">
        <f t="shared" si="13"/>
        <v>57196785.732624024</v>
      </c>
      <c r="W118" s="149">
        <f t="shared" si="13"/>
        <v>57196785.732624024</v>
      </c>
      <c r="X118" s="149">
        <f t="shared" si="13"/>
        <v>57196785.732624024</v>
      </c>
      <c r="Y118" s="149">
        <f t="shared" si="13"/>
        <v>57196785.732624024</v>
      </c>
      <c r="Z118" s="149">
        <f t="shared" si="13"/>
        <v>57196785.732624024</v>
      </c>
      <c r="AA118" s="149">
        <f t="shared" si="13"/>
        <v>57196785.732624024</v>
      </c>
      <c r="AB118" s="149">
        <f t="shared" si="13"/>
        <v>57196785.732624024</v>
      </c>
      <c r="AC118" s="149">
        <f t="shared" si="13"/>
        <v>57196785.732624024</v>
      </c>
      <c r="AD118" s="149">
        <f t="shared" si="13"/>
        <v>57196785.732624024</v>
      </c>
      <c r="AE118" s="149">
        <f t="shared" si="13"/>
        <v>57196785.732624024</v>
      </c>
      <c r="AF118" s="149">
        <f t="shared" si="13"/>
        <v>57196785.732624024</v>
      </c>
      <c r="AG118" s="149">
        <f t="shared" si="13"/>
        <v>57196785.732624024</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70</v>
      </c>
      <c r="B120" s="69" t="s">
        <v>87</v>
      </c>
      <c r="C120" s="126"/>
      <c r="D120" s="149">
        <f>(SUM($D$118:D118)*$C$104/$C$106)+(SUM($D$118:D118)*$C$105/$C$107)</f>
        <v>1372722.8575829763</v>
      </c>
      <c r="E120" s="149">
        <f>(SUM($D$118:E118)*$C$104/$C$106)+(SUM($D$118:E118)*$C$105/$C$107)</f>
        <v>2745445.7151659527</v>
      </c>
      <c r="F120" s="149">
        <f>(SUM($D$118:F118)*$C$104/$C$106)+(SUM($D$118:F118)*$C$105/$C$107)</f>
        <v>4118168.5727489302</v>
      </c>
      <c r="G120" s="149">
        <f>(SUM($D$118:G118)*$C$104/$C$106)+(SUM($D$118:G118)*$C$105/$C$107)</f>
        <v>5490891.4303319054</v>
      </c>
      <c r="H120" s="149">
        <f>(SUM($D$118:H118)*$C$104/$C$106)+(SUM($D$118:H118)*$C$105/$C$107)</f>
        <v>6863614.2879148833</v>
      </c>
      <c r="I120" s="149">
        <f>(SUM($D$118:I118)*$C$104/$C$106)+(SUM($D$118:I118)*$C$105/$C$107)</f>
        <v>8236337.1454978613</v>
      </c>
      <c r="J120" s="149">
        <f>(SUM($D$118:J118)*$C$104/$C$106)+(SUM($D$118:J118)*$C$105/$C$107)</f>
        <v>9609060.0030808374</v>
      </c>
      <c r="K120" s="149">
        <f>(SUM($D$118:K118)*$C$104/$C$106)+(SUM($D$118:K118)*$C$105/$C$107)</f>
        <v>10981782.860663816</v>
      </c>
      <c r="L120" s="149">
        <f>(SUM($D$118:L118)*$C$104/$C$106)+(SUM($D$118:L118)*$C$105/$C$107)</f>
        <v>12354505.718246792</v>
      </c>
      <c r="M120" s="149">
        <f>(SUM($D$118:M118)*$C$104/$C$106)+(SUM($D$118:M118)*$C$105/$C$107)</f>
        <v>13727228.57582977</v>
      </c>
      <c r="N120" s="149">
        <f>(SUM($D$118:N118)*$C$104/$C$106)+(SUM($D$118:N118)*$C$105/$C$107)</f>
        <v>15099951.433412747</v>
      </c>
      <c r="O120" s="149">
        <f>(SUM($D$118:O118)*$C$104/$C$106)+(SUM($D$118:O118)*$C$105/$C$107)</f>
        <v>16472674.290995724</v>
      </c>
      <c r="P120" s="149">
        <f>(SUM($D$118:P118)*$C$104/$C$106)+(SUM($D$118:P118)*$C$105/$C$107)</f>
        <v>17845397.148578703</v>
      </c>
      <c r="Q120" s="149">
        <f>(SUM($D$118:Q118)*$C$104/$C$106)+(SUM($D$118:Q118)*$C$105/$C$107)</f>
        <v>19218120.006161679</v>
      </c>
      <c r="R120" s="149">
        <f>(SUM($D$118:R118)*$C$104/$C$106)+(SUM($D$118:R118)*$C$105/$C$107)</f>
        <v>20590842.863744657</v>
      </c>
      <c r="S120" s="149">
        <f>(SUM($D$118:S118)*$C$104/$C$106)+(SUM($D$118:S118)*$C$105/$C$107)</f>
        <v>21963565.721327636</v>
      </c>
      <c r="T120" s="149">
        <f>(SUM($D$118:T118)*$C$104/$C$106)+(SUM($D$118:T118)*$C$105/$C$107)</f>
        <v>23336288.578910612</v>
      </c>
      <c r="U120" s="149">
        <f>(SUM($D$118:U118)*$C$104/$C$106)+(SUM($D$118:U118)*$C$105/$C$107)</f>
        <v>24709011.43649359</v>
      </c>
      <c r="V120" s="149">
        <f>(SUM($D$118:V118)*$C$104/$C$106)+(SUM($D$118:V118)*$C$105/$C$107)</f>
        <v>26081734.294076562</v>
      </c>
      <c r="W120" s="149">
        <f>(SUM($D$118:W118)*$C$104/$C$106)+(SUM($D$118:W118)*$C$105/$C$107)</f>
        <v>27454457.151659541</v>
      </c>
      <c r="X120" s="149">
        <f>(SUM($D$118:X118)*$C$104/$C$106)+(SUM($D$118:X118)*$C$105/$C$107)</f>
        <v>28827180.009242516</v>
      </c>
      <c r="Y120" s="149">
        <f>(SUM($D$118:Y118)*$C$104/$C$106)+(SUM($D$118:Y118)*$C$105/$C$107)</f>
        <v>30199902.866825495</v>
      </c>
      <c r="Z120" s="149">
        <f>(SUM($D$118:Z118)*$C$104/$C$106)+(SUM($D$118:Z118)*$C$105/$C$107)</f>
        <v>31572625.72440847</v>
      </c>
      <c r="AA120" s="149">
        <f>(SUM($D$118:AA118)*$C$104/$C$106)+(SUM($D$118:AA118)*$C$105/$C$107)</f>
        <v>32945348.581991449</v>
      </c>
      <c r="AB120" s="149">
        <f>(SUM($D$118:AB118)*$C$104/$C$106)+(SUM($D$118:AB118)*$C$105/$C$107)</f>
        <v>34318071.439574428</v>
      </c>
      <c r="AC120" s="149">
        <f>(SUM($D$118:AC118)*$C$104/$C$106)+(SUM($D$118:AC118)*$C$105/$C$107)</f>
        <v>35690794.297157407</v>
      </c>
      <c r="AD120" s="149">
        <f>(SUM($D$118:AD118)*$C$104/$C$106)+(SUM($D$118:AD118)*$C$105/$C$107)</f>
        <v>37063517.154740378</v>
      </c>
      <c r="AE120" s="149">
        <f>(SUM($D$118:AE118)*$C$104/$C$106)+(SUM($D$118:AE118)*$C$105/$C$107)</f>
        <v>38436240.012323357</v>
      </c>
      <c r="AF120" s="149">
        <f>(SUM($D$118:AF118)*$C$104/$C$106)+(SUM($D$118:AF118)*$C$105/$C$107)</f>
        <v>39808962.869906336</v>
      </c>
      <c r="AG120" s="149">
        <f>(SUM($D$118:AG118)*$C$104/$C$106)+(SUM($D$118:AG118)*$C$105/$C$107)</f>
        <v>41181685.727489315</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92</v>
      </c>
      <c r="B122" s="69" t="s">
        <v>87</v>
      </c>
      <c r="C122" s="126"/>
      <c r="D122" s="72">
        <f>(SUM($D$118:D118)*$C$109)</f>
        <v>1715903.5719787206</v>
      </c>
      <c r="E122" s="72">
        <f>(SUM($D$118:E118)*$C$109)</f>
        <v>3431807.1439574412</v>
      </c>
      <c r="F122" s="72">
        <f>(SUM($D$118:F118)*$C$109)</f>
        <v>5147710.7159361616</v>
      </c>
      <c r="G122" s="72">
        <f>(SUM($D$118:G118)*$C$109)</f>
        <v>6863614.2879148824</v>
      </c>
      <c r="H122" s="72">
        <f>(SUM($D$118:H118)*$C$109)</f>
        <v>8579517.8598936051</v>
      </c>
      <c r="I122" s="72">
        <f>(SUM($D$118:I118)*$C$109)</f>
        <v>10295421.431872325</v>
      </c>
      <c r="J122" s="72">
        <f>(SUM($D$118:J118)*$C$109)</f>
        <v>12011325.003851047</v>
      </c>
      <c r="K122" s="72">
        <f>(SUM($D$118:K118)*$C$109)</f>
        <v>13727228.575829769</v>
      </c>
      <c r="L122" s="72">
        <f>(SUM($D$118:L118)*$C$109)</f>
        <v>15443132.14780849</v>
      </c>
      <c r="M122" s="72">
        <f>(SUM($D$118:M118)*$C$109)</f>
        <v>17159035.71978721</v>
      </c>
      <c r="N122" s="72">
        <f>(SUM($D$118:N118)*$C$109)</f>
        <v>18874939.291765932</v>
      </c>
      <c r="O122" s="72">
        <f>(SUM($D$118:O118)*$C$109)</f>
        <v>20590842.863744654</v>
      </c>
      <c r="P122" s="72">
        <f>(SUM($D$118:P118)*$C$109)</f>
        <v>22306746.435723376</v>
      </c>
      <c r="Q122" s="72">
        <f>(SUM($D$118:Q118)*$C$109)</f>
        <v>24022650.007702097</v>
      </c>
      <c r="R122" s="72">
        <f>(SUM($D$118:R118)*$C$109)</f>
        <v>25738553.579680819</v>
      </c>
      <c r="S122" s="72">
        <f>(SUM($D$118:S118)*$C$109)</f>
        <v>27454457.151659541</v>
      </c>
      <c r="T122" s="72">
        <f>(SUM($D$118:T118)*$C$109)</f>
        <v>29170360.723638263</v>
      </c>
      <c r="U122" s="72">
        <f>(SUM($D$118:U118)*$C$109)</f>
        <v>30886264.295616984</v>
      </c>
      <c r="V122" s="72">
        <f>(SUM($D$118:V118)*$C$109)</f>
        <v>32602167.867595702</v>
      </c>
      <c r="W122" s="72">
        <f>(SUM($D$118:W118)*$C$109)</f>
        <v>34318071.43957442</v>
      </c>
      <c r="X122" s="72">
        <f>(SUM($D$118:X118)*$C$109)</f>
        <v>36033975.011553146</v>
      </c>
      <c r="Y122" s="72">
        <f>(SUM($D$118:Y118)*$C$109)</f>
        <v>37749878.583531864</v>
      </c>
      <c r="Z122" s="72">
        <f>(SUM($D$118:Z118)*$C$109)</f>
        <v>39465782.155510589</v>
      </c>
      <c r="AA122" s="72">
        <f>(SUM($D$118:AA118)*$C$109)</f>
        <v>41181685.727489308</v>
      </c>
      <c r="AB122" s="72">
        <f>(SUM($D$118:AB118)*$C$109)</f>
        <v>42897589.299468033</v>
      </c>
      <c r="AC122" s="72">
        <f>(SUM($D$118:AC118)*$C$109)</f>
        <v>44613492.871446751</v>
      </c>
      <c r="AD122" s="72">
        <f>(SUM($D$118:AD118)*$C$109)</f>
        <v>46329396.443425477</v>
      </c>
      <c r="AE122" s="72">
        <f>(SUM($D$118:AE118)*$C$109)</f>
        <v>48045300.015404195</v>
      </c>
      <c r="AF122" s="72">
        <f>(SUM($D$118:AF118)*$C$109)</f>
        <v>49761203.58738292</v>
      </c>
      <c r="AG122" s="72">
        <f>(SUM($D$118:AG118)*$C$109)</f>
        <v>51477107.159361638</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48</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152</v>
      </c>
      <c r="B126" s="77" t="s">
        <v>132</v>
      </c>
      <c r="C126" s="126">
        <v>22360</v>
      </c>
      <c r="D126" s="140"/>
    </row>
    <row r="127" spans="1:33" x14ac:dyDescent="0.35">
      <c r="A127" s="77" t="s">
        <v>151</v>
      </c>
      <c r="B127" s="77" t="s">
        <v>133</v>
      </c>
      <c r="C127" s="126">
        <v>29640.55</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114</v>
      </c>
      <c r="B129" s="77" t="s">
        <v>87</v>
      </c>
      <c r="C129" s="126">
        <f>AVERAGE(C126:C127)</f>
        <v>26000.275000000001</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124</v>
      </c>
      <c r="B131" s="77" t="s">
        <v>123</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156</v>
      </c>
      <c r="B133" s="77" t="s">
        <v>157</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100</v>
      </c>
      <c r="B135" s="79" t="s">
        <v>87</v>
      </c>
      <c r="C135" s="156">
        <f>C129/C131</f>
        <v>9629.7314814814818</v>
      </c>
      <c r="D135" s="157">
        <f t="shared" ref="D135:AG135" si="14">$C$135*D13</f>
        <v>9729.6454393325112</v>
      </c>
      <c r="E135" s="157">
        <f t="shared" si="14"/>
        <v>9830.5960614968371</v>
      </c>
      <c r="F135" s="157">
        <f t="shared" si="14"/>
        <v>9932.5941039581194</v>
      </c>
      <c r="G135" s="157">
        <f t="shared" si="14"/>
        <v>10035.650434299492</v>
      </c>
      <c r="H135" s="157">
        <f t="shared" si="14"/>
        <v>10139.776032861459</v>
      </c>
      <c r="I135" s="157">
        <f t="shared" si="14"/>
        <v>10244.981993911822</v>
      </c>
      <c r="J135" s="157">
        <f t="shared" si="14"/>
        <v>10351.279526827746</v>
      </c>
      <c r="K135" s="157">
        <f t="shared" si="14"/>
        <v>10458.679957290069</v>
      </c>
      <c r="L135" s="157">
        <f t="shared" si="14"/>
        <v>10567.194728490038</v>
      </c>
      <c r="M135" s="157">
        <f t="shared" si="14"/>
        <v>10676.835402348532</v>
      </c>
      <c r="N135" s="157">
        <f t="shared" si="14"/>
        <v>10787.613660747958</v>
      </c>
      <c r="O135" s="157">
        <f t="shared" si="14"/>
        <v>10899.541306776917</v>
      </c>
      <c r="P135" s="157">
        <f t="shared" si="14"/>
        <v>11012.630265987784</v>
      </c>
      <c r="Q135" s="157">
        <f t="shared" si="14"/>
        <v>11126.892587667349</v>
      </c>
      <c r="R135" s="157">
        <f t="shared" si="14"/>
        <v>11242.340446120626</v>
      </c>
      <c r="S135" s="157">
        <f t="shared" si="14"/>
        <v>11358.986141967987</v>
      </c>
      <c r="T135" s="157">
        <f t="shared" si="14"/>
        <v>11476.842103455754</v>
      </c>
      <c r="U135" s="157">
        <f t="shared" si="14"/>
        <v>11595.920887780403</v>
      </c>
      <c r="V135" s="157">
        <f t="shared" si="14"/>
        <v>11716.235182426481</v>
      </c>
      <c r="W135" s="157">
        <f t="shared" si="14"/>
        <v>11837.797806518427</v>
      </c>
      <c r="X135" s="157">
        <f t="shared" si="14"/>
        <v>11960.621712186414</v>
      </c>
      <c r="Y135" s="157">
        <f t="shared" si="14"/>
        <v>12084.719985946344</v>
      </c>
      <c r="Z135" s="157">
        <f t="shared" si="14"/>
        <v>12210.105850094198</v>
      </c>
      <c r="AA135" s="157">
        <f t="shared" si="14"/>
        <v>12336.792664114815</v>
      </c>
      <c r="AB135" s="157">
        <f t="shared" si="14"/>
        <v>12464.793926105318</v>
      </c>
      <c r="AC135" s="157">
        <f t="shared" si="14"/>
        <v>12594.123274213271</v>
      </c>
      <c r="AD135" s="157">
        <f t="shared" si="14"/>
        <v>12724.794488089823</v>
      </c>
      <c r="AE135" s="157">
        <f t="shared" si="14"/>
        <v>12856.821490357848</v>
      </c>
      <c r="AF135" s="157">
        <f t="shared" si="14"/>
        <v>12990.218348095383</v>
      </c>
      <c r="AG135" s="157">
        <f t="shared" si="14"/>
        <v>13124.999274334419</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1:4" x14ac:dyDescent="0.35">
      <c r="A195" s="76" t="s">
        <v>25</v>
      </c>
      <c r="D195" s="158">
        <v>0.1</v>
      </c>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80" zoomScaleNormal="80" workbookViewId="0">
      <pane xSplit="1" topLeftCell="B1" activePane="topRight" state="frozen"/>
      <selection sqref="A1:XFD1048576"/>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31</v>
      </c>
    </row>
    <row r="2" spans="1:35" ht="16" thickBot="1" x14ac:dyDescent="0.4"/>
    <row r="3" spans="1:35" s="15" customFormat="1" ht="21.5" thickBot="1" x14ac:dyDescent="0.55000000000000004">
      <c r="A3" s="49" t="s">
        <v>26</v>
      </c>
      <c r="B3" s="50" t="s">
        <v>35</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106</v>
      </c>
      <c r="B4" s="35"/>
      <c r="C4" s="34"/>
      <c r="D4" s="53"/>
      <c r="E4" s="65">
        <v>0.8</v>
      </c>
      <c r="F4" s="65">
        <v>0.6</v>
      </c>
      <c r="G4" s="65">
        <v>0.5</v>
      </c>
      <c r="H4" s="65">
        <v>0.3</v>
      </c>
      <c r="I4" s="65">
        <v>0.15</v>
      </c>
      <c r="J4" s="65">
        <v>0.1</v>
      </c>
      <c r="K4" s="65">
        <v>0.08</v>
      </c>
      <c r="L4" s="65">
        <v>0.08</v>
      </c>
      <c r="M4" s="65">
        <v>0.06</v>
      </c>
      <c r="N4" s="65">
        <v>0.05</v>
      </c>
      <c r="O4" s="65">
        <v>0.05</v>
      </c>
      <c r="P4" s="65">
        <v>0.05</v>
      </c>
      <c r="Q4" s="65">
        <v>0.05</v>
      </c>
      <c r="R4" s="65">
        <v>0.05</v>
      </c>
      <c r="S4" s="65">
        <v>4.4999999999999998E-2</v>
      </c>
      <c r="T4" s="65">
        <v>0.04</v>
      </c>
      <c r="U4" s="65">
        <v>0.04</v>
      </c>
      <c r="V4" s="65">
        <v>0.04</v>
      </c>
      <c r="W4" s="65">
        <v>0.04</v>
      </c>
      <c r="X4" s="65">
        <v>0.04</v>
      </c>
      <c r="Y4" s="65">
        <v>0.04</v>
      </c>
      <c r="Z4" s="65">
        <v>0.04</v>
      </c>
      <c r="AA4" s="65">
        <v>0.04</v>
      </c>
      <c r="AB4" s="65">
        <v>0.04</v>
      </c>
      <c r="AC4" s="65">
        <v>0.04</v>
      </c>
      <c r="AD4" s="65">
        <v>2.1999999999999999E-2</v>
      </c>
      <c r="AE4" s="65">
        <v>2.1999999999999999E-2</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40</v>
      </c>
      <c r="B6" s="68">
        <f ca="1">MAX(E6:AH6)</f>
        <v>2.504529740650578</v>
      </c>
      <c r="C6" s="25"/>
      <c r="D6" s="25"/>
      <c r="E6" s="27">
        <f>'Debt worksheet'!C5/'Profit and Loss'!C5</f>
        <v>1.1874182674123521</v>
      </c>
      <c r="F6" s="28">
        <f ca="1">'Debt worksheet'!D5/'Profit and Loss'!D5</f>
        <v>2.3477678776515529</v>
      </c>
      <c r="G6" s="28">
        <f ca="1">'Debt worksheet'!E5/'Profit and Loss'!E5</f>
        <v>2.4875392027031653</v>
      </c>
      <c r="H6" s="28">
        <f ca="1">'Debt worksheet'!F5/'Profit and Loss'!F5</f>
        <v>2.4421735557089757</v>
      </c>
      <c r="I6" s="28">
        <f ca="1">'Debt worksheet'!G5/'Profit and Loss'!G5</f>
        <v>2.4464925473694143</v>
      </c>
      <c r="J6" s="28">
        <f ca="1">'Debt worksheet'!H5/'Profit and Loss'!H5</f>
        <v>2.4569116455775175</v>
      </c>
      <c r="K6" s="28">
        <f ca="1">'Debt worksheet'!I5/'Profit and Loss'!I5</f>
        <v>2.4605078723765379</v>
      </c>
      <c r="L6" s="28">
        <f ca="1">'Debt worksheet'!J5/'Profit and Loss'!J5</f>
        <v>2.4324947127314833</v>
      </c>
      <c r="M6" s="28">
        <f ca="1">'Debt worksheet'!K5/'Profit and Loss'!K5</f>
        <v>2.4192382819063463</v>
      </c>
      <c r="N6" s="28">
        <f ca="1">'Debt worksheet'!L5/'Profit and Loss'!L5</f>
        <v>2.4161381039382177</v>
      </c>
      <c r="O6" s="28">
        <f ca="1">'Debt worksheet'!M5/'Profit and Loss'!M5</f>
        <v>2.4089251820026574</v>
      </c>
      <c r="P6" s="28">
        <f ca="1">'Debt worksheet'!N5/'Profit and Loss'!N5</f>
        <v>2.3969203461777222</v>
      </c>
      <c r="Q6" s="28">
        <f ca="1">'Debt worksheet'!O5/'Profit and Loss'!O5</f>
        <v>2.3795154177157256</v>
      </c>
      <c r="R6" s="28">
        <f ca="1">'Debt worksheet'!P5/'Profit and Loss'!P5</f>
        <v>2.3561687204600159</v>
      </c>
      <c r="S6" s="28">
        <f ca="1">'Debt worksheet'!Q5/'Profit and Loss'!Q5</f>
        <v>2.3375319311649125</v>
      </c>
      <c r="T6" s="28">
        <f ca="1">'Debt worksheet'!R5/'Profit and Loss'!R5</f>
        <v>2.3275875923209726</v>
      </c>
      <c r="U6" s="28">
        <f ca="1">'Debt worksheet'!S5/'Profit and Loss'!S5</f>
        <v>2.3192241448777273</v>
      </c>
      <c r="V6" s="28">
        <f ca="1">'Debt worksheet'!T5/'Profit and Loss'!T5</f>
        <v>2.3118544359459943</v>
      </c>
      <c r="W6" s="28">
        <f ca="1">'Debt worksheet'!U5/'Profit and Loss'!U5</f>
        <v>2.304925403486926</v>
      </c>
      <c r="X6" s="28">
        <f ca="1">'Debt worksheet'!V5/'Profit and Loss'!V5</f>
        <v>2.29791665957362</v>
      </c>
      <c r="Y6" s="28">
        <f ca="1">'Debt worksheet'!W5/'Profit and Loss'!W5</f>
        <v>2.2903391248887091</v>
      </c>
      <c r="Z6" s="28">
        <f ca="1">'Debt worksheet'!X5/'Profit and Loss'!X5</f>
        <v>2.2817337127315138</v>
      </c>
      <c r="AA6" s="28">
        <f ca="1">'Debt worksheet'!Y5/'Profit and Loss'!Y5</f>
        <v>2.2716700608641949</v>
      </c>
      <c r="AB6" s="28">
        <f ca="1">'Debt worksheet'!Z5/'Profit and Loss'!Z5</f>
        <v>2.2597453095804574</v>
      </c>
      <c r="AC6" s="28">
        <f ca="1">'Debt worksheet'!AA5/'Profit and Loss'!AA5</f>
        <v>2.2455829244327812</v>
      </c>
      <c r="AD6" s="28">
        <f ca="1">'Debt worksheet'!AB5/'Profit and Loss'!AB5</f>
        <v>2.2680869125137639</v>
      </c>
      <c r="AE6" s="28">
        <f ca="1">'Debt worksheet'!AC5/'Profit and Loss'!AC5</f>
        <v>2.3053422185073207</v>
      </c>
      <c r="AF6" s="28">
        <f ca="1">'Debt worksheet'!AD5/'Profit and Loss'!AD5</f>
        <v>2.3572391761066873</v>
      </c>
      <c r="AG6" s="28">
        <f ca="1">'Debt worksheet'!AE5/'Profit and Loss'!AE5</f>
        <v>2.4236701963723086</v>
      </c>
      <c r="AH6" s="28">
        <f ca="1">'Debt worksheet'!AF5/'Profit and Loss'!AF5</f>
        <v>2.504529740650578</v>
      </c>
      <c r="AI6" s="31"/>
    </row>
    <row r="7" spans="1:35" ht="21" x14ac:dyDescent="0.5">
      <c r="A7" s="19" t="s">
        <v>39</v>
      </c>
      <c r="B7" s="26">
        <f ca="1">MIN('Price and Financial ratios'!E7:AH7)</f>
        <v>2.8502195685350465E-2</v>
      </c>
      <c r="C7" s="26"/>
      <c r="D7" s="26"/>
      <c r="E7" s="56">
        <f ca="1">'Cash Flow'!C7/'Debt worksheet'!C5</f>
        <v>2.8502195685350465E-2</v>
      </c>
      <c r="F7" s="32">
        <f ca="1">'Cash Flow'!D7/'Debt worksheet'!D5</f>
        <v>0.12631222141087542</v>
      </c>
      <c r="G7" s="32">
        <f ca="1">'Cash Flow'!E7/'Debt worksheet'!E5</f>
        <v>0.18981820638269931</v>
      </c>
      <c r="H7" s="32">
        <f ca="1">'Cash Flow'!F7/'Debt worksheet'!F5</f>
        <v>0.22671504597084119</v>
      </c>
      <c r="I7" s="32">
        <f ca="1">'Cash Flow'!G7/'Debt worksheet'!G5</f>
        <v>0.23653149554896913</v>
      </c>
      <c r="J7" s="32">
        <f ca="1">'Cash Flow'!H7/'Debt worksheet'!H5</f>
        <v>0.23909182622287828</v>
      </c>
      <c r="K7" s="32">
        <f ca="1">'Cash Flow'!I7/'Debt worksheet'!I5</f>
        <v>0.24012833281442067</v>
      </c>
      <c r="L7" s="32">
        <f ca="1">'Cash Flow'!J7/'Debt worksheet'!J5</f>
        <v>0.24516367666931541</v>
      </c>
      <c r="M7" s="17">
        <f ca="1">'Cash Flow'!K7/'Debt worksheet'!K5</f>
        <v>0.24621017621473526</v>
      </c>
      <c r="N7" s="17">
        <f ca="1">'Cash Flow'!L7/'Debt worksheet'!L5</f>
        <v>0.24502130013049406</v>
      </c>
      <c r="O7" s="17">
        <f ca="1">'Cash Flow'!M7/'Debt worksheet'!M5</f>
        <v>0.24460610495388491</v>
      </c>
      <c r="P7" s="17">
        <f ca="1">'Cash Flow'!N7/'Debt worksheet'!N5</f>
        <v>0.24502954967658411</v>
      </c>
      <c r="Q7" s="17">
        <f ca="1">'Cash Flow'!O7/'Debt worksheet'!O5</f>
        <v>0.24636041708670725</v>
      </c>
      <c r="R7" s="17">
        <f ca="1">'Cash Flow'!P7/'Debt worksheet'!P5</f>
        <v>0.24867557652430028</v>
      </c>
      <c r="S7" s="17">
        <f ca="1">'Cash Flow'!Q7/'Debt worksheet'!Q5</f>
        <v>0.24994351253282707</v>
      </c>
      <c r="T7" s="17">
        <f ca="1">'Cash Flow'!R7/'Debt worksheet'!R5</f>
        <v>0.24961004073897056</v>
      </c>
      <c r="U7" s="17">
        <f ca="1">'Cash Flow'!S7/'Debt worksheet'!S5</f>
        <v>0.24927217967656407</v>
      </c>
      <c r="V7" s="17">
        <f ca="1">'Cash Flow'!T7/'Debt worksheet'!T5</f>
        <v>0.24899375340822838</v>
      </c>
      <c r="W7" s="17">
        <f ca="1">'Cash Flow'!U7/'Debt worksheet'!U5</f>
        <v>0.24883516504708797</v>
      </c>
      <c r="X7" s="17">
        <f ca="1">'Cash Flow'!V7/'Debt worksheet'!V5</f>
        <v>0.24885354421324121</v>
      </c>
      <c r="Y7" s="17">
        <f ca="1">'Cash Flow'!W7/'Debt worksheet'!W5</f>
        <v>0.24910315098605462</v>
      </c>
      <c r="Z7" s="17">
        <f ca="1">'Cash Flow'!X7/'Debt worksheet'!X5</f>
        <v>0.24963599126537028</v>
      </c>
      <c r="AA7" s="17">
        <f ca="1">'Cash Flow'!Y7/'Debt worksheet'!Y5</f>
        <v>0.25050260804865715</v>
      </c>
      <c r="AB7" s="17">
        <f ca="1">'Cash Flow'!Z7/'Debt worksheet'!Z5</f>
        <v>0.25175302511633785</v>
      </c>
      <c r="AC7" s="17">
        <f ca="1">'Cash Flow'!AA7/'Debt worksheet'!AA5</f>
        <v>0.2534378330753933</v>
      </c>
      <c r="AD7" s="17">
        <f ca="1">'Cash Flow'!AB7/'Debt worksheet'!AB5</f>
        <v>0.24756241112072791</v>
      </c>
      <c r="AE7" s="17">
        <f ca="1">'Cash Flow'!AC7/'Debt worksheet'!AC5</f>
        <v>0.2400913675472329</v>
      </c>
      <c r="AF7" s="17">
        <f ca="1">'Cash Flow'!AD7/'Debt worksheet'!AD5</f>
        <v>0.23125197425539232</v>
      </c>
      <c r="AG7" s="17">
        <f ca="1">'Cash Flow'!AE7/'Debt worksheet'!AE5</f>
        <v>0.2213027197661955</v>
      </c>
      <c r="AH7" s="17">
        <f ca="1">'Cash Flow'!AF7/'Debt worksheet'!AF5</f>
        <v>0.21051453157521216</v>
      </c>
      <c r="AI7" s="29"/>
    </row>
    <row r="8" spans="1:35" ht="21" x14ac:dyDescent="0.5">
      <c r="A8" s="19" t="s">
        <v>34</v>
      </c>
      <c r="B8" s="26">
        <f ca="1">MAX('Price and Financial ratios'!E8:AH8)</f>
        <v>0.45319832089856127</v>
      </c>
      <c r="C8" s="26"/>
      <c r="D8" s="176"/>
      <c r="E8" s="17">
        <f>'Balance Sheet'!B11/'Balance Sheet'!B8</f>
        <v>8.316065312857189E-2</v>
      </c>
      <c r="F8" s="17">
        <f ca="1">'Balance Sheet'!C11/'Balance Sheet'!C8</f>
        <v>0.27681026547213344</v>
      </c>
      <c r="G8" s="17">
        <f ca="1">'Balance Sheet'!D11/'Balance Sheet'!D8</f>
        <v>0.38535941449130878</v>
      </c>
      <c r="H8" s="17">
        <f ca="1">'Balance Sheet'!E11/'Balance Sheet'!E8</f>
        <v>0.43698160572167088</v>
      </c>
      <c r="I8" s="17">
        <f ca="1">'Balance Sheet'!F11/'Balance Sheet'!F8</f>
        <v>0.4523639082745961</v>
      </c>
      <c r="J8" s="17">
        <f ca="1">'Balance Sheet'!G11/'Balance Sheet'!G8</f>
        <v>0.45319832089856127</v>
      </c>
      <c r="K8" s="17">
        <f ca="1">'Balance Sheet'!H11/'Balance Sheet'!H8</f>
        <v>0.44795244137173978</v>
      </c>
      <c r="L8" s="17">
        <f ca="1">'Balance Sheet'!I11/'Balance Sheet'!I8</f>
        <v>0.43991499225172287</v>
      </c>
      <c r="M8" s="17">
        <f ca="1">'Balance Sheet'!J11/'Balance Sheet'!J8</f>
        <v>0.42892375108390768</v>
      </c>
      <c r="N8" s="17">
        <f ca="1">'Balance Sheet'!K11/'Balance Sheet'!K8</f>
        <v>0.41798229265792519</v>
      </c>
      <c r="O8" s="17">
        <f ca="1">'Balance Sheet'!L11/'Balance Sheet'!L8</f>
        <v>0.40831591096570369</v>
      </c>
      <c r="P8" s="17">
        <f ca="1">'Balance Sheet'!M11/'Balance Sheet'!M8</f>
        <v>0.39952889587979495</v>
      </c>
      <c r="Q8" s="17">
        <f ca="1">'Balance Sheet'!N11/'Balance Sheet'!N8</f>
        <v>0.39129879881630725</v>
      </c>
      <c r="R8" s="17">
        <f ca="1">'Balance Sheet'!O11/'Balance Sheet'!O8</f>
        <v>0.38335700075088425</v>
      </c>
      <c r="S8" s="17">
        <f ca="1">'Balance Sheet'!P11/'Balance Sheet'!P8</f>
        <v>0.37547497870657337</v>
      </c>
      <c r="T8" s="17">
        <f ca="1">'Balance Sheet'!Q11/'Balance Sheet'!Q8</f>
        <v>0.36820083573762991</v>
      </c>
      <c r="U8" s="17">
        <f ca="1">'Balance Sheet'!R11/'Balance Sheet'!R8</f>
        <v>0.36207046959961403</v>
      </c>
      <c r="V8" s="17">
        <f ca="1">'Balance Sheet'!S11/'Balance Sheet'!S8</f>
        <v>0.35687485704810423</v>
      </c>
      <c r="W8" s="17">
        <f ca="1">'Balance Sheet'!T11/'Balance Sheet'!T8</f>
        <v>0.35243446621292501</v>
      </c>
      <c r="X8" s="17">
        <f ca="1">'Balance Sheet'!U11/'Balance Sheet'!U8</f>
        <v>0.34859328351261931</v>
      </c>
      <c r="Y8" s="17">
        <f ca="1">'Balance Sheet'!V11/'Balance Sheet'!V8</f>
        <v>0.34521419487846117</v>
      </c>
      <c r="Z8" s="17">
        <f ca="1">'Balance Sheet'!W11/'Balance Sheet'!W8</f>
        <v>0.34217537521221392</v>
      </c>
      <c r="AA8" s="17">
        <f ca="1">'Balance Sheet'!X11/'Balance Sheet'!X8</f>
        <v>0.33936743749650661</v>
      </c>
      <c r="AB8" s="17">
        <f ca="1">'Balance Sheet'!Y11/'Balance Sheet'!Y8</f>
        <v>0.33669116062299104</v>
      </c>
      <c r="AC8" s="17">
        <f ca="1">'Balance Sheet'!Z11/'Balance Sheet'!Z8</f>
        <v>0.33405566262085273</v>
      </c>
      <c r="AD8" s="17">
        <f ca="1">'Balance Sheet'!AA11/'Balance Sheet'!AA8</f>
        <v>0.33137691993601076</v>
      </c>
      <c r="AE8" s="17">
        <f ca="1">'Balance Sheet'!AB11/'Balance Sheet'!AB8</f>
        <v>0.3311152165316909</v>
      </c>
      <c r="AF8" s="17">
        <f ca="1">'Balance Sheet'!AC11/'Balance Sheet'!AC8</f>
        <v>0.33312727938598918</v>
      </c>
      <c r="AG8" s="17">
        <f ca="1">'Balance Sheet'!AD11/'Balance Sheet'!AD8</f>
        <v>0.33728745761385948</v>
      </c>
      <c r="AH8" s="17">
        <f ca="1">'Balance Sheet'!AE11/'Balance Sheet'!AE8</f>
        <v>0.34348522909396612</v>
      </c>
      <c r="AI8" s="29"/>
    </row>
    <row r="9" spans="1:35" ht="21.5" thickBot="1" x14ac:dyDescent="0.55000000000000004">
      <c r="A9" s="20" t="s">
        <v>33</v>
      </c>
      <c r="B9" s="21">
        <f ca="1">MIN('Price and Financial ratios'!E9:AH9)</f>
        <v>1.254774538185121</v>
      </c>
      <c r="C9" s="21"/>
      <c r="D9" s="177"/>
      <c r="E9" s="21">
        <f ca="1">('Cash Flow'!C7+'Profit and Loss'!C8)/('Profit and Loss'!C8)</f>
        <v>1.254774538185121</v>
      </c>
      <c r="F9" s="21">
        <f ca="1">('Cash Flow'!D7+'Profit and Loss'!D8)/('Profit and Loss'!D8)</f>
        <v>3.2474418053453218</v>
      </c>
      <c r="G9" s="21">
        <f ca="1">('Cash Flow'!E7+'Profit and Loss'!E8)/('Profit and Loss'!E8)</f>
        <v>5.2056879018895179</v>
      </c>
      <c r="H9" s="21">
        <f ca="1">('Cash Flow'!F7+'Profit and Loss'!F8)/('Profit and Loss'!F8)</f>
        <v>6.5649882096026708</v>
      </c>
      <c r="I9" s="21">
        <f ca="1">('Cash Flow'!G7+'Profit and Loss'!G8)/('Profit and Loss'!G8)</f>
        <v>7.054799543573691</v>
      </c>
      <c r="J9" s="21">
        <f ca="1">('Cash Flow'!H7+'Profit and Loss'!H8)/('Profit and Loss'!H8)</f>
        <v>7.2510773427181343</v>
      </c>
      <c r="K9" s="21">
        <f ca="1">('Cash Flow'!I7+'Profit and Loss'!I8)/('Profit and Loss'!I8)</f>
        <v>7.3597731183141963</v>
      </c>
      <c r="L9" s="21">
        <f ca="1">('Cash Flow'!J7+'Profit and Loss'!J8)/('Profit and Loss'!J8)</f>
        <v>7.5761640393771943</v>
      </c>
      <c r="M9" s="21">
        <f ca="1">('Cash Flow'!K7+'Profit and Loss'!K8)/('Profit and Loss'!K8)</f>
        <v>7.6393063791663627</v>
      </c>
      <c r="N9" s="21">
        <f ca="1">('Cash Flow'!L7+'Profit and Loss'!L8)/('Profit and Loss'!L8)</f>
        <v>7.6185385445796756</v>
      </c>
      <c r="O9" s="21">
        <f ca="1">('Cash Flow'!M7+'Profit and Loss'!M8)/('Profit and Loss'!M8)</f>
        <v>7.6205919453822801</v>
      </c>
      <c r="P9" s="21">
        <f ca="1">('Cash Flow'!N7+'Profit and Loss'!N8)/('Profit and Loss'!N8)</f>
        <v>7.6472706253924478</v>
      </c>
      <c r="Q9" s="21">
        <f ca="1">('Cash Flow'!O7+'Profit and Loss'!O8)/('Profit and Loss'!O8)</f>
        <v>7.7005875666881423</v>
      </c>
      <c r="R9" s="21">
        <f ca="1">('Cash Flow'!P7+'Profit and Loss'!P8)/('Profit and Loss'!P8)</f>
        <v>7.7828903379878955</v>
      </c>
      <c r="S9" s="21">
        <f ca="1">('Cash Flow'!Q7+'Profit and Loss'!Q8)/('Profit and Loss'!Q8)</f>
        <v>7.8251023239418309</v>
      </c>
      <c r="T9" s="21">
        <f ca="1">('Cash Flow'!R7+'Profit and Loss'!R8)/('Profit and Loss'!R8)</f>
        <v>7.8114745802378707</v>
      </c>
      <c r="U9" s="21">
        <f ca="1">('Cash Flow'!S7+'Profit and Loss'!S8)/('Profit and Loss'!S8)</f>
        <v>7.7994193785695201</v>
      </c>
      <c r="V9" s="21">
        <f ca="1">('Cash Flow'!T7+'Profit and Loss'!T8)/('Profit and Loss'!T8)</f>
        <v>7.7905952041945437</v>
      </c>
      <c r="W9" s="21">
        <f ca="1">('Cash Flow'!U7+'Profit and Loss'!U8)/('Profit and Loss'!U8)</f>
        <v>7.7865668957432632</v>
      </c>
      <c r="X9" s="21">
        <f ca="1">('Cash Flow'!V7+'Profit and Loss'!V8)/('Profit and Loss'!V8)</f>
        <v>7.7888168358635399</v>
      </c>
      <c r="Y9" s="21">
        <f ca="1">('Cash Flow'!W7+'Profit and Loss'!W8)/('Profit and Loss'!W8)</f>
        <v>7.79876192030033</v>
      </c>
      <c r="Z9" s="21">
        <f ca="1">('Cash Flow'!X7+'Profit and Loss'!X8)/('Profit and Loss'!X8)</f>
        <v>7.8177753063667961</v>
      </c>
      <c r="AA9" s="21">
        <f ca="1">('Cash Flow'!Y7+'Profit and Loss'!Y8)/('Profit and Loss'!Y8)</f>
        <v>7.8472122734115883</v>
      </c>
      <c r="AB9" s="21">
        <f ca="1">('Cash Flow'!Z7+'Profit and Loss'!Z8)/('Profit and Loss'!Z8)</f>
        <v>7.8884398984715407</v>
      </c>
      <c r="AC9" s="21">
        <f ca="1">('Cash Flow'!AA7+'Profit and Loss'!AA8)/('Profit and Loss'!AA8)</f>
        <v>7.9428706494176335</v>
      </c>
      <c r="AD9" s="21">
        <f ca="1">('Cash Flow'!AB7+'Profit and Loss'!AB8)/('Profit and Loss'!AB8)</f>
        <v>7.7391824705809693</v>
      </c>
      <c r="AE9" s="21">
        <f ca="1">('Cash Flow'!AC7+'Profit and Loss'!AC8)/('Profit and Loss'!AC8)</f>
        <v>7.4969050785421274</v>
      </c>
      <c r="AF9" s="21">
        <f ca="1">('Cash Flow'!AD7+'Profit and Loss'!AD8)/('Profit and Loss'!AD8)</f>
        <v>7.2232005914770818</v>
      </c>
      <c r="AG9" s="21">
        <f ca="1">('Cash Flow'!AE7+'Profit and Loss'!AE8)/('Profit and Loss'!AE8)</f>
        <v>6.9255996145526755</v>
      </c>
      <c r="AH9" s="21">
        <f ca="1">('Cash Flow'!AF7+'Profit and Loss'!AF8)/('Profit and Loss'!AF8)</f>
        <v>6.6115246374546022</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zoomScale="80" zoomScaleNormal="80" workbookViewId="0">
      <selection sqref="A1:XFD1048576"/>
    </sheetView>
  </sheetViews>
  <sheetFormatPr defaultRowHeight="15.5" x14ac:dyDescent="0.35"/>
  <cols>
    <col min="1" max="16384" width="8.6640625" style="174"/>
  </cols>
  <sheetData>
    <row r="1" spans="1:1" x14ac:dyDescent="0.35">
      <c r="A1" s="175"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80" zoomScaleNormal="80" workbookViewId="0">
      <pane xSplit="1" topLeftCell="B1" activePane="topRight" state="frozen"/>
      <selection sqref="A1:XFD1048576"/>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162</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73</v>
      </c>
      <c r="C5" s="1">
        <f>Assumptions!D111</f>
        <v>13048292.549917752</v>
      </c>
      <c r="D5" s="1">
        <f>Assumptions!E111</f>
        <v>13048292.549917752</v>
      </c>
      <c r="E5" s="1">
        <f>Assumptions!F111</f>
        <v>13048292.549917752</v>
      </c>
      <c r="F5" s="1">
        <f>Assumptions!G111</f>
        <v>13048292.549917752</v>
      </c>
      <c r="G5" s="1">
        <f>Assumptions!H111</f>
        <v>13048292.549917752</v>
      </c>
      <c r="H5" s="1">
        <f>Assumptions!I111</f>
        <v>13048292.549917752</v>
      </c>
      <c r="I5" s="1">
        <f>Assumptions!J111</f>
        <v>13048292.549917752</v>
      </c>
      <c r="J5" s="1">
        <f>Assumptions!K111</f>
        <v>13048292.549917752</v>
      </c>
      <c r="K5" s="1">
        <f>Assumptions!L111</f>
        <v>13048292.549917752</v>
      </c>
      <c r="L5" s="1">
        <f>Assumptions!M111</f>
        <v>13048292.549917752</v>
      </c>
      <c r="M5" s="1">
        <f>Assumptions!N111</f>
        <v>13048292.549917752</v>
      </c>
      <c r="N5" s="1">
        <f>Assumptions!O111</f>
        <v>13048292.549917752</v>
      </c>
      <c r="O5" s="1">
        <f>Assumptions!P111</f>
        <v>13048292.549917752</v>
      </c>
      <c r="P5" s="1">
        <f>Assumptions!Q111</f>
        <v>13048292.549917752</v>
      </c>
      <c r="Q5" s="1">
        <f>Assumptions!R111</f>
        <v>13048292.549917752</v>
      </c>
      <c r="R5" s="1">
        <f>Assumptions!S111</f>
        <v>13048292.549917752</v>
      </c>
      <c r="S5" s="1">
        <f>Assumptions!T111</f>
        <v>13048292.549917752</v>
      </c>
      <c r="T5" s="1">
        <f>Assumptions!U111</f>
        <v>13048292.549917752</v>
      </c>
      <c r="U5" s="1">
        <f>Assumptions!V111</f>
        <v>13048292.549917752</v>
      </c>
      <c r="V5" s="1">
        <f>Assumptions!W111</f>
        <v>13048292.549917752</v>
      </c>
      <c r="W5" s="1">
        <f>Assumptions!X111</f>
        <v>13048292.549917752</v>
      </c>
      <c r="X5" s="1">
        <f>Assumptions!Y111</f>
        <v>13048292.549917752</v>
      </c>
      <c r="Y5" s="1">
        <f>Assumptions!Z111</f>
        <v>13048292.549917752</v>
      </c>
      <c r="Z5" s="1">
        <f>Assumptions!AA111</f>
        <v>13048292.549917752</v>
      </c>
      <c r="AA5" s="1">
        <f>Assumptions!AB111</f>
        <v>13048292.549917752</v>
      </c>
      <c r="AB5" s="1">
        <f>Assumptions!AC111</f>
        <v>13048292.549917752</v>
      </c>
      <c r="AC5" s="1">
        <f>Assumptions!AD111</f>
        <v>13048292.549917752</v>
      </c>
      <c r="AD5" s="1">
        <f>Assumptions!AE111</f>
        <v>13048292.549917752</v>
      </c>
      <c r="AE5" s="1">
        <f>Assumptions!AF111</f>
        <v>13048292.549917752</v>
      </c>
      <c r="AF5" s="1">
        <f>Assumptions!AG111</f>
        <v>13048292.549917752</v>
      </c>
    </row>
    <row r="6" spans="1:32" x14ac:dyDescent="0.35">
      <c r="A6" t="s">
        <v>69</v>
      </c>
      <c r="C6" s="1">
        <f>Assumptions!D113</f>
        <v>57196785.732624024</v>
      </c>
      <c r="D6" s="1">
        <f>Assumptions!E113</f>
        <v>57196785.732624024</v>
      </c>
      <c r="E6" s="1">
        <f>Assumptions!F113</f>
        <v>57196785.732624024</v>
      </c>
      <c r="F6" s="1">
        <f>Assumptions!G113</f>
        <v>57196785.732624024</v>
      </c>
      <c r="G6" s="1">
        <f>Assumptions!H113</f>
        <v>57196785.732624024</v>
      </c>
      <c r="H6" s="1">
        <f>Assumptions!I113</f>
        <v>57196785.732624024</v>
      </c>
      <c r="I6" s="1">
        <f>Assumptions!J113</f>
        <v>57196785.732624024</v>
      </c>
      <c r="J6" s="1">
        <f>Assumptions!K113</f>
        <v>57196785.732624024</v>
      </c>
      <c r="K6" s="1">
        <f>Assumptions!L113</f>
        <v>57196785.732624024</v>
      </c>
      <c r="L6" s="1">
        <f>Assumptions!M113</f>
        <v>57196785.732624024</v>
      </c>
      <c r="M6" s="1">
        <f>Assumptions!N113</f>
        <v>57196785.732624024</v>
      </c>
      <c r="N6" s="1">
        <f>Assumptions!O113</f>
        <v>57196785.732624024</v>
      </c>
      <c r="O6" s="1">
        <f>Assumptions!P113</f>
        <v>57196785.732624024</v>
      </c>
      <c r="P6" s="1">
        <f>Assumptions!Q113</f>
        <v>57196785.732624024</v>
      </c>
      <c r="Q6" s="1">
        <f>Assumptions!R113</f>
        <v>57196785.732624024</v>
      </c>
      <c r="R6" s="1">
        <f>Assumptions!S113</f>
        <v>57196785.732624024</v>
      </c>
      <c r="S6" s="1">
        <f>Assumptions!T113</f>
        <v>57196785.732624024</v>
      </c>
      <c r="T6" s="1">
        <f>Assumptions!U113</f>
        <v>57196785.732624024</v>
      </c>
      <c r="U6" s="1">
        <f>Assumptions!V113</f>
        <v>57196785.732624024</v>
      </c>
      <c r="V6" s="1">
        <f>Assumptions!W113</f>
        <v>57196785.732624024</v>
      </c>
      <c r="W6" s="1">
        <f>Assumptions!X113</f>
        <v>57196785.732624024</v>
      </c>
      <c r="X6" s="1">
        <f>Assumptions!Y113</f>
        <v>57196785.732624024</v>
      </c>
      <c r="Y6" s="1">
        <f>Assumptions!Z113</f>
        <v>57196785.732624024</v>
      </c>
      <c r="Z6" s="1">
        <f>Assumptions!AA113</f>
        <v>57196785.732624024</v>
      </c>
      <c r="AA6" s="1">
        <f>Assumptions!AB113</f>
        <v>57196785.732624024</v>
      </c>
      <c r="AB6" s="1">
        <f>Assumptions!AC113</f>
        <v>57196785.732624024</v>
      </c>
      <c r="AC6" s="1">
        <f>Assumptions!AD113</f>
        <v>57196785.732624024</v>
      </c>
      <c r="AD6" s="1">
        <f>Assumptions!AE113</f>
        <v>57196785.732624024</v>
      </c>
      <c r="AE6" s="1">
        <f>Assumptions!AF113</f>
        <v>57196785.732624024</v>
      </c>
      <c r="AF6" s="1">
        <f>Assumptions!AG113</f>
        <v>57196785.732624024</v>
      </c>
    </row>
    <row r="7" spans="1:32" x14ac:dyDescent="0.35">
      <c r="A7" t="s">
        <v>74</v>
      </c>
      <c r="C7" s="1">
        <f>Assumptions!D120</f>
        <v>1372722.8575829763</v>
      </c>
      <c r="D7" s="1">
        <f>Assumptions!E120</f>
        <v>2745445.7151659527</v>
      </c>
      <c r="E7" s="1">
        <f>Assumptions!F120</f>
        <v>4118168.5727489302</v>
      </c>
      <c r="F7" s="1">
        <f>Assumptions!G120</f>
        <v>5490891.4303319054</v>
      </c>
      <c r="G7" s="1">
        <f>Assumptions!H120</f>
        <v>6863614.2879148833</v>
      </c>
      <c r="H7" s="1">
        <f>Assumptions!I120</f>
        <v>8236337.1454978613</v>
      </c>
      <c r="I7" s="1">
        <f>Assumptions!J120</f>
        <v>9609060.0030808374</v>
      </c>
      <c r="J7" s="1">
        <f>Assumptions!K120</f>
        <v>10981782.860663816</v>
      </c>
      <c r="K7" s="1">
        <f>Assumptions!L120</f>
        <v>12354505.718246792</v>
      </c>
      <c r="L7" s="1">
        <f>Assumptions!M120</f>
        <v>13727228.57582977</v>
      </c>
      <c r="M7" s="1">
        <f>Assumptions!N120</f>
        <v>15099951.433412747</v>
      </c>
      <c r="N7" s="1">
        <f>Assumptions!O120</f>
        <v>16472674.290995724</v>
      </c>
      <c r="O7" s="1">
        <f>Assumptions!P120</f>
        <v>17845397.148578703</v>
      </c>
      <c r="P7" s="1">
        <f>Assumptions!Q120</f>
        <v>19218120.006161679</v>
      </c>
      <c r="Q7" s="1">
        <f>Assumptions!R120</f>
        <v>20590842.863744657</v>
      </c>
      <c r="R7" s="1">
        <f>Assumptions!S120</f>
        <v>21963565.721327636</v>
      </c>
      <c r="S7" s="1">
        <f>Assumptions!T120</f>
        <v>23336288.578910612</v>
      </c>
      <c r="T7" s="1">
        <f>Assumptions!U120</f>
        <v>24709011.43649359</v>
      </c>
      <c r="U7" s="1">
        <f>Assumptions!V120</f>
        <v>26081734.294076562</v>
      </c>
      <c r="V7" s="1">
        <f>Assumptions!W120</f>
        <v>27454457.151659541</v>
      </c>
      <c r="W7" s="1">
        <f>Assumptions!X120</f>
        <v>28827180.009242516</v>
      </c>
      <c r="X7" s="1">
        <f>Assumptions!Y120</f>
        <v>30199902.866825495</v>
      </c>
      <c r="Y7" s="1">
        <f>Assumptions!Z120</f>
        <v>31572625.72440847</v>
      </c>
      <c r="Z7" s="1">
        <f>Assumptions!AA120</f>
        <v>32945348.581991449</v>
      </c>
      <c r="AA7" s="1">
        <f>Assumptions!AB120</f>
        <v>34318071.439574428</v>
      </c>
      <c r="AB7" s="1">
        <f>Assumptions!AC120</f>
        <v>35690794.297157407</v>
      </c>
      <c r="AC7" s="1">
        <f>Assumptions!AD120</f>
        <v>37063517.154740378</v>
      </c>
      <c r="AD7" s="1">
        <f>Assumptions!AE120</f>
        <v>38436240.012323357</v>
      </c>
      <c r="AE7" s="1">
        <f>Assumptions!AF120</f>
        <v>39808962.869906336</v>
      </c>
      <c r="AF7" s="1">
        <f>Assumptions!AG120</f>
        <v>41181685.727489315</v>
      </c>
    </row>
    <row r="9" spans="1:32" x14ac:dyDescent="0.35">
      <c r="A9" t="s">
        <v>93</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71</v>
      </c>
      <c r="C11" s="1">
        <f>C5*C$9</f>
        <v>13465837.91151512</v>
      </c>
      <c r="D11" s="1">
        <f>D5*D$9</f>
        <v>13896744.724683603</v>
      </c>
      <c r="E11" s="1">
        <f t="shared" ref="D11:AF13" si="1">E5*E$9</f>
        <v>14341440.555873478</v>
      </c>
      <c r="F11" s="1">
        <f t="shared" si="1"/>
        <v>14800366.65366143</v>
      </c>
      <c r="G11" s="1">
        <f t="shared" si="1"/>
        <v>15273978.386578597</v>
      </c>
      <c r="H11" s="1">
        <f t="shared" si="1"/>
        <v>15762745.694949109</v>
      </c>
      <c r="I11" s="1">
        <f t="shared" si="1"/>
        <v>16267153.557187479</v>
      </c>
      <c r="J11" s="1">
        <f t="shared" si="1"/>
        <v>16787702.47101748</v>
      </c>
      <c r="K11" s="1">
        <f t="shared" si="1"/>
        <v>17324908.950090043</v>
      </c>
      <c r="L11" s="1">
        <f t="shared" si="1"/>
        <v>17879306.036492921</v>
      </c>
      <c r="M11" s="1">
        <f t="shared" si="1"/>
        <v>18451443.829660695</v>
      </c>
      <c r="N11" s="1">
        <f t="shared" si="1"/>
        <v>19041890.032209836</v>
      </c>
      <c r="O11" s="1">
        <f t="shared" si="1"/>
        <v>19651230.513240553</v>
      </c>
      <c r="P11" s="1">
        <f t="shared" si="1"/>
        <v>20280069.889664248</v>
      </c>
      <c r="Q11" s="1">
        <f t="shared" si="1"/>
        <v>20929032.126133502</v>
      </c>
      <c r="R11" s="1">
        <f t="shared" si="1"/>
        <v>21598761.154169776</v>
      </c>
      <c r="S11" s="1">
        <f t="shared" si="1"/>
        <v>22289921.511103213</v>
      </c>
      <c r="T11" s="1">
        <f t="shared" si="1"/>
        <v>23003198.99945851</v>
      </c>
      <c r="U11" s="1">
        <f t="shared" si="1"/>
        <v>23739301.367441181</v>
      </c>
      <c r="V11" s="1">
        <f t="shared" si="1"/>
        <v>24498959.011199303</v>
      </c>
      <c r="W11" s="1">
        <f t="shared" si="1"/>
        <v>25282925.699557684</v>
      </c>
      <c r="X11" s="1">
        <f t="shared" si="1"/>
        <v>26091979.321943525</v>
      </c>
      <c r="Y11" s="1">
        <f t="shared" si="1"/>
        <v>26926922.660245713</v>
      </c>
      <c r="Z11" s="1">
        <f t="shared" si="1"/>
        <v>27788584.185373578</v>
      </c>
      <c r="AA11" s="1">
        <f t="shared" si="1"/>
        <v>28677818.879305538</v>
      </c>
      <c r="AB11" s="1">
        <f t="shared" si="1"/>
        <v>29595509.08344331</v>
      </c>
      <c r="AC11" s="1">
        <f t="shared" si="1"/>
        <v>30542565.374113493</v>
      </c>
      <c r="AD11" s="1">
        <f t="shared" si="1"/>
        <v>31519927.466085132</v>
      </c>
      <c r="AE11" s="1">
        <f t="shared" si="1"/>
        <v>32528565.144999854</v>
      </c>
      <c r="AF11" s="1">
        <f t="shared" si="1"/>
        <v>33569479.229639843</v>
      </c>
    </row>
    <row r="12" spans="1:32" x14ac:dyDescent="0.35">
      <c r="A12" t="s">
        <v>72</v>
      </c>
      <c r="C12" s="1">
        <f t="shared" ref="C12:R12" si="2">C6*C$9</f>
        <v>59027082.876067996</v>
      </c>
      <c r="D12" s="1">
        <f t="shared" si="2"/>
        <v>60915949.528102167</v>
      </c>
      <c r="E12" s="1">
        <f t="shared" si="2"/>
        <v>62865259.913001433</v>
      </c>
      <c r="F12" s="1">
        <f t="shared" si="2"/>
        <v>64876948.230217479</v>
      </c>
      <c r="G12" s="1">
        <f t="shared" si="2"/>
        <v>66953010.573584445</v>
      </c>
      <c r="H12" s="1">
        <f t="shared" si="2"/>
        <v>69095506.911939144</v>
      </c>
      <c r="I12" s="1">
        <f t="shared" si="2"/>
        <v>71306563.133121178</v>
      </c>
      <c r="J12" s="1">
        <f t="shared" si="2"/>
        <v>73588373.153381065</v>
      </c>
      <c r="K12" s="1">
        <f t="shared" si="2"/>
        <v>75943201.094289273</v>
      </c>
      <c r="L12" s="1">
        <f t="shared" si="2"/>
        <v>78373383.529306516</v>
      </c>
      <c r="M12" s="1">
        <f t="shared" si="2"/>
        <v>80881331.802244321</v>
      </c>
      <c r="N12" s="1">
        <f t="shared" si="2"/>
        <v>83469534.419916153</v>
      </c>
      <c r="O12" s="1">
        <f t="shared" si="2"/>
        <v>86140559.521353468</v>
      </c>
      <c r="P12" s="1">
        <f t="shared" si="2"/>
        <v>88897057.42603676</v>
      </c>
      <c r="Q12" s="1">
        <f t="shared" si="2"/>
        <v>91741763.263669923</v>
      </c>
      <c r="R12" s="1">
        <f t="shared" si="2"/>
        <v>94677499.688107386</v>
      </c>
      <c r="S12" s="1">
        <f t="shared" si="1"/>
        <v>97707179.678126827</v>
      </c>
      <c r="T12" s="1">
        <f t="shared" si="1"/>
        <v>100833809.42782688</v>
      </c>
      <c r="U12" s="1">
        <f t="shared" si="1"/>
        <v>104060491.32951732</v>
      </c>
      <c r="V12" s="1">
        <f t="shared" si="1"/>
        <v>107390427.0520619</v>
      </c>
      <c r="W12" s="1">
        <f t="shared" si="1"/>
        <v>110826920.71772788</v>
      </c>
      <c r="X12" s="1">
        <f t="shared" si="1"/>
        <v>114373382.18069516</v>
      </c>
      <c r="Y12" s="1">
        <f t="shared" si="1"/>
        <v>118033330.41047738</v>
      </c>
      <c r="Z12" s="1">
        <f t="shared" si="1"/>
        <v>121810396.98361267</v>
      </c>
      <c r="AA12" s="1">
        <f t="shared" si="1"/>
        <v>125708329.68708831</v>
      </c>
      <c r="AB12" s="1">
        <f t="shared" si="1"/>
        <v>129730996.23707511</v>
      </c>
      <c r="AC12" s="1">
        <f t="shared" si="1"/>
        <v>133882388.1166615</v>
      </c>
      <c r="AD12" s="1">
        <f t="shared" si="1"/>
        <v>138166624.53639469</v>
      </c>
      <c r="AE12" s="1">
        <f t="shared" si="1"/>
        <v>142587956.52155933</v>
      </c>
      <c r="AF12" s="1">
        <f t="shared" si="1"/>
        <v>147150771.1302492</v>
      </c>
    </row>
    <row r="13" spans="1:32" x14ac:dyDescent="0.35">
      <c r="A13" t="s">
        <v>75</v>
      </c>
      <c r="C13" s="1">
        <f>C7*C$9</f>
        <v>1416649.9890256317</v>
      </c>
      <c r="D13" s="1">
        <f t="shared" si="1"/>
        <v>2923965.5773489033</v>
      </c>
      <c r="E13" s="1">
        <f t="shared" si="1"/>
        <v>4526298.7137361038</v>
      </c>
      <c r="F13" s="1">
        <f t="shared" si="1"/>
        <v>6228187.0301008765</v>
      </c>
      <c r="G13" s="1">
        <f t="shared" si="1"/>
        <v>8034361.2688301336</v>
      </c>
      <c r="H13" s="1">
        <f t="shared" si="1"/>
        <v>9949752.9953192379</v>
      </c>
      <c r="I13" s="1">
        <f t="shared" si="1"/>
        <v>11979502.60636436</v>
      </c>
      <c r="J13" s="1">
        <f t="shared" si="1"/>
        <v>14128967.645449171</v>
      </c>
      <c r="K13" s="1">
        <f t="shared" si="1"/>
        <v>16403731.436366485</v>
      </c>
      <c r="L13" s="1">
        <f t="shared" si="1"/>
        <v>18809612.047033571</v>
      </c>
      <c r="M13" s="1">
        <f t="shared" si="1"/>
        <v>21352671.59579251</v>
      </c>
      <c r="N13" s="1">
        <f t="shared" si="1"/>
        <v>24039225.912935857</v>
      </c>
      <c r="O13" s="1">
        <f t="shared" si="1"/>
        <v>26875854.570662294</v>
      </c>
      <c r="P13" s="1">
        <f t="shared" si="1"/>
        <v>29869411.295148365</v>
      </c>
      <c r="Q13" s="1">
        <f t="shared" si="1"/>
        <v>33027034.774921186</v>
      </c>
      <c r="R13" s="1">
        <f t="shared" si="1"/>
        <v>36356159.880233258</v>
      </c>
      <c r="S13" s="1">
        <f t="shared" si="1"/>
        <v>39864529.308675766</v>
      </c>
      <c r="T13" s="1">
        <f t="shared" si="1"/>
        <v>43560205.672821231</v>
      </c>
      <c r="U13" s="1">
        <f t="shared" si="1"/>
        <v>47451584.04625991</v>
      </c>
      <c r="V13" s="1">
        <f t="shared" si="1"/>
        <v>51547404.984989725</v>
      </c>
      <c r="W13" s="1">
        <f t="shared" si="1"/>
        <v>55856768.041734867</v>
      </c>
      <c r="X13" s="1">
        <f t="shared" si="1"/>
        <v>60389145.791407064</v>
      </c>
      <c r="Y13" s="1">
        <f t="shared" si="1"/>
        <v>65154398.386583537</v>
      </c>
      <c r="Z13" s="1">
        <f t="shared" si="1"/>
        <v>70162788.662560925</v>
      </c>
      <c r="AA13" s="1">
        <f t="shared" si="1"/>
        <v>75424997.812253013</v>
      </c>
      <c r="AB13" s="1">
        <f t="shared" si="1"/>
        <v>80952141.651934907</v>
      </c>
      <c r="AC13" s="1">
        <f t="shared" si="1"/>
        <v>86755787.499596685</v>
      </c>
      <c r="AD13" s="1">
        <f t="shared" si="1"/>
        <v>92847971.688457265</v>
      </c>
      <c r="AE13" s="1">
        <f t="shared" si="1"/>
        <v>99241217.739005327</v>
      </c>
      <c r="AF13" s="1">
        <f t="shared" si="1"/>
        <v>105948555.21377946</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82</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62</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79</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76</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77</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78</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98</v>
      </c>
      <c r="C25" s="40">
        <f>SUM(C11:C13,C18:C23)</f>
        <v>73909570.77660875</v>
      </c>
      <c r="D25" s="40">
        <f>SUM(D11:D13,D18:D23)</f>
        <v>77736659.830134675</v>
      </c>
      <c r="E25" s="40">
        <f t="shared" ref="E25:AF25" si="7">SUM(E11:E13,E18:E23)</f>
        <v>81732999.182611018</v>
      </c>
      <c r="F25" s="40">
        <f t="shared" si="7"/>
        <v>85905501.913979799</v>
      </c>
      <c r="G25" s="40">
        <f t="shared" si="7"/>
        <v>90261350.228993177</v>
      </c>
      <c r="H25" s="40">
        <f t="shared" si="7"/>
        <v>94808005.602207482</v>
      </c>
      <c r="I25" s="40">
        <f t="shared" si="7"/>
        <v>99553219.296673015</v>
      </c>
      <c r="J25" s="40">
        <f t="shared" si="7"/>
        <v>104505043.26984772</v>
      </c>
      <c r="K25" s="40">
        <f t="shared" si="7"/>
        <v>109671841.48074581</v>
      </c>
      <c r="L25" s="40">
        <f t="shared" si="7"/>
        <v>115062301.61283302</v>
      </c>
      <c r="M25" s="40">
        <f t="shared" si="7"/>
        <v>120685447.22769752</v>
      </c>
      <c r="N25" s="40">
        <f t="shared" si="7"/>
        <v>126550650.36506185</v>
      </c>
      <c r="O25" s="40">
        <f t="shared" si="7"/>
        <v>132667644.60525632</v>
      </c>
      <c r="P25" s="40">
        <f t="shared" si="7"/>
        <v>139046538.61084938</v>
      </c>
      <c r="Q25" s="40">
        <f t="shared" si="7"/>
        <v>145697830.16472462</v>
      </c>
      <c r="R25" s="40">
        <f t="shared" si="7"/>
        <v>152632420.72251043</v>
      </c>
      <c r="S25" s="40">
        <f t="shared" si="7"/>
        <v>159861630.49790579</v>
      </c>
      <c r="T25" s="40">
        <f t="shared" si="7"/>
        <v>167397214.10010663</v>
      </c>
      <c r="U25" s="40">
        <f t="shared" si="7"/>
        <v>175251376.74321842</v>
      </c>
      <c r="V25" s="40">
        <f t="shared" si="7"/>
        <v>183436791.04825094</v>
      </c>
      <c r="W25" s="40">
        <f t="shared" si="7"/>
        <v>191966614.45902044</v>
      </c>
      <c r="X25" s="40">
        <f t="shared" si="7"/>
        <v>200854507.29404575</v>
      </c>
      <c r="Y25" s="40">
        <f t="shared" si="7"/>
        <v>210114651.45730662</v>
      </c>
      <c r="Z25" s="40">
        <f t="shared" si="7"/>
        <v>219761769.8315472</v>
      </c>
      <c r="AA25" s="40">
        <f t="shared" si="7"/>
        <v>229811146.37864685</v>
      </c>
      <c r="AB25" s="40">
        <f t="shared" si="7"/>
        <v>240278646.9724533</v>
      </c>
      <c r="AC25" s="40">
        <f t="shared" si="7"/>
        <v>251180740.99037167</v>
      </c>
      <c r="AD25" s="40">
        <f t="shared" si="7"/>
        <v>262534523.6909371</v>
      </c>
      <c r="AE25" s="40">
        <f t="shared" si="7"/>
        <v>274357739.40556455</v>
      </c>
      <c r="AF25" s="40">
        <f t="shared" si="7"/>
        <v>286668805.57366848</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163</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27976662.404220674</v>
      </c>
      <c r="D5" s="59">
        <f>C5*('Price and Financial ratios'!F4+1)*(1+Assumptions!$C$13)</f>
        <v>45227097.979615793</v>
      </c>
      <c r="E5" s="59">
        <f>D5*('Price and Financial ratios'!G4+1)*(1+Assumptions!$C$13)</f>
        <v>68544532.384601101</v>
      </c>
      <c r="F5" s="59">
        <f>E5*('Price and Financial ratios'!H4+1)*(1+Assumptions!$C$13)</f>
        <v>90032437.316282943</v>
      </c>
      <c r="G5" s="59">
        <f>F5*('Price and Financial ratios'!I4+1)*(1+Assumptions!$C$13)</f>
        <v>104611561.49915166</v>
      </c>
      <c r="H5" s="59">
        <f>G5*('Price and Financial ratios'!J4+1)*(1+Assumptions!$C$13)</f>
        <v>116266662.74328908</v>
      </c>
      <c r="I5" s="59">
        <f>H5*('Price and Financial ratios'!K4+1)*(1+Assumptions!$C$13)</f>
        <v>126870835.35492617</v>
      </c>
      <c r="J5" s="59">
        <f>I5*('Price and Financial ratios'!L4+1)*(1+Assumptions!$C$13)</f>
        <v>138442168.06322548</v>
      </c>
      <c r="K5" s="59">
        <f>J5*('Price and Financial ratios'!M4+1)*(1+Assumptions!$C$13)</f>
        <v>148271299.60995194</v>
      </c>
      <c r="L5" s="59">
        <f>K5*('Price and Financial ratios'!N4+1)*(1+Assumptions!$C$13)</f>
        <v>157300183.87828711</v>
      </c>
      <c r="M5" s="59">
        <f>L5*('Price and Financial ratios'!O4+1)*(1+Assumptions!$C$13)</f>
        <v>166878876.17653391</v>
      </c>
      <c r="N5" s="59">
        <f>M5*('Price and Financial ratios'!P4+1)*(1+Assumptions!$C$13)</f>
        <v>177040856.70676073</v>
      </c>
      <c r="O5" s="59">
        <f>N5*('Price and Financial ratios'!Q4+1)*(1+Assumptions!$C$13)</f>
        <v>187821644.42614591</v>
      </c>
      <c r="P5" s="59">
        <f>O5*('Price and Financial ratios'!R4+1)*(1+Assumptions!$C$13)</f>
        <v>199258921.19564316</v>
      </c>
      <c r="Q5" s="59">
        <f>P5*('Price and Financial ratios'!S4+1)*(1+Assumptions!$C$13)</f>
        <v>210386031.75770071</v>
      </c>
      <c r="R5" s="59">
        <f>Q5*('Price and Financial ratios'!T4+1)*(1+Assumptions!$C$13)</f>
        <v>221071663.13620692</v>
      </c>
      <c r="S5" s="59">
        <f>R5*('Price and Financial ratios'!U4+1)*(1+Assumptions!$C$13)</f>
        <v>232300024.07239032</v>
      </c>
      <c r="T5" s="59">
        <f>S5*('Price and Financial ratios'!V4+1)*(1+Assumptions!$C$13)</f>
        <v>244098680.12249583</v>
      </c>
      <c r="U5" s="59">
        <f>T5*('Price and Financial ratios'!W4+1)*(1+Assumptions!$C$13)</f>
        <v>256496596.91372511</v>
      </c>
      <c r="V5" s="59">
        <f>U5*('Price and Financial ratios'!X4+1)*(1+Assumptions!$C$13)</f>
        <v>269524211.25467116</v>
      </c>
      <c r="W5" s="59">
        <f>V5*('Price and Financial ratios'!Y4+1)*(1+Assumptions!$C$13)</f>
        <v>283213505.85749418</v>
      </c>
      <c r="X5" s="59">
        <f>W5*('Price and Financial ratios'!Z4+1)*(1+Assumptions!$C$13)</f>
        <v>297598087.85528082</v>
      </c>
      <c r="Y5" s="59">
        <f>X5*('Price and Financial ratios'!AA4+1)*(1+Assumptions!$C$13)</f>
        <v>312713271.30734682</v>
      </c>
      <c r="Z5" s="59">
        <f>Y5*('Price and Financial ratios'!AB4+1)*(1+Assumptions!$C$13)</f>
        <v>328596163.89503312</v>
      </c>
      <c r="AA5" s="59">
        <f>Z5*('Price and Financial ratios'!AC4+1)*(1+Assumptions!$C$13)</f>
        <v>345285758.02083236</v>
      </c>
      <c r="AB5" s="59">
        <f>AA5*('Price and Financial ratios'!AD4+1)*(1+Assumptions!$C$13)</f>
        <v>356543397.22909003</v>
      </c>
      <c r="AC5" s="59">
        <f>AB5*('Price and Financial ratios'!AE4+1)*(1+Assumptions!$C$13)</f>
        <v>368168078.62660497</v>
      </c>
      <c r="AD5" s="59">
        <f>AC5*('Price and Financial ratios'!AF4+1)*(1+Assumptions!$C$13)</f>
        <v>380171769.19563711</v>
      </c>
      <c r="AE5" s="59">
        <f>AD5*('Price and Financial ratios'!AG4+1)*(1+Assumptions!$C$13)</f>
        <v>392566826.08793813</v>
      </c>
      <c r="AF5" s="59">
        <f>AE5*('Price and Financial ratios'!AH4+1)*(1+Assumptions!$C$13)</f>
        <v>405366009.34577239</v>
      </c>
    </row>
    <row r="6" spans="1:32" s="11" customFormat="1" x14ac:dyDescent="0.35">
      <c r="A6" s="11" t="s">
        <v>20</v>
      </c>
      <c r="C6" s="59">
        <f>C27</f>
        <v>23313423.989295382</v>
      </c>
      <c r="D6" s="59">
        <f t="shared" ref="D6:AF6" si="1">D27</f>
        <v>25847169.35087382</v>
      </c>
      <c r="E6" s="59">
        <f>E27</f>
        <v>28483540.019245513</v>
      </c>
      <c r="F6" s="59">
        <f t="shared" si="1"/>
        <v>31225904.213630356</v>
      </c>
      <c r="G6" s="59">
        <f t="shared" si="1"/>
        <v>34077731.261202693</v>
      </c>
      <c r="H6" s="59">
        <f t="shared" si="1"/>
        <v>37042594.499641918</v>
      </c>
      <c r="I6" s="59">
        <f t="shared" si="1"/>
        <v>40124174.261198357</v>
      </c>
      <c r="J6" s="59">
        <f t="shared" si="1"/>
        <v>43326260.940545604</v>
      </c>
      <c r="K6" s="59">
        <f t="shared" si="1"/>
        <v>46652758.148753844</v>
      </c>
      <c r="L6" s="59">
        <f t="shared" si="1"/>
        <v>50107685.955783963</v>
      </c>
      <c r="M6" s="59">
        <f t="shared" si="1"/>
        <v>53695184.223969027</v>
      </c>
      <c r="N6" s="59">
        <f t="shared" si="1"/>
        <v>57419516.035018764</v>
      </c>
      <c r="O6" s="59">
        <f t="shared" si="1"/>
        <v>61285071.213153772</v>
      </c>
      <c r="P6" s="59">
        <f t="shared" si="1"/>
        <v>65296369.947048336</v>
      </c>
      <c r="Q6" s="59">
        <f t="shared" si="1"/>
        <v>69458066.513336405</v>
      </c>
      <c r="R6" s="59">
        <f t="shared" si="1"/>
        <v>73774953.104511693</v>
      </c>
      <c r="S6" s="59">
        <f t="shared" si="1"/>
        <v>78251963.76413244</v>
      </c>
      <c r="T6" s="59">
        <f t="shared" si="1"/>
        <v>82894178.432322592</v>
      </c>
      <c r="U6" s="59">
        <f t="shared" si="1"/>
        <v>87706827.104644805</v>
      </c>
      <c r="V6" s="59">
        <f t="shared" si="1"/>
        <v>92695294.107506946</v>
      </c>
      <c r="W6" s="59">
        <f t="shared" si="1"/>
        <v>97865122.493352413</v>
      </c>
      <c r="X6" s="59">
        <f t="shared" si="1"/>
        <v>103222018.55897486</v>
      </c>
      <c r="Y6" s="59">
        <f t="shared" si="1"/>
        <v>108771856.49039285</v>
      </c>
      <c r="Z6" s="59">
        <f t="shared" si="1"/>
        <v>114520683.13781455</v>
      </c>
      <c r="AA6" s="59">
        <f t="shared" si="1"/>
        <v>120474722.92432316</v>
      </c>
      <c r="AB6" s="59">
        <f t="shared" si="1"/>
        <v>126640382.89201432</v>
      </c>
      <c r="AC6" s="59">
        <f t="shared" si="1"/>
        <v>133024257.8894223</v>
      </c>
      <c r="AD6" s="59">
        <f t="shared" si="1"/>
        <v>139633135.90417844</v>
      </c>
      <c r="AE6" s="59">
        <f t="shared" si="1"/>
        <v>146474003.54495725</v>
      </c>
      <c r="AF6" s="59">
        <f t="shared" si="1"/>
        <v>153554051.67687809</v>
      </c>
    </row>
    <row r="7" spans="1:32" x14ac:dyDescent="0.35">
      <c r="A7" t="s">
        <v>21</v>
      </c>
      <c r="C7" s="4">
        <f>Depreciation!C8+Depreciation!C9</f>
        <v>14882487.900540752</v>
      </c>
      <c r="D7" s="4">
        <f>Depreciation!D8+Depreciation!D9</f>
        <v>16820710.302032508</v>
      </c>
      <c r="E7" s="4">
        <f>Depreciation!E8+Depreciation!E9</f>
        <v>18867739.269609582</v>
      </c>
      <c r="F7" s="4">
        <f>Depreciation!F8+Depreciation!F9</f>
        <v>21028553.683762304</v>
      </c>
      <c r="G7" s="4">
        <f>Depreciation!G8+Depreciation!G9</f>
        <v>23308339.655408733</v>
      </c>
      <c r="H7" s="4">
        <f>Depreciation!H8+Depreciation!H9</f>
        <v>25712498.690268345</v>
      </c>
      <c r="I7" s="4">
        <f>Depreciation!I8+Depreciation!I9</f>
        <v>28246656.163551837</v>
      </c>
      <c r="J7" s="4">
        <f>Depreciation!J8+Depreciation!J9</f>
        <v>30916670.116466649</v>
      </c>
      <c r="K7" s="4">
        <f>Depreciation!K8+Depreciation!K9</f>
        <v>33728640.386456527</v>
      </c>
      <c r="L7" s="4">
        <f>Depreciation!L8+Depreciation!L9</f>
        <v>36688918.083526492</v>
      </c>
      <c r="M7" s="4">
        <f>Depreciation!M8+Depreciation!M9</f>
        <v>39804115.425453201</v>
      </c>
      <c r="N7" s="4">
        <f>Depreciation!N8+Depreciation!N9</f>
        <v>43081115.945145696</v>
      </c>
      <c r="O7" s="4">
        <f>Depreciation!O8+Depreciation!O9</f>
        <v>46527085.083902851</v>
      </c>
      <c r="P7" s="4">
        <f>Depreciation!P8+Depreciation!P9</f>
        <v>50149481.184812613</v>
      </c>
      <c r="Q7" s="4">
        <f>Depreciation!Q8+Depreciation!Q9</f>
        <v>53956066.901054688</v>
      </c>
      <c r="R7" s="4">
        <f>Depreciation!R8+Depreciation!R9</f>
        <v>57954921.034403034</v>
      </c>
      <c r="S7" s="4">
        <f>Depreciation!S8+Depreciation!S9</f>
        <v>62154450.819778979</v>
      </c>
      <c r="T7" s="4">
        <f>Depreciation!T8+Depreciation!T9</f>
        <v>66563404.672279745</v>
      </c>
      <c r="U7" s="4">
        <f>Depreciation!U8+Depreciation!U9</f>
        <v>71190885.413701087</v>
      </c>
      <c r="V7" s="4">
        <f>Depreciation!V8+Depreciation!V9</f>
        <v>76046363.996189028</v>
      </c>
      <c r="W7" s="4">
        <f>Depreciation!W8+Depreciation!W9</f>
        <v>81139693.741292551</v>
      </c>
      <c r="X7" s="4">
        <f>Depreciation!X8+Depreciation!X9</f>
        <v>86481125.113350585</v>
      </c>
      <c r="Y7" s="4">
        <f>Depreciation!Y8+Depreciation!Y9</f>
        <v>92081321.046829253</v>
      </c>
      <c r="Z7" s="4">
        <f>Depreciation!Z8+Depreciation!Z9</f>
        <v>97951372.847934499</v>
      </c>
      <c r="AA7" s="4">
        <f>Depreciation!AA8+Depreciation!AA9</f>
        <v>104102816.69155855</v>
      </c>
      <c r="AB7" s="4">
        <f>Depreciation!AB8+Depreciation!AB9</f>
        <v>110547650.73537822</v>
      </c>
      <c r="AC7" s="4">
        <f>Depreciation!AC8+Depreciation!AC9</f>
        <v>117298352.87371019</v>
      </c>
      <c r="AD7" s="4">
        <f>Depreciation!AD8+Depreciation!AD9</f>
        <v>124367899.1545424</v>
      </c>
      <c r="AE7" s="4">
        <f>Depreciation!AE8+Depreciation!AE9</f>
        <v>131769782.88400519</v>
      </c>
      <c r="AF7" s="4">
        <f>Depreciation!AF8+Depreciation!AF9</f>
        <v>139518034.44341931</v>
      </c>
    </row>
    <row r="8" spans="1:32" x14ac:dyDescent="0.35">
      <c r="A8" t="s">
        <v>6</v>
      </c>
      <c r="C8" s="4">
        <f ca="1">'Debt worksheet'!C8</f>
        <v>3716395.4742579493</v>
      </c>
      <c r="D8" s="4">
        <f ca="1">'Debt worksheet'!D8</f>
        <v>5967752.4003178179</v>
      </c>
      <c r="E8" s="4">
        <f ca="1">'Debt worksheet'!E8</f>
        <v>7695619.314944827</v>
      </c>
      <c r="F8" s="4">
        <f ca="1">'Debt worksheet'!F8</f>
        <v>8957599.1951723099</v>
      </c>
      <c r="G8" s="4">
        <f ca="1">'Debt worksheet'!G8</f>
        <v>9997992.1190247219</v>
      </c>
      <c r="H8" s="4">
        <f ca="1">'Debt worksheet'!H8</f>
        <v>10925834.120802421</v>
      </c>
      <c r="I8" s="4">
        <f ca="1">'Debt worksheet'!I8</f>
        <v>11786594.464150779</v>
      </c>
      <c r="J8" s="4">
        <f ca="1">'Debt worksheet'!J8</f>
        <v>12554626.144354045</v>
      </c>
      <c r="K8" s="4">
        <f ca="1">'Debt worksheet'!K8</f>
        <v>13302063.880868617</v>
      </c>
      <c r="L8" s="4">
        <f ca="1">'Debt worksheet'!L8</f>
        <v>14069955.450808458</v>
      </c>
      <c r="M8" s="4">
        <f ca="1">'Debt worksheet'!M8</f>
        <v>14852349.104080932</v>
      </c>
      <c r="N8" s="4">
        <f ca="1">'Debt worksheet'!N8</f>
        <v>15642357.454245729</v>
      </c>
      <c r="O8" s="4">
        <f ca="1">'Debt worksheet'!O8</f>
        <v>16432067.30878236</v>
      </c>
      <c r="P8" s="4">
        <f ca="1">'Debt worksheet'!P8</f>
        <v>17212442.348664526</v>
      </c>
      <c r="Q8" s="4">
        <f ca="1">'Debt worksheet'!Q8</f>
        <v>18009728.104535896</v>
      </c>
      <c r="R8" s="4">
        <f ca="1">'Debt worksheet'!R8</f>
        <v>18856453.863952775</v>
      </c>
      <c r="S8" s="4">
        <f ca="1">'Debt worksheet'!S8</f>
        <v>19751221.575741399</v>
      </c>
      <c r="T8" s="4">
        <f ca="1">'Debt worksheet'!T8</f>
        <v>20692193.274703696</v>
      </c>
      <c r="U8" s="4">
        <f ca="1">'Debt worksheet'!U8</f>
        <v>21677046.132019203</v>
      </c>
      <c r="V8" s="4">
        <f ca="1">'Debt worksheet'!V8</f>
        <v>22702924.060681079</v>
      </c>
      <c r="W8" s="4">
        <f ca="1">'Debt worksheet'!W8</f>
        <v>23766385.64663402</v>
      </c>
      <c r="X8" s="4">
        <f ca="1">'Debt worksheet'!X8</f>
        <v>24863348.162233073</v>
      </c>
      <c r="Y8" s="4">
        <f ca="1">'Debt worksheet'!Y8</f>
        <v>25989027.403777633</v>
      </c>
      <c r="Z8" s="4">
        <f ca="1">'Debt worksheet'!Z8</f>
        <v>27137873.079149365</v>
      </c>
      <c r="AA8" s="4">
        <f ca="1">'Debt worksheet'!AA8</f>
        <v>28303499.454947341</v>
      </c>
      <c r="AB8" s="4">
        <f ca="1">'Debt worksheet'!AB8</f>
        <v>29706369.530762233</v>
      </c>
      <c r="AC8" s="4">
        <f ca="1">'Debt worksheet'!AC8</f>
        <v>31365452.579921089</v>
      </c>
      <c r="AD8" s="4">
        <f ca="1">'Debt worksheet'!AD8</f>
        <v>33300838.076583248</v>
      </c>
      <c r="AE8" s="4">
        <f ca="1">'Debt worksheet'!AE8</f>
        <v>35533792.918936454</v>
      </c>
      <c r="AF8" s="4">
        <f ca="1">'Debt worksheet'!AF8</f>
        <v>38086821.342594348</v>
      </c>
    </row>
    <row r="9" spans="1:32" x14ac:dyDescent="0.35">
      <c r="A9" t="s">
        <v>22</v>
      </c>
      <c r="C9" s="4">
        <f ca="1">C5-C6-C7-C8</f>
        <v>-13935644.95987341</v>
      </c>
      <c r="D9" s="4">
        <f t="shared" ref="D9:AF9" ca="1" si="2">D5-D6-D7-D8</f>
        <v>-3408534.0736083537</v>
      </c>
      <c r="E9" s="4">
        <f t="shared" ca="1" si="2"/>
        <v>13497633.780801181</v>
      </c>
      <c r="F9" s="4">
        <f t="shared" ca="1" si="2"/>
        <v>28820380.223717973</v>
      </c>
      <c r="G9" s="4">
        <f t="shared" ca="1" si="2"/>
        <v>37227498.463515513</v>
      </c>
      <c r="H9" s="4">
        <f t="shared" ca="1" si="2"/>
        <v>42585735.432576388</v>
      </c>
      <c r="I9" s="4">
        <f t="shared" ca="1" si="2"/>
        <v>46713410.466025196</v>
      </c>
      <c r="J9" s="4">
        <f t="shared" ca="1" si="2"/>
        <v>51644610.86185918</v>
      </c>
      <c r="K9" s="4">
        <f t="shared" ca="1" si="2"/>
        <v>54587837.193872958</v>
      </c>
      <c r="L9" s="4">
        <f t="shared" ca="1" si="2"/>
        <v>56433624.388168193</v>
      </c>
      <c r="M9" s="4">
        <f t="shared" ca="1" si="2"/>
        <v>58527227.423030749</v>
      </c>
      <c r="N9" s="4">
        <f t="shared" ca="1" si="2"/>
        <v>60897867.272350535</v>
      </c>
      <c r="O9" s="4">
        <f t="shared" ca="1" si="2"/>
        <v>63577420.82030692</v>
      </c>
      <c r="P9" s="4">
        <f t="shared" ca="1" si="2"/>
        <v>66600627.715117693</v>
      </c>
      <c r="Q9" s="4">
        <f t="shared" ca="1" si="2"/>
        <v>68962170.238773748</v>
      </c>
      <c r="R9" s="4">
        <f t="shared" ca="1" si="2"/>
        <v>70485335.13333945</v>
      </c>
      <c r="S9" s="4">
        <f t="shared" ca="1" si="2"/>
        <v>72142387.912737504</v>
      </c>
      <c r="T9" s="4">
        <f t="shared" ca="1" si="2"/>
        <v>73948903.743189797</v>
      </c>
      <c r="U9" s="4">
        <f t="shared" ca="1" si="2"/>
        <v>75921838.263360009</v>
      </c>
      <c r="V9" s="4">
        <f t="shared" ca="1" si="2"/>
        <v>78079629.090294123</v>
      </c>
      <c r="W9" s="4">
        <f t="shared" ca="1" si="2"/>
        <v>80442303.976215184</v>
      </c>
      <c r="X9" s="4">
        <f t="shared" ca="1" si="2"/>
        <v>83031596.0207223</v>
      </c>
      <c r="Y9" s="4">
        <f t="shared" ca="1" si="2"/>
        <v>85871066.366347075</v>
      </c>
      <c r="Z9" s="4">
        <f t="shared" ca="1" si="2"/>
        <v>88986234.830134705</v>
      </c>
      <c r="AA9" s="4">
        <f t="shared" ca="1" si="2"/>
        <v>92404718.950003326</v>
      </c>
      <c r="AB9" s="4">
        <f t="shared" ca="1" si="2"/>
        <v>89648994.070935249</v>
      </c>
      <c r="AC9" s="4">
        <f t="shared" ca="1" si="2"/>
        <v>86480015.283551395</v>
      </c>
      <c r="AD9" s="4">
        <f t="shared" ca="1" si="2"/>
        <v>82869896.060333014</v>
      </c>
      <c r="AE9" s="4">
        <f t="shared" ca="1" si="2"/>
        <v>78789246.740039229</v>
      </c>
      <c r="AF9" s="4">
        <f t="shared" ca="1" si="2"/>
        <v>74207101.882880628</v>
      </c>
    </row>
    <row r="12" spans="1:32" x14ac:dyDescent="0.35">
      <c r="A12" t="s">
        <v>80</v>
      </c>
      <c r="C12" s="2">
        <f>Assumptions!$C$25*Assumptions!D9*Assumptions!D13</f>
        <v>21559770.538733128</v>
      </c>
      <c r="D12" s="2">
        <f>Assumptions!$C$25*Assumptions!E9*Assumptions!E13</f>
        <v>22262701.697924577</v>
      </c>
      <c r="E12" s="2">
        <f>Assumptions!$C$25*Assumptions!F9*Assumptions!F13</f>
        <v>22988551.107274324</v>
      </c>
      <c r="F12" s="2">
        <f>Assumptions!$C$25*Assumptions!G9*Assumptions!G13</f>
        <v>23738065.989584278</v>
      </c>
      <c r="G12" s="2">
        <f>Assumptions!$C$25*Assumptions!H9*Assumptions!H13</f>
        <v>24512017.929983832</v>
      </c>
      <c r="H12" s="2">
        <f>Assumptions!$C$25*Assumptions!I9*Assumptions!I13</f>
        <v>25311203.670235101</v>
      </c>
      <c r="I12" s="2">
        <f>Assumptions!$C$25*Assumptions!J9*Assumptions!J13</f>
        <v>26136445.928935628</v>
      </c>
      <c r="J12" s="2">
        <f>Assumptions!$C$25*Assumptions!K9*Assumptions!K13</f>
        <v>26988594.248462733</v>
      </c>
      <c r="K12" s="2">
        <f>Assumptions!$C$25*Assumptions!L9*Assumptions!L13</f>
        <v>27868525.869531568</v>
      </c>
      <c r="L12" s="2">
        <f>Assumptions!$C$25*Assumptions!M9*Assumptions!M13</f>
        <v>28777146.634267114</v>
      </c>
      <c r="M12" s="2">
        <f>Assumptions!$C$25*Assumptions!N9*Assumptions!N13</f>
        <v>29715391.91871978</v>
      </c>
      <c r="N12" s="2">
        <f>Assumptions!$C$25*Assumptions!O9*Assumptions!O13</f>
        <v>30684227.595784511</v>
      </c>
      <c r="O12" s="2">
        <f>Assumptions!$C$25*Assumptions!P9*Assumptions!P13</f>
        <v>31684651.029514916</v>
      </c>
      <c r="P12" s="2">
        <f>Assumptions!$C$25*Assumptions!Q9*Assumptions!Q13</f>
        <v>32717692.101855662</v>
      </c>
      <c r="Q12" s="2">
        <f>Assumptions!$C$25*Assumptions!R9*Assumptions!R13</f>
        <v>33784414.272850424</v>
      </c>
      <c r="R12" s="2">
        <f>Assumptions!$C$25*Assumptions!S9*Assumptions!S13</f>
        <v>34885915.675416574</v>
      </c>
      <c r="S12" s="2">
        <f>Assumptions!$C$25*Assumptions!T9*Assumptions!T13</f>
        <v>36023330.245813787</v>
      </c>
      <c r="T12" s="2">
        <f>Assumptions!$C$25*Assumptions!U9*Assumptions!U13</f>
        <v>37197828.890970245</v>
      </c>
      <c r="U12" s="2">
        <f>Assumptions!$C$25*Assumptions!V9*Assumptions!V13</f>
        <v>38410620.693868138</v>
      </c>
      <c r="V12" s="2">
        <f>Assumptions!$C$25*Assumptions!W9*Assumptions!W13</f>
        <v>39662954.158229314</v>
      </c>
      <c r="W12" s="2">
        <f>Assumptions!$C$25*Assumptions!X9*Assumptions!X13</f>
        <v>40956118.493782572</v>
      </c>
      <c r="X12" s="2">
        <f>Assumptions!$C$25*Assumptions!Y9*Assumptions!Y13</f>
        <v>42291444.943435431</v>
      </c>
      <c r="Y12" s="2">
        <f>Assumptions!$C$25*Assumptions!Z9*Assumptions!Z13</f>
        <v>43670308.153716944</v>
      </c>
      <c r="Z12" s="2">
        <f>Assumptions!$C$25*Assumptions!AA9*Assumptions!AA13</f>
        <v>45094127.589902088</v>
      </c>
      <c r="AA12" s="2">
        <f>Assumptions!$C$25*Assumptions!AB9*Assumptions!AB13</f>
        <v>46564368.997274682</v>
      </c>
      <c r="AB12" s="2">
        <f>Assumptions!$C$25*Assumptions!AC9*Assumptions!AC13</f>
        <v>48082545.91003304</v>
      </c>
      <c r="AC12" s="2">
        <f>Assumptions!$C$25*Assumptions!AD9*Assumptions!AD13</f>
        <v>49650221.20939184</v>
      </c>
      <c r="AD12" s="2">
        <f>Assumptions!$C$25*Assumptions!AE9*Assumptions!AE13</f>
        <v>51269008.732483931</v>
      </c>
      <c r="AE12" s="2">
        <f>Assumptions!$C$25*Assumptions!AF9*Assumptions!AF13</f>
        <v>52940574.933718607</v>
      </c>
      <c r="AF12" s="2">
        <f>Assumptions!$C$25*Assumptions!AG9*Assumptions!AG13</f>
        <v>54666640.600306489</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81</v>
      </c>
      <c r="C14" s="5">
        <f>Assumptions!D122*Assumptions!D9</f>
        <v>1753653.4505622524</v>
      </c>
      <c r="D14" s="5">
        <f>Assumptions!E122*Assumptions!E9</f>
        <v>3584467.6529492438</v>
      </c>
      <c r="E14" s="5">
        <f>Assumptions!F122*Assumptions!F9</f>
        <v>5494988.9119711909</v>
      </c>
      <c r="F14" s="5">
        <f>Assumptions!G122*Assumptions!G9</f>
        <v>7487838.2240460766</v>
      </c>
      <c r="G14" s="5">
        <f>Assumptions!H122*Assumptions!H9</f>
        <v>9565713.3312188648</v>
      </c>
      <c r="H14" s="5">
        <f>Assumptions!I122*Assumptions!I9</f>
        <v>11731390.829406815</v>
      </c>
      <c r="I14" s="5">
        <f>Assumptions!J122*Assumptions!J9</f>
        <v>13987728.332262727</v>
      </c>
      <c r="J14" s="5">
        <f>Assumptions!K122*Assumptions!K9</f>
        <v>16337666.692082867</v>
      </c>
      <c r="K14" s="5">
        <f>Assumptions!L122*Assumptions!L9</f>
        <v>18784232.279222276</v>
      </c>
      <c r="L14" s="5">
        <f>Assumptions!M122*Assumptions!M9</f>
        <v>21330539.321516849</v>
      </c>
      <c r="M14" s="5">
        <f>Assumptions!N122*Assumptions!N9</f>
        <v>23979792.305249248</v>
      </c>
      <c r="N14" s="5">
        <f>Assumptions!O122*Assumptions!O9</f>
        <v>26735288.439234253</v>
      </c>
      <c r="O14" s="5">
        <f>Assumptions!P122*Assumptions!P9</f>
        <v>29600420.183638856</v>
      </c>
      <c r="P14" s="5">
        <f>Assumptions!Q122*Assumptions!Q9</f>
        <v>32578677.845192671</v>
      </c>
      <c r="Q14" s="5">
        <f>Assumptions!R122*Assumptions!R9</f>
        <v>35673652.240485981</v>
      </c>
      <c r="R14" s="5">
        <f>Assumptions!S122*Assumptions!S9</f>
        <v>38889037.429095119</v>
      </c>
      <c r="S14" s="5">
        <f>Assumptions!T122*Assumptions!T9</f>
        <v>42228633.518318661</v>
      </c>
      <c r="T14" s="5">
        <f>Assumptions!U122*Assumptions!U9</f>
        <v>45696349.541352354</v>
      </c>
      <c r="U14" s="5">
        <f>Assumptions!V122*Assumptions!V9</f>
        <v>49296206.410776667</v>
      </c>
      <c r="V14" s="5">
        <f>Assumptions!W122*Assumptions!W9</f>
        <v>53032339.949277632</v>
      </c>
      <c r="W14" s="5">
        <f>Assumptions!X122*Assumptions!X9</f>
        <v>56909003.999569833</v>
      </c>
      <c r="X14" s="5">
        <f>Assumptions!Y122*Assumptions!Y9</f>
        <v>60930573.615539424</v>
      </c>
      <c r="Y14" s="5">
        <f>Assumptions!Z122*Assumptions!Z9</f>
        <v>65101548.336675905</v>
      </c>
      <c r="Z14" s="5">
        <f>Assumptions!AA122*Assumptions!AA9</f>
        <v>69426555.547912464</v>
      </c>
      <c r="AA14" s="5">
        <f>Assumptions!AB122*Assumptions!AB9</f>
        <v>73910353.927048475</v>
      </c>
      <c r="AB14" s="5">
        <f>Assumptions!AC122*Assumptions!AC9</f>
        <v>78557836.981981292</v>
      </c>
      <c r="AC14" s="5">
        <f>Assumptions!AD122*Assumptions!AD9</f>
        <v>83374036.680030465</v>
      </c>
      <c r="AD14" s="5">
        <f>Assumptions!AE122*Assumptions!AE9</f>
        <v>88364127.171694502</v>
      </c>
      <c r="AE14" s="5">
        <f>Assumptions!AF122*Assumptions!AF9</f>
        <v>93533428.611238644</v>
      </c>
      <c r="AF14" s="5">
        <f>Assumptions!AG122*Assumptions!AG9</f>
        <v>98887411.076571599</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195</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62</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83</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84</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94</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85</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86</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46</v>
      </c>
      <c r="C27" s="2">
        <f>C12+C13+C14+C19+C20+C22+C24+C25</f>
        <v>23313423.989295382</v>
      </c>
      <c r="D27" s="2">
        <f t="shared" ref="D27:AF27" si="8">D12+D13+D14+D19+D20+D22+D24+D25</f>
        <v>25847169.35087382</v>
      </c>
      <c r="E27" s="2">
        <f t="shared" si="8"/>
        <v>28483540.019245513</v>
      </c>
      <c r="F27" s="2">
        <f t="shared" si="8"/>
        <v>31225904.213630356</v>
      </c>
      <c r="G27" s="2">
        <f t="shared" si="8"/>
        <v>34077731.261202693</v>
      </c>
      <c r="H27" s="2">
        <f t="shared" si="8"/>
        <v>37042594.499641918</v>
      </c>
      <c r="I27" s="2">
        <f t="shared" si="8"/>
        <v>40124174.261198357</v>
      </c>
      <c r="J27" s="2">
        <f t="shared" si="8"/>
        <v>43326260.940545604</v>
      </c>
      <c r="K27" s="2">
        <f t="shared" si="8"/>
        <v>46652758.148753844</v>
      </c>
      <c r="L27" s="2">
        <f t="shared" si="8"/>
        <v>50107685.955783963</v>
      </c>
      <c r="M27" s="2">
        <f t="shared" si="8"/>
        <v>53695184.223969027</v>
      </c>
      <c r="N27" s="2">
        <f t="shared" si="8"/>
        <v>57419516.035018764</v>
      </c>
      <c r="O27" s="2">
        <f t="shared" si="8"/>
        <v>61285071.213153772</v>
      </c>
      <c r="P27" s="2">
        <f t="shared" si="8"/>
        <v>65296369.947048336</v>
      </c>
      <c r="Q27" s="2">
        <f t="shared" si="8"/>
        <v>69458066.513336405</v>
      </c>
      <c r="R27" s="2">
        <f t="shared" si="8"/>
        <v>73774953.104511693</v>
      </c>
      <c r="S27" s="2">
        <f t="shared" si="8"/>
        <v>78251963.76413244</v>
      </c>
      <c r="T27" s="2">
        <f t="shared" si="8"/>
        <v>82894178.432322592</v>
      </c>
      <c r="U27" s="2">
        <f t="shared" si="8"/>
        <v>87706827.104644805</v>
      </c>
      <c r="V27" s="2">
        <f t="shared" si="8"/>
        <v>92695294.107506946</v>
      </c>
      <c r="W27" s="2">
        <f t="shared" si="8"/>
        <v>97865122.493352413</v>
      </c>
      <c r="X27" s="2">
        <f t="shared" si="8"/>
        <v>103222018.55897486</v>
      </c>
      <c r="Y27" s="2">
        <f t="shared" si="8"/>
        <v>108771856.49039285</v>
      </c>
      <c r="Z27" s="2">
        <f t="shared" si="8"/>
        <v>114520683.13781455</v>
      </c>
      <c r="AA27" s="2">
        <f t="shared" si="8"/>
        <v>120474722.92432316</v>
      </c>
      <c r="AB27" s="2">
        <f t="shared" si="8"/>
        <v>126640382.89201432</v>
      </c>
      <c r="AC27" s="2">
        <f t="shared" si="8"/>
        <v>133024257.8894223</v>
      </c>
      <c r="AD27" s="2">
        <f t="shared" si="8"/>
        <v>139633135.90417844</v>
      </c>
      <c r="AE27" s="2">
        <f t="shared" si="8"/>
        <v>146474003.54495725</v>
      </c>
      <c r="AF27" s="2">
        <f t="shared" si="8"/>
        <v>153554051.67687809</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3W2DU3RAJ5R2-1900874439-774</_dlc_DocId>
    <_dlc_DocIdUrl xmlns="f54e2983-00ce-40fc-8108-18f351fc47bf">
      <Url>https://dia.cohesion.net.nz/Sites/LGV/TWRP/CAE/_layouts/15/DocIdRedir.aspx?ID=3W2DU3RAJ5R2-1900874439-774</Url>
      <Description>3W2DU3RAJ5R2-1900874439-774</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BCC2D2A-763C-48F8-A3E5-6B0A81386C39}">
  <ds:schemaRefs>
    <ds:schemaRef ds:uri="http://schemas.microsoft.com/office/2006/documentManagement/types"/>
    <ds:schemaRef ds:uri="http://schemas.microsoft.com/office/infopath/2007/PartnerControls"/>
    <ds:schemaRef ds:uri="65b6d800-2dda-48d6-88d8-9e2b35e6f7ea"/>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08a23fc5-e034-477c-ac83-93bc1440f322"/>
    <ds:schemaRef ds:uri="http://www.w3.org/XML/1998/namespace"/>
    <ds:schemaRef ds:uri="http://purl.org/dc/dcmitype/"/>
  </ds:schemaRefs>
</ds:datastoreItem>
</file>

<file path=customXml/itemProps2.xml><?xml version="1.0" encoding="utf-8"?>
<ds:datastoreItem xmlns:ds="http://schemas.openxmlformats.org/officeDocument/2006/customXml" ds:itemID="{1BEDA5D5-626E-4C12-87C2-FCF8FB5EF532}"/>
</file>

<file path=customXml/itemProps3.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4.xml><?xml version="1.0" encoding="utf-8"?>
<ds:datastoreItem xmlns:ds="http://schemas.openxmlformats.org/officeDocument/2006/customXml" ds:itemID="{25EED092-A109-42E0-BD40-6852BB297F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2021-06-28T21:54:15Z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8f7bda47-6901-472d-af18-862b0d626fe6</vt:lpwstr>
  </property>
</Properties>
</file>