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405" documentId="8_{1619FAD5-7397-4614-9522-B001E5BF9BDC}" xr6:coauthVersionLast="45" xr6:coauthVersionMax="47" xr10:uidLastSave="{5218C1F7-6EA7-4631-BAE8-47019A740F4C}"/>
  <bookViews>
    <workbookView xWindow="-28920" yWindow="8085" windowWidth="29040" windowHeight="1584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3" i="2"/>
  <c r="C87" i="2"/>
  <c r="C82" i="2"/>
  <c r="C89" i="2"/>
  <c r="C94" i="2"/>
  <c r="C90" i="2"/>
  <c r="C95" i="2"/>
  <c r="C96" i="2"/>
  <c r="C102" i="2"/>
  <c r="D113" i="2"/>
  <c r="C58" i="2"/>
  <c r="C106" i="2"/>
  <c r="C63" i="2"/>
  <c r="C107" i="2"/>
  <c r="D11"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<sst xmlns="http://schemas.openxmlformats.org/spreadsheetml/2006/main" count="277" uniqueCount="204">
  <si>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</si>
  <si>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</si>
  <si>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</si>
  <si>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</si>
  <si>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</si>
  <si>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</si>
  <si>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</si>
  <si>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</si>
  <si>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</si>
  <si>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</si>
  <si>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</si>
  <si>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</si>
  <si>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</si>
  <si>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</si>
  <si>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</si>
  <si>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</si>
  <si>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</si>
  <si>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</si>
  <si>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</si>
  <si>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</si>
  <si>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</si>
  <si>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</si>
  <si>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</si>
  <si>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</si>
  <si>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</si>
  <si>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</si>
  <si>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</si>
  <si>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</si>
  <si>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</si>
  <si>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</si>
  <si>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</si>
  <si>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</si>
  <si>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</si>
  <si>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</si>
  <si>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</si>
  <si>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</si>
  <si>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</si>
  <si>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</si>
  <si>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</si>
  <si>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</si>
  <si>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</si>
  <si>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</si>
  <si>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</si>
  <si>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</si>
  <si>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</si>
  <si>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</si>
  <si>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</si>
  <si>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</si>
  <si>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</si>
  <si>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</si>
  <si>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</si>
  <si>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</si>
  <si>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</si>
  <si>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</si>
  <si>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</si>
  <si>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</si>
  <si>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</si>
  <si>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</si>
  <si>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</si>
  <si>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</si>
  <si>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</si>
  <si>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</si>
  <si>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</si>
  <si>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</si>
  <si>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</si>
  <si>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</si>
  <si>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</si>
  <si>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</si>
  <si>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</si>
  <si>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</si>
  <si>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</si>
  <si>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</si>
  <si>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</si>
  <si>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</si>
  <si>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</si>
  <si>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</si>
  <si>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</si>
  <si>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</si>
  <si>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</si>
  <si>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</si>
  <si>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</si>
  <si>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</si>
  <si>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</si>
  <si>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</si>
  <si>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</si>
  <si>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</si>
  <si>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</si>
  <si>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</si>
  <si>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</si>
  <si>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</si>
  <si>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</si>
  <si>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</si>
  <si>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</si>
  <si>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</si>
  <si>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</si>
  <si>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</si>
  <si>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</si>
  <si>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</si>
  <si>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</si>
  <si>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</si>
  <si>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</si>
  <si>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</si>
  <si>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</si>
  <si>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</si>
  <si>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</si>
  <si>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</si>
  <si>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</si>
  <si>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</si>
  <si>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</si>
  <si>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</si>
  <si>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</si>
  <si>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</si>
  <si>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</si>
  <si>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</si>
  <si>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</si>
  <si>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</si>
  <si>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</si>
  <si>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</si>
  <si>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</si>
  <si>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</si>
  <si>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</si>
  <si>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</si>
  <si>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</si>
  <si>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</si>
  <si>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</si>
  <si>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</si>
  <si>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</si>
  <si>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</si>
  <si>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</si>
  <si>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</si>
  <si>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</si>
  <si>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</si>
  <si>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</si>
  <si>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</si>
  <si>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</si>
  <si>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</si>
  <si>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</si>
  <si>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</si>
  <si>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</si>
  <si>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</si>
  <si>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</si>
  <si>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</si>
  <si>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</si>
  <si>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</si>
  <si>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</si>
  <si>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</si>
  <si>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</si>
  <si>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</si>
  <si>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</si>
  <si>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</si>
  <si>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</si>
  <si>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</si>
  <si>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</si>
  <si>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</si>
  <si>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</si>
  <si>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</si>
  <si>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</si>
  <si>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</si>
  <si>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</si>
  <si>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</si>
  <si>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</si>
  <si>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</si>
  <si>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</si>
  <si>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</si>
  <si>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</si>
  <si>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</si>
  <si>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</si>
  <si>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</si>
  <si>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</si>
  <si>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</si>
  <si>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</si>
  <si>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</si>
  <si>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</si>
  <si>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</si>
  <si>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</si>
  <si>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</si>
  <si>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</si>
  <si>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</si>
  <si>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</si>
  <si>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</si>
  <si>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</si>
  <si>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</si>
  <si>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</si>
  <si>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</si>
  <si>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</si>
  <si>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</si>
  <si>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</si>
  <si>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</si>
  <si>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</si>
  <si>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</si>
  <si>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</si>
  <si>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</si>
  <si>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</si>
  <si>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</si>
  <si>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</si>
  <si>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</si>
  <si>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Dunedin Stand-alone Council</t>
  </si>
  <si>
    <t>RFI Table F10; Lines F10.62 - F10.61 + F10.70</t>
  </si>
  <si>
    <t>RFI Table G1 - unconstrained; Line G1.3 
As forecasts were not provided for 2032-51, the average annual growth investment over 2022-31 is assumed to continue over 2032-51.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</si>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</sst>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196</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187</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188</v>
      </c>
      <c r="B6" s="1">
        <f>Assumptions!C17</f>
        <v>6025435000.000001</v>
      </c>
      <c r="C6" s="12">
        <f ca="1">B6+Depreciation!C18+'Cash Flow'!C13</f>
        <v>6065847385.0538931</v>
      </c>
      <c r="D6" s="1">
        <f ca="1">C6+Depreciation!D18</f>
        <v>6256061269.806778</v>
      </c>
      <c r="E6" s="1">
        <f ca="1">D6+Depreciation!E18</f>
        <v>6454791835.8570204</v>
      </c>
      <c r="F6" s="1">
        <f ca="1">E6+Depreciation!F18</f>
        <v>6662389371.7896652</v>
      </c>
      <c r="G6" s="1">
        <f ca="1">F6+Depreciation!G18</f>
        <v>6878938206.5441532</v>
      </c>
      <c r="H6" s="1">
        <f ca="1">G6+Depreciation!H18</f>
        <v>7104792610.1445456</v>
      </c>
      <c r="I6" s="1">
        <f ca="1">H6+Depreciation!I18</f>
        <v>7340320182.4732151</v>
      </c>
      <c r="J6" s="1">
        <f ca="1">I6+Depreciation!J18</f>
        <v>7585902338.3993073</v>
      </c>
      <c r="K6" s="1">
        <f ca="1">J6+Depreciation!K18</f>
        <v>7841934810.1525469</v>
      </c>
      <c r="L6" s="1">
        <f ca="1">K6+Depreciation!L18</f>
        <v>8109020853.0098667</v>
      </c>
      <c r="M6" s="1">
        <f ca="1">L6+Depreciation!M18</f>
        <v>8387602698.4412079</v>
      </c>
      <c r="N6" s="1">
        <f ca="1">M6+Depreciation!N18</f>
        <v>8678139468.4272251</v>
      </c>
      <c r="O6" s="1">
        <f ca="1">N6+Depreciation!O18</f>
        <v>8981107800.7153111</v>
      </c>
      <c r="P6" s="1">
        <f ca="1">O6+Depreciation!P18</f>
        <v>9297002496.7066383</v>
      </c>
      <c r="Q6" s="1">
        <f ca="1">P6+Depreciation!Q18</f>
        <v>9626387420.5441914</v>
      </c>
      <c r="R6" s="1">
        <f ca="1">Q6+Depreciation!R18</f>
        <v>9969800080.1058617</v>
      </c>
      <c r="S6" s="1">
        <f ca="1">R6+Depreciation!S18</f>
        <v>10327798494.9732</v>
      </c>
      <c r="T6" s="1">
        <f ca="1">S6+Depreciation!T18</f>
        <v>10700961956.431438</v>
      </c>
      <c r="U6" s="1">
        <f ca="1">T6+Depreciation!U18</f>
        <v>11089891815.032272</v>
      </c>
      <c r="V6" s="1">
        <f ca="1">U6+Depreciation!V18</f>
        <v>11495331064.031759</v>
      </c>
      <c r="W6" s="1">
        <f ca="1">V6+Depreciation!W18</f>
        <v>11917938040.240208</v>
      </c>
      <c r="X6" s="1">
        <f ca="1">W6+Depreciation!X18</f>
        <v>12358396308.408014</v>
      </c>
      <c r="Y6" s="1">
        <f ca="1">X6+Depreciation!Y18</f>
        <v>12817415601.676941</v>
      </c>
      <c r="Z6" s="1">
        <f ca="1">Y6+Depreciation!Z18</f>
        <v>13295732796.386854</v>
      </c>
      <c r="AA6" s="1">
        <f ca="1">Z6+Depreciation!AA18</f>
        <v>13794112922.473671</v>
      </c>
      <c r="AB6" s="1">
        <f ca="1">AA6+Depreciation!AB18</f>
        <v>14313350210.738131</v>
      </c>
      <c r="AC6" s="1">
        <f ca="1">AB6+Depreciation!AC18</f>
        <v>14854269178.310488</v>
      </c>
      <c r="AD6" s="1">
        <f ca="1">AC6+Depreciation!AD18</f>
        <v>15417725753.683268</v>
      </c>
      <c r="AE6" s="1">
        <f ca="1">AD6+Depreciation!AE18</f>
        <v>16004608442.732901</v>
      </c>
      <c r="AF6" s="1"/>
      <c r="AG6" s="1"/>
      <c r="AH6" s="1"/>
      <c r="AI6" s="1"/>
      <c r="AJ6" s="1"/>
      <c r="AK6" s="1"/>
      <c r="AL6" s="1"/>
      <c r="AM6" s="1"/>
      <c r="AN6" s="1"/>
      <c r="AO6" s="1"/>
      <c r="AP6" s="1"/>
    </row>
    <row r="7" spans="1:42" x14ac:dyDescent="0.35">
      <c r="A7" t="s">
        <v>12</v>
      </c>
      <c r="B7" s="1">
        <f>Depreciation!C12</f>
        <v>3099689891.5707989</v>
      </c>
      <c r="C7" s="1">
        <f>Depreciation!D12</f>
        <v>3191799892.87464</v>
      </c>
      <c r="D7" s="1">
        <f>Depreciation!E12</f>
        <v>3289287251.2054696</v>
      </c>
      <c r="E7" s="1">
        <f>Depreciation!F12</f>
        <v>3392401796.7716804</v>
      </c>
      <c r="F7" s="1">
        <f>Depreciation!G12</f>
        <v>3501397288.0396852</v>
      </c>
      <c r="G7" s="1">
        <f>Depreciation!H12</f>
        <v>3616537769.1676059</v>
      </c>
      <c r="H7" s="1">
        <f>Depreciation!I12</f>
        <v>3738097962.7807913</v>
      </c>
      <c r="I7" s="1">
        <f>Depreciation!J12</f>
        <v>3866363677.1860976</v>
      </c>
      <c r="J7" s="1">
        <f>Depreciation!K12</f>
        <v>4001632228.5419121</v>
      </c>
      <c r="K7" s="1">
        <f>Depreciation!L12</f>
        <v>4144217394.584662</v>
      </c>
      <c r="L7" s="1">
        <f>Depreciation!M12</f>
        <v>4294445769.239418</v>
      </c>
      <c r="M7" s="1">
        <f>Depreciation!N12</f>
        <v>4452657258.617712</v>
      </c>
      <c r="N7" s="1">
        <f>Depreciation!O12</f>
        <v>4619205595.544776</v>
      </c>
      <c r="O7" s="1">
        <f>Depreciation!P12</f>
        <v>4794458873.291379</v>
      </c>
      <c r="P7" s="1">
        <f>Depreciation!Q12</f>
        <v>4978801276.4228201</v>
      </c>
      <c r="Q7" s="1">
        <f>Depreciation!R12</f>
        <v>5172632588.7872019</v>
      </c>
      <c r="R7" s="1">
        <f>Depreciation!S12</f>
        <v>5376368796.1278839</v>
      </c>
      <c r="S7" s="1">
        <f>Depreciation!T12</f>
        <v>5590442711.216342</v>
      </c>
      <c r="T7" s="1">
        <f>Depreciation!U12</f>
        <v>5815304622.3273859</v>
      </c>
      <c r="U7" s="1">
        <f>Depreciation!V12</f>
        <v>6051425749.5174112</v>
      </c>
      <c r="V7" s="1">
        <f>Depreciation!W12</f>
        <v>6299296424.0184937</v>
      </c>
      <c r="W7" s="1">
        <f>Depreciation!X12</f>
        <v>6559426828.8242979</v>
      </c>
      <c r="X7" s="1">
        <f>Depreciation!Y12</f>
        <v>6832347767.1036386</v>
      </c>
      <c r="Y7" s="1">
        <f>Depreciation!Z12</f>
        <v>7118611459.4643002</v>
      </c>
      <c r="Z7" s="1">
        <f>Depreciation!AA12</f>
        <v>7418792371.126689</v>
      </c>
      <c r="AA7" s="1">
        <f>Depreciation!AB12</f>
        <v>7733488070.1051388</v>
      </c>
      <c r="AB7" s="1">
        <f>Depreciation!AC12</f>
        <v>8063320117.5343342</v>
      </c>
      <c r="AC7" s="1">
        <f>Depreciation!AD12</f>
        <v>8408934991.3193703</v>
      </c>
      <c r="AD7" s="1">
        <f>Depreciation!AE12</f>
        <v>8771005044.330452</v>
      </c>
      <c r="AE7" s="1">
        <f>Depreciation!AF12</f>
        <v>9150229498.4072914</v>
      </c>
      <c r="AF7" s="1"/>
      <c r="AG7" s="1"/>
      <c r="AH7" s="1"/>
      <c r="AI7" s="1"/>
      <c r="AJ7" s="1"/>
      <c r="AK7" s="1"/>
      <c r="AL7" s="1"/>
      <c r="AM7" s="1"/>
      <c r="AN7" s="1"/>
      <c r="AO7" s="1"/>
      <c r="AP7" s="1"/>
    </row>
    <row r="8" spans="1:42" x14ac:dyDescent="0.35">
      <c r="A8" t="s">
        <v>189</v>
      </c>
      <c r="B8" s="1">
        <f t="shared" ref="B8:AE8" si="1">B6-B7</f>
        <v>2925745108.4292021</v>
      </c>
      <c r="C8" s="1">
        <f t="shared" ca="1" si="1"/>
        <v>2874047492.1792531</v>
      </c>
      <c r="D8" s="1">
        <f ca="1">D6-D7</f>
        <v>2966774018.6013083</v>
      </c>
      <c r="E8" s="1">
        <f t="shared" ca="1" si="1"/>
        <v>3062390039.08534</v>
      </c>
      <c r="F8" s="1">
        <f t="shared" ca="1" si="1"/>
        <v>3160992083.74998</v>
      </c>
      <c r="G8" s="1">
        <f t="shared" ca="1" si="1"/>
        <v>3262400437.3765473</v>
      </c>
      <c r="H8" s="1">
        <f t="shared" ca="1" si="1"/>
        <v>3366694647.3637543</v>
      </c>
      <c r="I8" s="1">
        <f t="shared" ca="1" si="1"/>
        <v>3473956505.2871175</v>
      </c>
      <c r="J8" s="1">
        <f t="shared" ca="1" si="1"/>
        <v>3584270109.8573952</v>
      </c>
      <c r="K8" s="1">
        <f t="shared" ca="1" si="1"/>
        <v>3697717415.5678849</v>
      </c>
      <c r="L8" s="1">
        <f t="shared" ca="1" si="1"/>
        <v>3814575083.7704487</v>
      </c>
      <c r="M8" s="1">
        <f t="shared" ca="1" si="1"/>
        <v>3934945439.8234959</v>
      </c>
      <c r="N8" s="1">
        <f t="shared" ca="1" si="1"/>
        <v>4058933872.8824492</v>
      </c>
      <c r="O8" s="1">
        <f t="shared" ca="1" si="1"/>
        <v>4186648927.4239321</v>
      </c>
      <c r="P8" s="1">
        <f t="shared" ca="1" si="1"/>
        <v>4318201220.2838182</v>
      </c>
      <c r="Q8" s="1">
        <f t="shared" ca="1" si="1"/>
        <v>4453754831.7569895</v>
      </c>
      <c r="R8" s="1">
        <f t="shared" ca="1" si="1"/>
        <v>4593431283.9779778</v>
      </c>
      <c r="S8" s="1">
        <f t="shared" ca="1" si="1"/>
        <v>4737355783.7568579</v>
      </c>
      <c r="T8" s="1">
        <f t="shared" ca="1" si="1"/>
        <v>4885657334.1040525</v>
      </c>
      <c r="U8" s="1">
        <f t="shared" ca="1" si="1"/>
        <v>5038466065.5148611</v>
      </c>
      <c r="V8" s="1">
        <f t="shared" ca="1" si="1"/>
        <v>5196034640.0132656</v>
      </c>
      <c r="W8" s="1">
        <f t="shared" ca="1" si="1"/>
        <v>5358511211.4159098</v>
      </c>
      <c r="X8" s="1">
        <f t="shared" ca="1" si="1"/>
        <v>5526048541.3043756</v>
      </c>
      <c r="Y8" s="1">
        <f t="shared" ca="1" si="1"/>
        <v>5698804142.2126408</v>
      </c>
      <c r="Z8" s="1">
        <f t="shared" ca="1" si="1"/>
        <v>5876940425.2601652</v>
      </c>
      <c r="AA8" s="1">
        <f t="shared" ca="1" si="1"/>
        <v>6060624852.3685322</v>
      </c>
      <c r="AB8" s="1">
        <f t="shared" ca="1" si="1"/>
        <v>6250030093.2037964</v>
      </c>
      <c r="AC8" s="1">
        <f t="shared" ca="1" si="1"/>
        <v>6445334186.9911175</v>
      </c>
      <c r="AD8" s="1">
        <f t="shared" ca="1" si="1"/>
        <v>6646720709.3528156</v>
      </c>
      <c r="AE8" s="1">
        <f t="shared" ca="1" si="1"/>
        <v>6854378944.3256092</v>
      </c>
      <c r="AF8" s="1"/>
      <c r="AG8" s="1"/>
      <c r="AH8" s="1"/>
      <c r="AI8" s="1"/>
      <c r="AJ8" s="1"/>
      <c r="AK8" s="1"/>
      <c r="AL8" s="1"/>
      <c r="AM8" s="1"/>
      <c r="AN8" s="1"/>
      <c r="AO8" s="1"/>
      <c r="AP8" s="1"/>
    </row>
    <row r="10" spans="1:42" x14ac:dyDescent="0.35">
      <c r="A10" t="s">
        <v>17</v>
      </c>
      <c r="B10" s="1">
        <f>B8-B11</f>
        <v>2826229108.4292021</v>
      </c>
      <c r="C10" s="1">
        <f ca="1">C8-C11</f>
        <v>2632909583.0954447</v>
      </c>
      <c r="D10" s="1">
        <f ca="1">D8-D11</f>
        <v>2594519094.1990604</v>
      </c>
      <c r="E10" s="1">
        <f t="shared" ref="E10:AE10" ca="1" si="2">E8-E11</f>
        <v>2578114167.7725725</v>
      </c>
      <c r="F10" s="1">
        <f t="shared" ca="1" si="2"/>
        <v>2595367544.9296579</v>
      </c>
      <c r="G10" s="1">
        <f ca="1">G8-G11</f>
        <v>2631069358.2944994</v>
      </c>
      <c r="H10" s="1">
        <f t="shared" ca="1" si="2"/>
        <v>2678494155.0267582</v>
      </c>
      <c r="I10" s="1">
        <f t="shared" ca="1" si="2"/>
        <v>2734952316.000226</v>
      </c>
      <c r="J10" s="1">
        <f t="shared" ca="1" si="2"/>
        <v>2802198342.139164</v>
      </c>
      <c r="K10" s="1">
        <f t="shared" ca="1" si="2"/>
        <v>2872809381.145678</v>
      </c>
      <c r="L10" s="1">
        <f t="shared" ca="1" si="2"/>
        <v>2947147323.7808447</v>
      </c>
      <c r="M10" s="1">
        <f t="shared" ca="1" si="2"/>
        <v>3025744525.0262818</v>
      </c>
      <c r="N10" s="1">
        <f t="shared" ca="1" si="2"/>
        <v>3109189698.6584811</v>
      </c>
      <c r="O10" s="1">
        <f t="shared" ca="1" si="2"/>
        <v>3194225683.1392055</v>
      </c>
      <c r="P10" s="1">
        <f t="shared" ca="1" si="2"/>
        <v>3281019672.6052232</v>
      </c>
      <c r="Q10" s="1">
        <f t="shared" ca="1" si="2"/>
        <v>3369712749.2748833</v>
      </c>
      <c r="R10" s="1">
        <f t="shared" ca="1" si="2"/>
        <v>3460503339.1231608</v>
      </c>
      <c r="S10" s="1">
        <f t="shared" ca="1" si="2"/>
        <v>3553612282.5645695</v>
      </c>
      <c r="T10" s="1">
        <f t="shared" ca="1" si="2"/>
        <v>3649284712.4463739</v>
      </c>
      <c r="U10" s="1">
        <f t="shared" ca="1" si="2"/>
        <v>3747789279.0105371</v>
      </c>
      <c r="V10" s="1">
        <f t="shared" ca="1" si="2"/>
        <v>3849301306.2462378</v>
      </c>
      <c r="W10" s="1">
        <f t="shared" ca="1" si="2"/>
        <v>3954123690.1118898</v>
      </c>
      <c r="X10" s="1">
        <f t="shared" ca="1" si="2"/>
        <v>4062590106.378952</v>
      </c>
      <c r="Y10" s="1">
        <f t="shared" ca="1" si="2"/>
        <v>4175067474.3069782</v>
      </c>
      <c r="Z10" s="1">
        <f t="shared" ca="1" si="2"/>
        <v>4291958588.0601225</v>
      </c>
      <c r="AA10" s="1">
        <f t="shared" ca="1" si="2"/>
        <v>4413704926.1595192</v>
      </c>
      <c r="AB10" s="1">
        <f t="shared" ca="1" si="2"/>
        <v>4540789649.8553143</v>
      </c>
      <c r="AC10" s="1">
        <f t="shared" ca="1" si="2"/>
        <v>4660382449.1495857</v>
      </c>
      <c r="AD10" s="1">
        <f t="shared" ca="1" si="2"/>
        <v>4771564315.7703381</v>
      </c>
      <c r="AE10" s="1">
        <f t="shared" ca="1" si="2"/>
        <v>4873355470.5517635</v>
      </c>
      <c r="AF10" s="1"/>
      <c r="AG10" s="1"/>
      <c r="AH10" s="1"/>
      <c r="AI10" s="1"/>
      <c r="AJ10" s="1"/>
      <c r="AK10" s="1"/>
      <c r="AL10" s="1"/>
      <c r="AM10" s="1"/>
      <c r="AN10" s="1"/>
      <c r="AO10" s="1"/>
    </row>
    <row r="11" spans="1:42" x14ac:dyDescent="0.35">
      <c r="A11" t="s">
        <v>9</v>
      </c>
      <c r="B11" s="1">
        <f>Assumptions!$C$20</f>
        <v>99516000</v>
      </c>
      <c r="C11" s="1">
        <f ca="1">'Debt worksheet'!D5</f>
        <v>241137909.08380866</v>
      </c>
      <c r="D11" s="1">
        <f ca="1">'Debt worksheet'!E5</f>
        <v>372254924.40224791</v>
      </c>
      <c r="E11" s="1">
        <f ca="1">'Debt worksheet'!F5</f>
        <v>484275871.31276757</v>
      </c>
      <c r="F11" s="1">
        <f ca="1">'Debt worksheet'!G5</f>
        <v>565624538.82032192</v>
      </c>
      <c r="G11" s="1">
        <f ca="1">'Debt worksheet'!H5</f>
        <v>631331079.08204818</v>
      </c>
      <c r="H11" s="1">
        <f ca="1">'Debt worksheet'!I5</f>
        <v>688200492.33699608</v>
      </c>
      <c r="I11" s="1">
        <f ca="1">'Debt worksheet'!J5</f>
        <v>739004189.28689122</v>
      </c>
      <c r="J11" s="1">
        <f ca="1">'Debt worksheet'!K5</f>
        <v>782071767.71823144</v>
      </c>
      <c r="K11" s="1">
        <f ca="1">'Debt worksheet'!L5</f>
        <v>824908034.42220676</v>
      </c>
      <c r="L11" s="1">
        <f ca="1">'Debt worksheet'!M5</f>
        <v>867427759.98960423</v>
      </c>
      <c r="M11" s="1">
        <f ca="1">'Debt worksheet'!N5</f>
        <v>909200914.79721391</v>
      </c>
      <c r="N11" s="1">
        <f ca="1">'Debt worksheet'!O5</f>
        <v>949744174.22396803</v>
      </c>
      <c r="O11" s="1">
        <f ca="1">'Debt worksheet'!P5</f>
        <v>992423244.28472662</v>
      </c>
      <c r="P11" s="1">
        <f ca="1">'Debt worksheet'!Q5</f>
        <v>1037181547.6785951</v>
      </c>
      <c r="Q11" s="1">
        <f ca="1">'Debt worksheet'!R5</f>
        <v>1084042082.4821062</v>
      </c>
      <c r="R11" s="1">
        <f ca="1">'Debt worksheet'!S5</f>
        <v>1132927944.8548169</v>
      </c>
      <c r="S11" s="1">
        <f ca="1">'Debt worksheet'!T5</f>
        <v>1183743501.1922884</v>
      </c>
      <c r="T11" s="1">
        <f ca="1">'Debt worksheet'!U5</f>
        <v>1236372621.6576784</v>
      </c>
      <c r="U11" s="1">
        <f ca="1">'Debt worksheet'!V5</f>
        <v>1290676786.504324</v>
      </c>
      <c r="V11" s="1">
        <f ca="1">'Debt worksheet'!W5</f>
        <v>1346733333.7670276</v>
      </c>
      <c r="W11" s="1">
        <f ca="1">'Debt worksheet'!X5</f>
        <v>1404387521.3040199</v>
      </c>
      <c r="X11" s="1">
        <f ca="1">'Debt worksheet'!Y5</f>
        <v>1463458434.9254239</v>
      </c>
      <c r="Y11" s="1">
        <f ca="1">'Debt worksheet'!Z5</f>
        <v>1523736667.9056625</v>
      </c>
      <c r="Z11" s="1">
        <f ca="1">'Debt worksheet'!AA5</f>
        <v>1584981837.2000427</v>
      </c>
      <c r="AA11" s="1">
        <f ca="1">'Debt worksheet'!AB5</f>
        <v>1646919926.2090127</v>
      </c>
      <c r="AB11" s="1">
        <f ca="1">'Debt worksheet'!AC5</f>
        <v>1709240443.3484819</v>
      </c>
      <c r="AC11" s="1">
        <f ca="1">'Debt worksheet'!AD5</f>
        <v>1784951737.8415322</v>
      </c>
      <c r="AD11" s="1">
        <f ca="1">'Debt worksheet'!AE5</f>
        <v>1875156393.5824773</v>
      </c>
      <c r="AE11" s="1">
        <f ca="1">'Debt worksheet'!AF5</f>
        <v>1981023473.7738461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-46560006.516905896</v>
      </c>
      <c r="D5" s="4">
        <f ca="1">'Profit and Loss'!D9</f>
        <v>-33013131.869395614</v>
      </c>
      <c r="E5" s="4">
        <f ca="1">'Profit and Loss'!E9</f>
        <v>-10777739.191106599</v>
      </c>
      <c r="F5" s="4">
        <f ca="1">'Profit and Loss'!F9</f>
        <v>23134322.858879928</v>
      </c>
      <c r="G5" s="4">
        <f ca="1">'Profit and Loss'!G9</f>
        <v>41846803.22475715</v>
      </c>
      <c r="H5" s="4">
        <f ca="1">'Profit and Loss'!H9</f>
        <v>53844509.217524216</v>
      </c>
      <c r="I5" s="4">
        <f ca="1">'Profit and Loss'!I9</f>
        <v>63163681.765588813</v>
      </c>
      <c r="J5" s="4">
        <f ca="1">'Profit and Loss'!J9</f>
        <v>74248863.089445293</v>
      </c>
      <c r="K5" s="4">
        <f ca="1">'Profit and Loss'!K9</f>
        <v>77927653.693449587</v>
      </c>
      <c r="L5" s="4">
        <f ca="1">'Profit and Loss'!L9</f>
        <v>81981151.247172341</v>
      </c>
      <c r="M5" s="4">
        <f ca="1">'Profit and Loss'!M9</f>
        <v>86580315.968975037</v>
      </c>
      <c r="N5" s="4">
        <f ca="1">'Profit and Loss'!N9</f>
        <v>91782021.180969626</v>
      </c>
      <c r="O5" s="4">
        <f ca="1">'Profit and Loss'!O9</f>
        <v>93740925.300263911</v>
      </c>
      <c r="P5" s="4">
        <f ca="1">'Profit and Loss'!P9</f>
        <v>95883114.850855947</v>
      </c>
      <c r="Q5" s="4">
        <f ca="1">'Profit and Loss'!Q9</f>
        <v>98181985.902601629</v>
      </c>
      <c r="R5" s="4">
        <f ca="1">'Profit and Loss'!R9</f>
        <v>100695484.82457766</v>
      </c>
      <c r="S5" s="4">
        <f ca="1">'Profit and Loss'!S9</f>
        <v>103446651.18918508</v>
      </c>
      <c r="T5" s="4">
        <f ca="1">'Profit and Loss'!T9</f>
        <v>106460425.90439035</v>
      </c>
      <c r="U5" s="4">
        <f ca="1">'Profit and Loss'!U9</f>
        <v>109763782.64314362</v>
      </c>
      <c r="V5" s="4">
        <f ca="1">'Profit and Loss'!V9</f>
        <v>113261574.54675904</v>
      </c>
      <c r="W5" s="4">
        <f ca="1">'Profit and Loss'!W9</f>
        <v>117082114.17037329</v>
      </c>
      <c r="X5" s="4">
        <f ca="1">'Profit and Loss'!X9</f>
        <v>121256949.74059725</v>
      </c>
      <c r="Y5" s="4">
        <f ca="1">'Profit and Loss'!Y9</f>
        <v>125820122.00934649</v>
      </c>
      <c r="Z5" s="4">
        <f ca="1">'Profit and Loss'!Z9</f>
        <v>130808333.05487165</v>
      </c>
      <c r="AA5" s="4">
        <f ca="1">'Profit and Loss'!AA9</f>
        <v>136261125.41545793</v>
      </c>
      <c r="AB5" s="4">
        <f ca="1">'Profit and Loss'!AB9</f>
        <v>142221072.14654049</v>
      </c>
      <c r="AC5" s="4">
        <f ca="1">'Profit and Loss'!AC9</f>
        <v>135375625.65011168</v>
      </c>
      <c r="AD5" s="4">
        <f ca="1">'Profit and Loss'!AD9</f>
        <v>127637045.84679803</v>
      </c>
      <c r="AE5" s="4">
        <f ca="1">'Profit and Loss'!AE9</f>
        <v>118945555.84718207</v>
      </c>
      <c r="AF5" s="4">
        <f ca="1">'Profit and Loss'!AF9</f>
        <v>109238144.07542625</v>
      </c>
      <c r="AG5" s="4"/>
      <c r="AH5" s="4"/>
      <c r="AI5" s="4"/>
      <c r="AJ5" s="4"/>
      <c r="AK5" s="4"/>
      <c r="AL5" s="4"/>
      <c r="AM5" s="4"/>
      <c r="AN5" s="4"/>
      <c r="AO5" s="4"/>
      <c r="AP5" s="4"/>
    </row>
    <row r="6" spans="1:42" x14ac:dyDescent="0.35">
      <c r="A6" t="s">
        <v>21</v>
      </c>
      <c r="C6" s="4">
        <f>Depreciation!C8+Depreciation!C9</f>
        <v>86972391.570798263</v>
      </c>
      <c r="D6" s="4">
        <f>Depreciation!D8+Depreciation!D9</f>
        <v>92110001.303840846</v>
      </c>
      <c r="E6" s="4">
        <f>Depreciation!E8+Depreciation!E9</f>
        <v>97487358.330829665</v>
      </c>
      <c r="F6" s="4">
        <f>Depreciation!F8+Depreciation!F9</f>
        <v>103114545.56621063</v>
      </c>
      <c r="G6" s="4">
        <f>Depreciation!G8+Depreciation!G9</f>
        <v>108995491.26800498</v>
      </c>
      <c r="H6" s="4">
        <f>Depreciation!H8+Depreciation!H9</f>
        <v>115140481.12792046</v>
      </c>
      <c r="I6" s="4">
        <f>Depreciation!I8+Depreciation!I9</f>
        <v>121560193.61318552</v>
      </c>
      <c r="J6" s="4">
        <f>Depreciation!J8+Depreciation!J9</f>
        <v>128265714.40530634</v>
      </c>
      <c r="K6" s="4">
        <f>Depreciation!K8+Depreciation!K9</f>
        <v>135268551.35581434</v>
      </c>
      <c r="L6" s="4">
        <f>Depreciation!L8+Depreciation!L9</f>
        <v>142585166.04275006</v>
      </c>
      <c r="M6" s="4">
        <f>Depreciation!M8+Depreciation!M9</f>
        <v>150228374.6547561</v>
      </c>
      <c r="N6" s="4">
        <f>Depreciation!N8+Depreciation!N9</f>
        <v>158211489.37829366</v>
      </c>
      <c r="O6" s="4">
        <f>Depreciation!O8+Depreciation!O9</f>
        <v>166548336.92706361</v>
      </c>
      <c r="P6" s="4">
        <f>Depreciation!P8+Depreciation!P9</f>
        <v>175253277.74660301</v>
      </c>
      <c r="Q6" s="4">
        <f>Depreciation!Q8+Depreciation!Q9</f>
        <v>184342403.13144097</v>
      </c>
      <c r="R6" s="4">
        <f>Depreciation!R8+Depreciation!R9</f>
        <v>193831312.36438203</v>
      </c>
      <c r="S6" s="4">
        <f>Depreciation!S8+Depreciation!S9</f>
        <v>203736207.34068203</v>
      </c>
      <c r="T6" s="4">
        <f>Depreciation!T8+Depreciation!T9</f>
        <v>214073915.08845857</v>
      </c>
      <c r="U6" s="4">
        <f>Depreciation!U8+Depreciation!U9</f>
        <v>224861911.11104417</v>
      </c>
      <c r="V6" s="4">
        <f>Depreciation!V8+Depreciation!V9</f>
        <v>236121127.1900247</v>
      </c>
      <c r="W6" s="4">
        <f>Depreciation!W8+Depreciation!W9</f>
        <v>247870674.50108233</v>
      </c>
      <c r="X6" s="4">
        <f>Depreciation!X8+Depreciation!X9</f>
        <v>260130404.80580494</v>
      </c>
      <c r="Y6" s="4">
        <f>Depreciation!Y8+Depreciation!Y9</f>
        <v>272920938.27934074</v>
      </c>
      <c r="Z6" s="4">
        <f>Depreciation!Z8+Depreciation!Z9</f>
        <v>286263692.36066169</v>
      </c>
      <c r="AA6" s="4">
        <f>Depreciation!AA8+Depreciation!AA9</f>
        <v>300180911.66238916</v>
      </c>
      <c r="AB6" s="4">
        <f>Depreciation!AB8+Depreciation!AB9</f>
        <v>314695698.97844982</v>
      </c>
      <c r="AC6" s="4">
        <f>Depreciation!AC8+Depreciation!AC9</f>
        <v>329832047.42919612</v>
      </c>
      <c r="AD6" s="4">
        <f>Depreciation!AD8+Depreciation!AD9</f>
        <v>345614873.78503621</v>
      </c>
      <c r="AE6" s="4">
        <f>Depreciation!AE8+Depreciation!AE9</f>
        <v>362070053.01108265</v>
      </c>
      <c r="AF6" s="4">
        <f>Depreciation!AF8+Depreciation!AF9</f>
        <v>379224454.07684004</v>
      </c>
      <c r="AG6" s="4"/>
      <c r="AH6" s="4"/>
      <c r="AI6" s="4"/>
      <c r="AJ6" s="4"/>
      <c r="AK6" s="4"/>
      <c r="AL6" s="4"/>
      <c r="AM6" s="4"/>
      <c r="AN6" s="4"/>
      <c r="AO6" s="4"/>
      <c r="AP6" s="4"/>
    </row>
    <row r="7" spans="1:42" x14ac:dyDescent="0.35">
      <c r="A7" t="s">
        <v>23</v>
      </c>
      <c r="C7" s="4">
        <f ca="1">C6+C5</f>
        <v>40412385.053892367</v>
      </c>
      <c r="D7" s="4">
        <f ca="1">D6+D5</f>
        <v>59096869.434445232</v>
      </c>
      <c r="E7" s="4">
        <f t="shared" ref="E7:AF7" ca="1" si="1">E6+E5</f>
        <v>86709619.139723063</v>
      </c>
      <c r="F7" s="4">
        <f t="shared" ca="1" si="1"/>
        <v>126248868.42509055</v>
      </c>
      <c r="G7" s="4">
        <f ca="1">G6+G5</f>
        <v>150842294.49276215</v>
      </c>
      <c r="H7" s="4">
        <f t="shared" ca="1" si="1"/>
        <v>168984990.34544468</v>
      </c>
      <c r="I7" s="4">
        <f t="shared" ca="1" si="1"/>
        <v>184723875.37877434</v>
      </c>
      <c r="J7" s="4">
        <f t="shared" ca="1" si="1"/>
        <v>202514577.49475163</v>
      </c>
      <c r="K7" s="4">
        <f t="shared" ca="1" si="1"/>
        <v>213196205.04926392</v>
      </c>
      <c r="L7" s="4">
        <f t="shared" ca="1" si="1"/>
        <v>224566317.28992242</v>
      </c>
      <c r="M7" s="4">
        <f t="shared" ca="1" si="1"/>
        <v>236808690.62373114</v>
      </c>
      <c r="N7" s="4">
        <f t="shared" ca="1" si="1"/>
        <v>249993510.55926329</v>
      </c>
      <c r="O7" s="4">
        <f t="shared" ca="1" si="1"/>
        <v>260289262.22732753</v>
      </c>
      <c r="P7" s="4">
        <f t="shared" ca="1" si="1"/>
        <v>271136392.59745896</v>
      </c>
      <c r="Q7" s="4">
        <f t="shared" ca="1" si="1"/>
        <v>282524389.0340426</v>
      </c>
      <c r="R7" s="4">
        <f t="shared" ca="1" si="1"/>
        <v>294526797.18895972</v>
      </c>
      <c r="S7" s="4">
        <f t="shared" ca="1" si="1"/>
        <v>307182858.52986711</v>
      </c>
      <c r="T7" s="4">
        <f t="shared" ca="1" si="1"/>
        <v>320534340.99284893</v>
      </c>
      <c r="U7" s="4">
        <f t="shared" ca="1" si="1"/>
        <v>334625693.75418782</v>
      </c>
      <c r="V7" s="4">
        <f t="shared" ca="1" si="1"/>
        <v>349382701.73678374</v>
      </c>
      <c r="W7" s="4">
        <f t="shared" ca="1" si="1"/>
        <v>364952788.67145562</v>
      </c>
      <c r="X7" s="4">
        <f t="shared" ca="1" si="1"/>
        <v>381387354.54640222</v>
      </c>
      <c r="Y7" s="4">
        <f t="shared" ca="1" si="1"/>
        <v>398741060.28868723</v>
      </c>
      <c r="Z7" s="4">
        <f t="shared" ca="1" si="1"/>
        <v>417072025.4155333</v>
      </c>
      <c r="AA7" s="4">
        <f t="shared" ca="1" si="1"/>
        <v>436442037.07784712</v>
      </c>
      <c r="AB7" s="4">
        <f t="shared" ca="1" si="1"/>
        <v>456916771.12499034</v>
      </c>
      <c r="AC7" s="4">
        <f t="shared" ca="1" si="1"/>
        <v>465207673.07930779</v>
      </c>
      <c r="AD7" s="4">
        <f t="shared" ca="1" si="1"/>
        <v>473251919.63183427</v>
      </c>
      <c r="AE7" s="4">
        <f t="shared" ca="1" si="1"/>
        <v>481015608.85826468</v>
      </c>
      <c r="AF7" s="4">
        <f t="shared" ca="1" si="1"/>
        <v>488462598.15226626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182034294.13770103</v>
      </c>
      <c r="D10" s="9">
        <f>Investment!D25</f>
        <v>190213884.75288451</v>
      </c>
      <c r="E10" s="9">
        <f>Investment!E25</f>
        <v>198730566.05024272</v>
      </c>
      <c r="F10" s="9">
        <f>Investment!F25</f>
        <v>207597535.93264493</v>
      </c>
      <c r="G10" s="9">
        <f>Investment!G25</f>
        <v>216548834.75448835</v>
      </c>
      <c r="H10" s="9">
        <f>Investment!H25</f>
        <v>225854403.60039264</v>
      </c>
      <c r="I10" s="9">
        <f>Investment!I25</f>
        <v>235527572.32866955</v>
      </c>
      <c r="J10" s="9">
        <f>Investment!J25</f>
        <v>245582155.92609185</v>
      </c>
      <c r="K10" s="9">
        <f>Investment!K25</f>
        <v>256032471.75323921</v>
      </c>
      <c r="L10" s="9">
        <f>Investment!L25</f>
        <v>267086042.85731983</v>
      </c>
      <c r="M10" s="9">
        <f>Investment!M25</f>
        <v>278581845.43134081</v>
      </c>
      <c r="N10" s="9">
        <f>Investment!N25</f>
        <v>290536769.98601735</v>
      </c>
      <c r="O10" s="9">
        <f>Investment!O25</f>
        <v>302968332.28808606</v>
      </c>
      <c r="P10" s="9">
        <f>Investment!P25</f>
        <v>315894695.9913274</v>
      </c>
      <c r="Q10" s="9">
        <f>Investment!Q25</f>
        <v>329384923.83755374</v>
      </c>
      <c r="R10" s="9">
        <f>Investment!R25</f>
        <v>343412659.56167048</v>
      </c>
      <c r="S10" s="9">
        <f>Investment!S25</f>
        <v>357998414.86733848</v>
      </c>
      <c r="T10" s="9">
        <f>Investment!T25</f>
        <v>373163461.45823884</v>
      </c>
      <c r="U10" s="9">
        <f>Investment!U25</f>
        <v>388929858.60083354</v>
      </c>
      <c r="V10" s="9">
        <f>Investment!V25</f>
        <v>405439248.9994874</v>
      </c>
      <c r="W10" s="9">
        <f>Investment!W25</f>
        <v>422606976.20844781</v>
      </c>
      <c r="X10" s="9">
        <f>Investment!X25</f>
        <v>440458268.16780615</v>
      </c>
      <c r="Y10" s="9">
        <f>Investment!Y25</f>
        <v>459019293.26892591</v>
      </c>
      <c r="Z10" s="9">
        <f>Investment!Z25</f>
        <v>478317194.70991361</v>
      </c>
      <c r="AA10" s="9">
        <f>Investment!AA25</f>
        <v>498380126.0868172</v>
      </c>
      <c r="AB10" s="9">
        <f>Investment!AB25</f>
        <v>519237288.26445949</v>
      </c>
      <c r="AC10" s="9">
        <f>Investment!AC25</f>
        <v>540918967.57235801</v>
      </c>
      <c r="AD10" s="9">
        <f>Investment!AD25</f>
        <v>563456575.37277937</v>
      </c>
      <c r="AE10" s="9">
        <f>Investment!AE25</f>
        <v>586882689.0496335</v>
      </c>
      <c r="AF10" s="9">
        <f>Investment!AF25</f>
        <v>611231094.46862459</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-141621909.08380866</v>
      </c>
      <c r="D12" s="1">
        <f t="shared" ref="D12:AF12" ca="1" si="2">D7-D9-D10</f>
        <v>-131117015.31843928</v>
      </c>
      <c r="E12" s="1">
        <f ca="1">E7-E9-E10</f>
        <v>-112020946.91051966</v>
      </c>
      <c r="F12" s="1">
        <f t="shared" ca="1" si="2"/>
        <v>-81348667.507554382</v>
      </c>
      <c r="G12" s="1">
        <f ca="1">G7-G9-G10</f>
        <v>-65706540.261726201</v>
      </c>
      <c r="H12" s="1">
        <f t="shared" ca="1" si="2"/>
        <v>-56869413.25494796</v>
      </c>
      <c r="I12" s="1">
        <f t="shared" ca="1" si="2"/>
        <v>-50803696.949895203</v>
      </c>
      <c r="J12" s="1">
        <f t="shared" ca="1" si="2"/>
        <v>-43067578.431340218</v>
      </c>
      <c r="K12" s="1">
        <f t="shared" ca="1" si="2"/>
        <v>-42836266.70397529</v>
      </c>
      <c r="L12" s="1">
        <f t="shared" ca="1" si="2"/>
        <v>-42519725.567397416</v>
      </c>
      <c r="M12" s="1">
        <f t="shared" ca="1" si="2"/>
        <v>-41773154.807609677</v>
      </c>
      <c r="N12" s="1">
        <f t="shared" ca="1" si="2"/>
        <v>-40543259.426754057</v>
      </c>
      <c r="O12" s="1">
        <f t="shared" ca="1" si="2"/>
        <v>-42679070.060758531</v>
      </c>
      <c r="P12" s="1">
        <f t="shared" ca="1" si="2"/>
        <v>-44758303.393868446</v>
      </c>
      <c r="Q12" s="1">
        <f t="shared" ca="1" si="2"/>
        <v>-46860534.803511143</v>
      </c>
      <c r="R12" s="1">
        <f t="shared" ca="1" si="2"/>
        <v>-48885862.372710764</v>
      </c>
      <c r="S12" s="1">
        <f t="shared" ca="1" si="2"/>
        <v>-50815556.337471366</v>
      </c>
      <c r="T12" s="1">
        <f t="shared" ca="1" si="2"/>
        <v>-52629120.465389907</v>
      </c>
      <c r="U12" s="1">
        <f t="shared" ca="1" si="2"/>
        <v>-54304164.846645713</v>
      </c>
      <c r="V12" s="1">
        <f t="shared" ca="1" si="2"/>
        <v>-56056547.262703657</v>
      </c>
      <c r="W12" s="1">
        <f t="shared" ca="1" si="2"/>
        <v>-57654187.536992192</v>
      </c>
      <c r="X12" s="1">
        <f t="shared" ca="1" si="2"/>
        <v>-59070913.621403933</v>
      </c>
      <c r="Y12" s="1">
        <f t="shared" ca="1" si="2"/>
        <v>-60278232.980238676</v>
      </c>
      <c r="Z12" s="1">
        <f t="shared" ca="1" si="2"/>
        <v>-61245169.294380307</v>
      </c>
      <c r="AA12" s="1">
        <f t="shared" ca="1" si="2"/>
        <v>-61938089.008970082</v>
      </c>
      <c r="AB12" s="1">
        <f t="shared" ca="1" si="2"/>
        <v>-62320517.139469147</v>
      </c>
      <c r="AC12" s="1">
        <f t="shared" ca="1" si="2"/>
        <v>-75711294.493050218</v>
      </c>
      <c r="AD12" s="1">
        <f t="shared" ca="1" si="2"/>
        <v>-90204655.740945101</v>
      </c>
      <c r="AE12" s="1">
        <f t="shared" ca="1" si="2"/>
        <v>-105867080.19136882</v>
      </c>
      <c r="AF12" s="1">
        <f t="shared" ca="1" si="2"/>
        <v>-122768496.31635833</v>
      </c>
      <c r="AG12" s="1"/>
      <c r="AH12" s="1"/>
      <c r="AI12" s="1"/>
      <c r="AJ12" s="1"/>
      <c r="AK12" s="1"/>
      <c r="AL12" s="1"/>
      <c r="AM12" s="1"/>
      <c r="AN12" s="1"/>
      <c r="AO12" s="1"/>
      <c r="AP12" s="1"/>
    </row>
    <row r="13" spans="1:42" x14ac:dyDescent="0.35">
      <c r="A13" t="s">
        <v>19</v>
      </c>
      <c r="C13" s="1">
        <f ca="1">C12</f>
        <v>-141621909.08380866</v>
      </c>
      <c r="D13" s="1">
        <f ca="1">D12</f>
        <v>-131117015.31843928</v>
      </c>
      <c r="E13" s="1">
        <f ca="1">E12</f>
        <v>-112020946.91051966</v>
      </c>
      <c r="F13" s="1">
        <f t="shared" ref="F13:AF13" ca="1" si="3">F12</f>
        <v>-81348667.507554382</v>
      </c>
      <c r="G13" s="1">
        <f ca="1">G12</f>
        <v>-65706540.261726201</v>
      </c>
      <c r="H13" s="1">
        <f t="shared" ca="1" si="3"/>
        <v>-56869413.25494796</v>
      </c>
      <c r="I13" s="1">
        <f t="shared" ca="1" si="3"/>
        <v>-50803696.949895203</v>
      </c>
      <c r="J13" s="1">
        <f t="shared" ca="1" si="3"/>
        <v>-43067578.431340218</v>
      </c>
      <c r="K13" s="1">
        <f t="shared" ca="1" si="3"/>
        <v>-42836266.70397529</v>
      </c>
      <c r="L13" s="1">
        <f t="shared" ca="1" si="3"/>
        <v>-42519725.567397416</v>
      </c>
      <c r="M13" s="1">
        <f t="shared" ca="1" si="3"/>
        <v>-41773154.807609677</v>
      </c>
      <c r="N13" s="1">
        <f t="shared" ca="1" si="3"/>
        <v>-40543259.426754057</v>
      </c>
      <c r="O13" s="1">
        <f t="shared" ca="1" si="3"/>
        <v>-42679070.060758531</v>
      </c>
      <c r="P13" s="1">
        <f t="shared" ca="1" si="3"/>
        <v>-44758303.393868446</v>
      </c>
      <c r="Q13" s="1">
        <f t="shared" ca="1" si="3"/>
        <v>-46860534.803511143</v>
      </c>
      <c r="R13" s="1">
        <f t="shared" ca="1" si="3"/>
        <v>-48885862.372710764</v>
      </c>
      <c r="S13" s="1">
        <f t="shared" ca="1" si="3"/>
        <v>-50815556.337471366</v>
      </c>
      <c r="T13" s="1">
        <f t="shared" ca="1" si="3"/>
        <v>-52629120.465389907</v>
      </c>
      <c r="U13" s="1">
        <f t="shared" ca="1" si="3"/>
        <v>-54304164.846645713</v>
      </c>
      <c r="V13" s="1">
        <f t="shared" ca="1" si="3"/>
        <v>-56056547.262703657</v>
      </c>
      <c r="W13" s="1">
        <f t="shared" ca="1" si="3"/>
        <v>-57654187.536992192</v>
      </c>
      <c r="X13" s="1">
        <f t="shared" ca="1" si="3"/>
        <v>-59070913.621403933</v>
      </c>
      <c r="Y13" s="1">
        <f t="shared" ca="1" si="3"/>
        <v>-60278232.980238676</v>
      </c>
      <c r="Z13" s="1">
        <f t="shared" ca="1" si="3"/>
        <v>-61245169.294380307</v>
      </c>
      <c r="AA13" s="1">
        <f t="shared" ca="1" si="3"/>
        <v>-61938089.008970082</v>
      </c>
      <c r="AB13" s="1">
        <f t="shared" ca="1" si="3"/>
        <v>-62320517.139469147</v>
      </c>
      <c r="AC13" s="1">
        <f t="shared" ca="1" si="3"/>
        <v>-75711294.493050218</v>
      </c>
      <c r="AD13" s="1">
        <f t="shared" ca="1" si="3"/>
        <v>-90204655.740945101</v>
      </c>
      <c r="AE13" s="1">
        <f t="shared" ca="1" si="3"/>
        <v>-105867080.19136882</v>
      </c>
      <c r="AF13" s="1">
        <f t="shared" ca="1" si="3"/>
        <v>-122768496.31635833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6025435000.000001</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3012717500.0000005</v>
      </c>
      <c r="D7" s="9">
        <f>C12</f>
        <v>3099689891.5707989</v>
      </c>
      <c r="E7" s="9">
        <f>D12</f>
        <v>3191799892.87464</v>
      </c>
      <c r="F7" s="9">
        <f t="shared" ref="F7:H7" si="1">E12</f>
        <v>3289287251.2054696</v>
      </c>
      <c r="G7" s="9">
        <f t="shared" si="1"/>
        <v>3392401796.7716804</v>
      </c>
      <c r="H7" s="9">
        <f t="shared" si="1"/>
        <v>3501397288.0396852</v>
      </c>
      <c r="I7" s="9">
        <f t="shared" ref="I7" si="2">H12</f>
        <v>3616537769.1676059</v>
      </c>
      <c r="J7" s="9">
        <f t="shared" ref="J7" si="3">I12</f>
        <v>3738097962.7807913</v>
      </c>
      <c r="K7" s="9">
        <f t="shared" ref="K7" si="4">J12</f>
        <v>3866363677.1860976</v>
      </c>
      <c r="L7" s="9">
        <f t="shared" ref="L7" si="5">K12</f>
        <v>4001632228.5419121</v>
      </c>
      <c r="M7" s="9">
        <f t="shared" ref="M7" si="6">L12</f>
        <v>4144217394.584662</v>
      </c>
      <c r="N7" s="9">
        <f t="shared" ref="N7" si="7">M12</f>
        <v>4294445769.239418</v>
      </c>
      <c r="O7" s="9">
        <f t="shared" ref="O7" si="8">N12</f>
        <v>4452657258.617712</v>
      </c>
      <c r="P7" s="9">
        <f t="shared" ref="P7" si="9">O12</f>
        <v>4619205595.544776</v>
      </c>
      <c r="Q7" s="9">
        <f t="shared" ref="Q7" si="10">P12</f>
        <v>4794458873.291379</v>
      </c>
      <c r="R7" s="9">
        <f t="shared" ref="R7" si="11">Q12</f>
        <v>4978801276.4228201</v>
      </c>
      <c r="S7" s="9">
        <f t="shared" ref="S7" si="12">R12</f>
        <v>5172632588.7872019</v>
      </c>
      <c r="T7" s="9">
        <f t="shared" ref="T7" si="13">S12</f>
        <v>5376368796.1278839</v>
      </c>
      <c r="U7" s="9">
        <f t="shared" ref="U7" si="14">T12</f>
        <v>5590442711.216342</v>
      </c>
      <c r="V7" s="9">
        <f t="shared" ref="V7" si="15">U12</f>
        <v>5815304622.3273859</v>
      </c>
      <c r="W7" s="9">
        <f t="shared" ref="W7" si="16">V12</f>
        <v>6051425749.5174112</v>
      </c>
      <c r="X7" s="9">
        <f t="shared" ref="X7" si="17">W12</f>
        <v>6299296424.0184937</v>
      </c>
      <c r="Y7" s="9">
        <f t="shared" ref="Y7" si="18">X12</f>
        <v>6559426828.8242979</v>
      </c>
      <c r="Z7" s="9">
        <f t="shared" ref="Z7" si="19">Y12</f>
        <v>6832347767.1036386</v>
      </c>
      <c r="AA7" s="9">
        <f t="shared" ref="AA7" si="20">Z12</f>
        <v>7118611459.4643002</v>
      </c>
      <c r="AB7" s="9">
        <f t="shared" ref="AB7" si="21">AA12</f>
        <v>7418792371.126689</v>
      </c>
      <c r="AC7" s="9">
        <f t="shared" ref="AC7" si="22">AB12</f>
        <v>7733488070.1051388</v>
      </c>
      <c r="AD7" s="9">
        <f t="shared" ref="AD7" si="23">AC12</f>
        <v>8063320117.5343342</v>
      </c>
      <c r="AE7" s="9">
        <f t="shared" ref="AE7" si="24">AD12</f>
        <v>8408934991.3193703</v>
      </c>
      <c r="AF7" s="9">
        <f t="shared" ref="AF7" si="25">AE12</f>
        <v>8771005044.330452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84690905.909192592</v>
      </c>
      <c r="D8" s="9">
        <f>Assumptions!E111*Assumptions!E11</f>
        <v>87401014.898286745</v>
      </c>
      <c r="E8" s="9">
        <f>Assumptions!F111*Assumptions!F11</f>
        <v>90197847.375031918</v>
      </c>
      <c r="F8" s="9">
        <f>Assumptions!G111*Assumptions!G11</f>
        <v>93084178.491032943</v>
      </c>
      <c r="G8" s="9">
        <f>Assumptions!H111*Assumptions!H11</f>
        <v>96062872.202746004</v>
      </c>
      <c r="H8" s="9">
        <f>Assumptions!I111*Assumptions!I11</f>
        <v>99136884.113233864</v>
      </c>
      <c r="I8" s="9">
        <f>Assumptions!J111*Assumptions!J11</f>
        <v>102309264.40485734</v>
      </c>
      <c r="J8" s="9">
        <f>Assumptions!K111*Assumptions!K11</f>
        <v>105583160.86581279</v>
      </c>
      <c r="K8" s="9">
        <f>Assumptions!L111*Assumptions!L11</f>
        <v>108961822.01351881</v>
      </c>
      <c r="L8" s="9">
        <f>Assumptions!M111*Assumptions!M11</f>
        <v>112448600.3179514</v>
      </c>
      <c r="M8" s="9">
        <f>Assumptions!N111*Assumptions!N11</f>
        <v>116046955.52812584</v>
      </c>
      <c r="N8" s="9">
        <f>Assumptions!O111*Assumptions!O11</f>
        <v>119760458.10502587</v>
      </c>
      <c r="O8" s="9">
        <f>Assumptions!P111*Assumptions!P11</f>
        <v>123592792.76438671</v>
      </c>
      <c r="P8" s="9">
        <f>Assumptions!Q111*Assumptions!Q11</f>
        <v>127547762.13284706</v>
      </c>
      <c r="Q8" s="9">
        <f>Assumptions!R111*Assumptions!R11</f>
        <v>131629290.52109814</v>
      </c>
      <c r="R8" s="9">
        <f>Assumptions!S111*Assumptions!S11</f>
        <v>135841427.81777331</v>
      </c>
      <c r="S8" s="9">
        <f>Assumptions!T111*Assumptions!T11</f>
        <v>140188353.50794208</v>
      </c>
      <c r="T8" s="9">
        <f>Assumptions!U111*Assumptions!U11</f>
        <v>144674380.82019621</v>
      </c>
      <c r="U8" s="9">
        <f>Assumptions!V111*Assumptions!V11</f>
        <v>149303961.00644246</v>
      </c>
      <c r="V8" s="9">
        <f>Assumptions!W111*Assumptions!W11</f>
        <v>154081687.75864863</v>
      </c>
      <c r="W8" s="9">
        <f>Assumptions!X111*Assumptions!X11</f>
        <v>159012301.76692542</v>
      </c>
      <c r="X8" s="9">
        <f>Assumptions!Y111*Assumptions!Y11</f>
        <v>164100695.42346701</v>
      </c>
      <c r="Y8" s="9">
        <f>Assumptions!Z111*Assumptions!Z11</f>
        <v>169351917.67701793</v>
      </c>
      <c r="Z8" s="9">
        <f>Assumptions!AA111*Assumptions!AA11</f>
        <v>174771179.0426825</v>
      </c>
      <c r="AA8" s="9">
        <f>Assumptions!AB111*Assumptions!AB11</f>
        <v>180363856.77204838</v>
      </c>
      <c r="AB8" s="9">
        <f>Assumptions!AC111*Assumptions!AC11</f>
        <v>186135500.1887539</v>
      </c>
      <c r="AC8" s="9">
        <f>Assumptions!AD111*Assumptions!AD11</f>
        <v>192091836.19479403</v>
      </c>
      <c r="AD8" s="9">
        <f>Assumptions!AE111*Assumptions!AE11</f>
        <v>198238774.95302746</v>
      </c>
      <c r="AE8" s="9">
        <f>Assumptions!AF111*Assumptions!AF11</f>
        <v>204582415.75152433</v>
      </c>
      <c r="AF8" s="9">
        <f>Assumptions!AG111*Assumptions!AG11</f>
        <v>211129053.05557308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2281485.6616056673</v>
      </c>
      <c r="D9" s="9">
        <f>Assumptions!E120*Assumptions!E11</f>
        <v>4708986.4055540971</v>
      </c>
      <c r="E9" s="9">
        <f>Assumptions!F120*Assumptions!F11</f>
        <v>7289510.9557977412</v>
      </c>
      <c r="F9" s="9">
        <f>Assumptions!G120*Assumptions!G11</f>
        <v>10030367.075177692</v>
      </c>
      <c r="G9" s="9">
        <f>Assumptions!H120*Assumptions!H11</f>
        <v>12932619.06525898</v>
      </c>
      <c r="H9" s="9">
        <f>Assumptions!I120*Assumptions!I11</f>
        <v>16003597.014686599</v>
      </c>
      <c r="I9" s="9">
        <f>Assumptions!J120*Assumptions!J11</f>
        <v>19250929.208328184</v>
      </c>
      <c r="J9" s="9">
        <f>Assumptions!K120*Assumptions!K11</f>
        <v>22682553.539493542</v>
      </c>
      <c r="K9" s="9">
        <f>Assumptions!L120*Assumptions!L11</f>
        <v>26306729.342295535</v>
      </c>
      <c r="L9" s="9">
        <f>Assumptions!M120*Assumptions!M11</f>
        <v>30136565.724798664</v>
      </c>
      <c r="M9" s="9">
        <f>Assumptions!N120*Assumptions!N11</f>
        <v>34181419.126630254</v>
      </c>
      <c r="N9" s="9">
        <f>Assumptions!O120*Assumptions!O11</f>
        <v>38451031.273267791</v>
      </c>
      <c r="O9" s="9">
        <f>Assumptions!P120*Assumptions!P11</f>
        <v>42955544.162676901</v>
      </c>
      <c r="P9" s="9">
        <f>Assumptions!Q120*Assumptions!Q11</f>
        <v>47705515.613755941</v>
      </c>
      <c r="Q9" s="9">
        <f>Assumptions!R120*Assumptions!R11</f>
        <v>52713112.61034283</v>
      </c>
      <c r="R9" s="9">
        <f>Assumptions!S120*Assumptions!S11</f>
        <v>57989884.546608731</v>
      </c>
      <c r="S9" s="9">
        <f>Assumptions!T120*Assumptions!T11</f>
        <v>63547853.832739964</v>
      </c>
      <c r="T9" s="9">
        <f>Assumptions!U120*Assumptions!U11</f>
        <v>69399534.268262357</v>
      </c>
      <c r="U9" s="9">
        <f>Assumptions!V120*Assumptions!V11</f>
        <v>75557950.104601696</v>
      </c>
      <c r="V9" s="9">
        <f>Assumptions!W120*Assumptions!W11</f>
        <v>82039439.43137607</v>
      </c>
      <c r="W9" s="9">
        <f>Assumptions!X120*Assumptions!X11</f>
        <v>88858372.734156907</v>
      </c>
      <c r="X9" s="9">
        <f>Assumptions!Y120*Assumptions!Y11</f>
        <v>96029709.382337928</v>
      </c>
      <c r="Y9" s="9">
        <f>Assumptions!Z120*Assumptions!Z11</f>
        <v>103569020.60232279</v>
      </c>
      <c r="Z9" s="9">
        <f>Assumptions!AA120*Assumptions!AA11</f>
        <v>111492513.31797917</v>
      </c>
      <c r="AA9" s="9">
        <f>Assumptions!AB120*Assumptions!AB11</f>
        <v>119817054.89034079</v>
      </c>
      <c r="AB9" s="9">
        <f>Assumptions!AC120*Assumptions!AC11</f>
        <v>128560198.7896959</v>
      </c>
      <c r="AC9" s="9">
        <f>Assumptions!AD120*Assumptions!AD11</f>
        <v>137740211.23440206</v>
      </c>
      <c r="AD9" s="9">
        <f>Assumptions!AE120*Assumptions!AE11</f>
        <v>147376098.83200878</v>
      </c>
      <c r="AE9" s="9">
        <f>Assumptions!AF120*Assumptions!AF11</f>
        <v>157487637.25955829</v>
      </c>
      <c r="AF9" s="9">
        <f>Assumptions!AG120*Assumptions!AG11</f>
        <v>168095401.02126697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86972391.570798263</v>
      </c>
      <c r="D10" s="9">
        <f>SUM($C$8:D9)</f>
        <v>179082392.87463906</v>
      </c>
      <c r="E10" s="9">
        <f>SUM($C$8:E9)</f>
        <v>276569751.20546871</v>
      </c>
      <c r="F10" s="9">
        <f>SUM($C$8:F9)</f>
        <v>379684296.77167934</v>
      </c>
      <c r="G10" s="9">
        <f>SUM($C$8:G9)</f>
        <v>488679788.03968436</v>
      </c>
      <c r="H10" s="9">
        <f>SUM($C$8:H9)</f>
        <v>603820269.16760492</v>
      </c>
      <c r="I10" s="9">
        <f>SUM($C$8:I9)</f>
        <v>725380462.78079045</v>
      </c>
      <c r="J10" s="9">
        <f>SUM($C$8:J9)</f>
        <v>853646177.18609679</v>
      </c>
      <c r="K10" s="9">
        <f>SUM($C$8:K9)</f>
        <v>988914728.54191113</v>
      </c>
      <c r="L10" s="9">
        <f>SUM($C$8:L9)</f>
        <v>1131499894.5846612</v>
      </c>
      <c r="M10" s="9">
        <f>SUM($C$8:M9)</f>
        <v>1281728269.2394173</v>
      </c>
      <c r="N10" s="9">
        <f>SUM($C$8:N9)</f>
        <v>1439939758.6177108</v>
      </c>
      <c r="O10" s="9">
        <f>SUM($C$8:O9)</f>
        <v>1606488095.5447743</v>
      </c>
      <c r="P10" s="9">
        <f>SUM($C$8:P9)</f>
        <v>1781741373.2913773</v>
      </c>
      <c r="Q10" s="9">
        <f>SUM($C$8:Q9)</f>
        <v>1966083776.4228182</v>
      </c>
      <c r="R10" s="9">
        <f>SUM($C$8:R9)</f>
        <v>2159915088.7872005</v>
      </c>
      <c r="S10" s="9">
        <f>SUM($C$8:S9)</f>
        <v>2363651296.127883</v>
      </c>
      <c r="T10" s="9">
        <f>SUM($C$8:T9)</f>
        <v>2577725211.2163415</v>
      </c>
      <c r="U10" s="9">
        <f>SUM($C$8:U9)</f>
        <v>2802587122.3273864</v>
      </c>
      <c r="V10" s="9">
        <f>SUM($C$8:V9)</f>
        <v>3038708249.5174103</v>
      </c>
      <c r="W10" s="9">
        <f>SUM($C$8:W9)</f>
        <v>3286578924.0184932</v>
      </c>
      <c r="X10" s="9">
        <f>SUM($C$8:X9)</f>
        <v>3546709328.8242979</v>
      </c>
      <c r="Y10" s="9">
        <f>SUM($C$8:Y9)</f>
        <v>3819630267.1036386</v>
      </c>
      <c r="Z10" s="9">
        <f>SUM($C$8:Z9)</f>
        <v>4105893959.4643006</v>
      </c>
      <c r="AA10" s="9">
        <f>SUM($C$8:AA9)</f>
        <v>4406074871.1266899</v>
      </c>
      <c r="AB10" s="9">
        <f>SUM($C$8:AB9)</f>
        <v>4720770570.1051397</v>
      </c>
      <c r="AC10" s="9">
        <f>SUM($C$8:AC9)</f>
        <v>5050602617.5343342</v>
      </c>
      <c r="AD10" s="9">
        <f>SUM($C$8:AD9)</f>
        <v>5396217491.3193703</v>
      </c>
      <c r="AE10" s="9">
        <f>SUM($C$8:AE9)</f>
        <v>5758287544.3304529</v>
      </c>
      <c r="AF10" s="9">
        <f>SUM($C$8:AF9)</f>
        <v>6137511998.4072924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3099689891.5707989</v>
      </c>
      <c r="D12" s="9">
        <f>D7+D8+D9</f>
        <v>3191799892.87464</v>
      </c>
      <c r="E12" s="9">
        <f>E7+E8+E9</f>
        <v>3289287251.2054696</v>
      </c>
      <c r="F12" s="9">
        <f t="shared" ref="F12:H12" si="26">F7+F8+F9</f>
        <v>3392401796.7716804</v>
      </c>
      <c r="G12" s="9">
        <f t="shared" si="26"/>
        <v>3501397288.0396852</v>
      </c>
      <c r="H12" s="9">
        <f t="shared" si="26"/>
        <v>3616537769.1676059</v>
      </c>
      <c r="I12" s="9">
        <f t="shared" ref="I12:AF12" si="27">I7+I8+I9</f>
        <v>3738097962.7807913</v>
      </c>
      <c r="J12" s="9">
        <f t="shared" si="27"/>
        <v>3866363677.1860976</v>
      </c>
      <c r="K12" s="9">
        <f t="shared" si="27"/>
        <v>4001632228.5419121</v>
      </c>
      <c r="L12" s="9">
        <f t="shared" si="27"/>
        <v>4144217394.584662</v>
      </c>
      <c r="M12" s="9">
        <f t="shared" si="27"/>
        <v>4294445769.239418</v>
      </c>
      <c r="N12" s="9">
        <f t="shared" si="27"/>
        <v>4452657258.617712</v>
      </c>
      <c r="O12" s="9">
        <f t="shared" si="27"/>
        <v>4619205595.544776</v>
      </c>
      <c r="P12" s="9">
        <f t="shared" si="27"/>
        <v>4794458873.291379</v>
      </c>
      <c r="Q12" s="9">
        <f t="shared" si="27"/>
        <v>4978801276.4228201</v>
      </c>
      <c r="R12" s="9">
        <f t="shared" si="27"/>
        <v>5172632588.7872019</v>
      </c>
      <c r="S12" s="9">
        <f t="shared" si="27"/>
        <v>5376368796.1278839</v>
      </c>
      <c r="T12" s="9">
        <f t="shared" si="27"/>
        <v>5590442711.216342</v>
      </c>
      <c r="U12" s="9">
        <f t="shared" si="27"/>
        <v>5815304622.3273859</v>
      </c>
      <c r="V12" s="9">
        <f t="shared" si="27"/>
        <v>6051425749.5174112</v>
      </c>
      <c r="W12" s="9">
        <f t="shared" si="27"/>
        <v>6299296424.0184937</v>
      </c>
      <c r="X12" s="9">
        <f t="shared" si="27"/>
        <v>6559426828.8242979</v>
      </c>
      <c r="Y12" s="9">
        <f t="shared" si="27"/>
        <v>6832347767.1036386</v>
      </c>
      <c r="Z12" s="9">
        <f t="shared" si="27"/>
        <v>7118611459.4643002</v>
      </c>
      <c r="AA12" s="9">
        <f t="shared" si="27"/>
        <v>7418792371.126689</v>
      </c>
      <c r="AB12" s="9">
        <f t="shared" si="27"/>
        <v>7733488070.1051388</v>
      </c>
      <c r="AC12" s="9">
        <f t="shared" si="27"/>
        <v>8063320117.5343342</v>
      </c>
      <c r="AD12" s="9">
        <f t="shared" si="27"/>
        <v>8408934991.3193703</v>
      </c>
      <c r="AE12" s="9">
        <f t="shared" si="27"/>
        <v>8771005044.330452</v>
      </c>
      <c r="AF12" s="9">
        <f t="shared" si="27"/>
        <v>9150229498.4072914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182034294.13770103</v>
      </c>
      <c r="D18" s="9">
        <f>Investment!D25</f>
        <v>190213884.75288451</v>
      </c>
      <c r="E18" s="9">
        <f>Investment!E25</f>
        <v>198730566.05024272</v>
      </c>
      <c r="F18" s="9">
        <f>Investment!F25</f>
        <v>207597535.93264493</v>
      </c>
      <c r="G18" s="9">
        <f>Investment!G25</f>
        <v>216548834.75448835</v>
      </c>
      <c r="H18" s="9">
        <f>Investment!H25</f>
        <v>225854403.60039264</v>
      </c>
      <c r="I18" s="9">
        <f>Investment!I25</f>
        <v>235527572.32866955</v>
      </c>
      <c r="J18" s="9">
        <f>Investment!J25</f>
        <v>245582155.92609185</v>
      </c>
      <c r="K18" s="9">
        <f>Investment!K25</f>
        <v>256032471.75323921</v>
      </c>
      <c r="L18" s="9">
        <f>Investment!L25</f>
        <v>267086042.85731983</v>
      </c>
      <c r="M18" s="9">
        <f>Investment!M25</f>
        <v>278581845.43134081</v>
      </c>
      <c r="N18" s="9">
        <f>Investment!N25</f>
        <v>290536769.98601735</v>
      </c>
      <c r="O18" s="9">
        <f>Investment!O25</f>
        <v>302968332.28808606</v>
      </c>
      <c r="P18" s="9">
        <f>Investment!P25</f>
        <v>315894695.9913274</v>
      </c>
      <c r="Q18" s="9">
        <f>Investment!Q25</f>
        <v>329384923.83755374</v>
      </c>
      <c r="R18" s="9">
        <f>Investment!R25</f>
        <v>343412659.56167048</v>
      </c>
      <c r="S18" s="9">
        <f>Investment!S25</f>
        <v>357998414.86733848</v>
      </c>
      <c r="T18" s="9">
        <f>Investment!T25</f>
        <v>373163461.45823884</v>
      </c>
      <c r="U18" s="9">
        <f>Investment!U25</f>
        <v>388929858.60083354</v>
      </c>
      <c r="V18" s="9">
        <f>Investment!V25</f>
        <v>405439248.9994874</v>
      </c>
      <c r="W18" s="9">
        <f>Investment!W25</f>
        <v>422606976.20844781</v>
      </c>
      <c r="X18" s="9">
        <f>Investment!X25</f>
        <v>440458268.16780615</v>
      </c>
      <c r="Y18" s="9">
        <f>Investment!Y25</f>
        <v>459019293.26892591</v>
      </c>
      <c r="Z18" s="9">
        <f>Investment!Z25</f>
        <v>478317194.70991361</v>
      </c>
      <c r="AA18" s="9">
        <f>Investment!AA25</f>
        <v>498380126.0868172</v>
      </c>
      <c r="AB18" s="9">
        <f>Investment!AB25</f>
        <v>519237288.26445949</v>
      </c>
      <c r="AC18" s="9">
        <f>Investment!AC25</f>
        <v>540918967.57235801</v>
      </c>
      <c r="AD18" s="9">
        <f>Investment!AD25</f>
        <v>563456575.37277937</v>
      </c>
      <c r="AE18" s="9">
        <f>Investment!AE25</f>
        <v>586882689.0496335</v>
      </c>
      <c r="AF18" s="9">
        <f>Investment!AF25</f>
        <v>611231094.46862459</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3194751794.1377015</v>
      </c>
      <c r="D19" s="9">
        <f>D18+C20</f>
        <v>3297993287.3197875</v>
      </c>
      <c r="E19" s="9">
        <f>E18+D20</f>
        <v>3404613852.0661893</v>
      </c>
      <c r="F19" s="9">
        <f t="shared" ref="F19:AF19" si="28">F18+E20</f>
        <v>3514724029.6680045</v>
      </c>
      <c r="G19" s="9">
        <f t="shared" si="28"/>
        <v>3628158318.8562822</v>
      </c>
      <c r="H19" s="9">
        <f t="shared" si="28"/>
        <v>3745017231.1886702</v>
      </c>
      <c r="I19" s="9">
        <f t="shared" si="28"/>
        <v>3865404322.3894191</v>
      </c>
      <c r="J19" s="9">
        <f t="shared" si="28"/>
        <v>3989426284.7023253</v>
      </c>
      <c r="K19" s="9">
        <f t="shared" si="28"/>
        <v>4117193042.0502582</v>
      </c>
      <c r="L19" s="9">
        <f t="shared" si="28"/>
        <v>4249010533.5517635</v>
      </c>
      <c r="M19" s="9">
        <f t="shared" si="28"/>
        <v>4385007212.9403543</v>
      </c>
      <c r="N19" s="9">
        <f t="shared" si="28"/>
        <v>4525315608.271616</v>
      </c>
      <c r="O19" s="9">
        <f t="shared" si="28"/>
        <v>4670072451.1814079</v>
      </c>
      <c r="P19" s="9">
        <f t="shared" si="28"/>
        <v>4819418810.2456713</v>
      </c>
      <c r="Q19" s="9">
        <f t="shared" si="28"/>
        <v>4973550456.3366222</v>
      </c>
      <c r="R19" s="9">
        <f t="shared" si="28"/>
        <v>5132620712.7668514</v>
      </c>
      <c r="S19" s="9">
        <f t="shared" si="28"/>
        <v>5296787815.2698078</v>
      </c>
      <c r="T19" s="9">
        <f t="shared" si="28"/>
        <v>5466215069.3873644</v>
      </c>
      <c r="U19" s="9">
        <f t="shared" si="28"/>
        <v>5641071012.8997402</v>
      </c>
      <c r="V19" s="9">
        <f t="shared" si="28"/>
        <v>5821648350.7881832</v>
      </c>
      <c r="W19" s="9">
        <f t="shared" si="28"/>
        <v>6008134199.8066053</v>
      </c>
      <c r="X19" s="9">
        <f t="shared" si="28"/>
        <v>6200721793.4733295</v>
      </c>
      <c r="Y19" s="9">
        <f t="shared" si="28"/>
        <v>6399610681.936451</v>
      </c>
      <c r="Z19" s="9">
        <f t="shared" si="28"/>
        <v>6605006938.3670235</v>
      </c>
      <c r="AA19" s="9">
        <f t="shared" si="28"/>
        <v>6817123372.0931787</v>
      </c>
      <c r="AB19" s="9">
        <f t="shared" si="28"/>
        <v>7036179748.6952496</v>
      </c>
      <c r="AC19" s="9">
        <f t="shared" si="28"/>
        <v>7262403017.2891579</v>
      </c>
      <c r="AD19" s="9">
        <f t="shared" si="28"/>
        <v>7496027545.2327423</v>
      </c>
      <c r="AE19" s="9">
        <f t="shared" si="28"/>
        <v>7737295360.4973392</v>
      </c>
      <c r="AF19" s="9">
        <f t="shared" si="28"/>
        <v>7986456401.9548817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3107779402.5669031</v>
      </c>
      <c r="D20" s="9">
        <f>D19-D8-D9</f>
        <v>3205883286.0159464</v>
      </c>
      <c r="E20" s="9">
        <f t="shared" ref="E20:AF20" si="29">E19-E8-E9</f>
        <v>3307126493.7353597</v>
      </c>
      <c r="F20" s="9">
        <f t="shared" si="29"/>
        <v>3411609484.1017938</v>
      </c>
      <c r="G20" s="9">
        <f t="shared" si="29"/>
        <v>3519162827.5882773</v>
      </c>
      <c r="H20" s="9">
        <f t="shared" si="29"/>
        <v>3629876750.0607495</v>
      </c>
      <c r="I20" s="9">
        <f t="shared" si="29"/>
        <v>3743844128.7762337</v>
      </c>
      <c r="J20" s="9">
        <f t="shared" si="29"/>
        <v>3861160570.297019</v>
      </c>
      <c r="K20" s="9">
        <f t="shared" si="29"/>
        <v>3981924490.6944437</v>
      </c>
      <c r="L20" s="9">
        <f t="shared" si="29"/>
        <v>4106425367.5090137</v>
      </c>
      <c r="M20" s="9">
        <f t="shared" si="29"/>
        <v>4234778838.2855983</v>
      </c>
      <c r="N20" s="9">
        <f t="shared" si="29"/>
        <v>4367104118.893322</v>
      </c>
      <c r="O20" s="9">
        <f t="shared" si="29"/>
        <v>4503524114.254344</v>
      </c>
      <c r="P20" s="9">
        <f t="shared" si="29"/>
        <v>4644165532.4990683</v>
      </c>
      <c r="Q20" s="9">
        <f t="shared" si="29"/>
        <v>4789208053.2051811</v>
      </c>
      <c r="R20" s="9">
        <f t="shared" si="29"/>
        <v>4938789400.4024696</v>
      </c>
      <c r="S20" s="9">
        <f t="shared" si="29"/>
        <v>5093051607.9291258</v>
      </c>
      <c r="T20" s="9">
        <f t="shared" si="29"/>
        <v>5252141154.2989063</v>
      </c>
      <c r="U20" s="9">
        <f t="shared" si="29"/>
        <v>5416209101.7886963</v>
      </c>
      <c r="V20" s="9">
        <f t="shared" si="29"/>
        <v>5585527223.5981579</v>
      </c>
      <c r="W20" s="9">
        <f t="shared" si="29"/>
        <v>5760263525.3055229</v>
      </c>
      <c r="X20" s="9">
        <f t="shared" si="29"/>
        <v>5940591388.6675253</v>
      </c>
      <c r="Y20" s="9">
        <f t="shared" si="29"/>
        <v>6126689743.6571102</v>
      </c>
      <c r="Z20" s="9">
        <f t="shared" si="29"/>
        <v>6318743246.006362</v>
      </c>
      <c r="AA20" s="9">
        <f t="shared" si="29"/>
        <v>6516942460.4307899</v>
      </c>
      <c r="AB20" s="9">
        <f t="shared" si="29"/>
        <v>6721484049.7167997</v>
      </c>
      <c r="AC20" s="9">
        <f t="shared" si="29"/>
        <v>6932570969.8599625</v>
      </c>
      <c r="AD20" s="9">
        <f t="shared" si="29"/>
        <v>7150412671.4477062</v>
      </c>
      <c r="AE20" s="9">
        <f t="shared" si="29"/>
        <v>7375225307.4862566</v>
      </c>
      <c r="AF20" s="9">
        <f t="shared" si="29"/>
        <v>7607231947.8780413</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99516000</v>
      </c>
      <c r="D22" s="9">
        <f ca="1">'Balance Sheet'!C11</f>
        <v>241137909.08380866</v>
      </c>
      <c r="E22" s="9">
        <f ca="1">'Balance Sheet'!D11</f>
        <v>372254924.40224791</v>
      </c>
      <c r="F22" s="9">
        <f ca="1">'Balance Sheet'!E11</f>
        <v>484275871.31276757</v>
      </c>
      <c r="G22" s="9">
        <f ca="1">'Balance Sheet'!F11</f>
        <v>565624538.82032192</v>
      </c>
      <c r="H22" s="9">
        <f ca="1">'Balance Sheet'!G11</f>
        <v>631331079.08204818</v>
      </c>
      <c r="I22" s="9">
        <f ca="1">'Balance Sheet'!H11</f>
        <v>688200492.33699608</v>
      </c>
      <c r="J22" s="9">
        <f ca="1">'Balance Sheet'!I11</f>
        <v>739004189.28689122</v>
      </c>
      <c r="K22" s="9">
        <f ca="1">'Balance Sheet'!J11</f>
        <v>782071767.71823144</v>
      </c>
      <c r="L22" s="9">
        <f ca="1">'Balance Sheet'!K11</f>
        <v>824908034.42220676</v>
      </c>
      <c r="M22" s="9">
        <f ca="1">'Balance Sheet'!L11</f>
        <v>867427759.98960423</v>
      </c>
      <c r="N22" s="9">
        <f ca="1">'Balance Sheet'!M11</f>
        <v>909200914.79721391</v>
      </c>
      <c r="O22" s="9">
        <f ca="1">'Balance Sheet'!N11</f>
        <v>949744174.22396803</v>
      </c>
      <c r="P22" s="9">
        <f ca="1">'Balance Sheet'!O11</f>
        <v>992423244.28472662</v>
      </c>
      <c r="Q22" s="9">
        <f ca="1">'Balance Sheet'!P11</f>
        <v>1037181547.6785951</v>
      </c>
      <c r="R22" s="9">
        <f ca="1">'Balance Sheet'!Q11</f>
        <v>1084042082.4821062</v>
      </c>
      <c r="S22" s="9">
        <f ca="1">'Balance Sheet'!R11</f>
        <v>1132927944.8548169</v>
      </c>
      <c r="T22" s="9">
        <f ca="1">'Balance Sheet'!S11</f>
        <v>1183743501.1922884</v>
      </c>
      <c r="U22" s="9">
        <f ca="1">'Balance Sheet'!T11</f>
        <v>1236372621.6576784</v>
      </c>
      <c r="V22" s="9">
        <f ca="1">'Balance Sheet'!U11</f>
        <v>1290676786.504324</v>
      </c>
      <c r="W22" s="9">
        <f ca="1">'Balance Sheet'!V11</f>
        <v>1346733333.7670276</v>
      </c>
      <c r="X22" s="9">
        <f ca="1">'Balance Sheet'!W11</f>
        <v>1404387521.3040199</v>
      </c>
      <c r="Y22" s="9">
        <f ca="1">'Balance Sheet'!X11</f>
        <v>1463458434.9254239</v>
      </c>
      <c r="Z22" s="9">
        <f ca="1">'Balance Sheet'!Y11</f>
        <v>1523736667.9056625</v>
      </c>
      <c r="AA22" s="9">
        <f ca="1">'Balance Sheet'!Z11</f>
        <v>1584981837.2000427</v>
      </c>
      <c r="AB22" s="9">
        <f ca="1">'Balance Sheet'!AA11</f>
        <v>1646919926.2090127</v>
      </c>
      <c r="AC22" s="9">
        <f ca="1">'Balance Sheet'!AB11</f>
        <v>1709240443.3484819</v>
      </c>
      <c r="AD22" s="9">
        <f ca="1">'Balance Sheet'!AC11</f>
        <v>1784951737.8415322</v>
      </c>
      <c r="AE22" s="9">
        <f ca="1">'Balance Sheet'!AD11</f>
        <v>1875156393.5824773</v>
      </c>
      <c r="AF22" s="9">
        <f ca="1">'Balance Sheet'!AE11</f>
        <v>1981023473.7738461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3008263402.5669031</v>
      </c>
      <c r="D23" s="9">
        <f t="shared" ref="D23:AF23" ca="1" si="30">D20-D22</f>
        <v>2964745376.9321375</v>
      </c>
      <c r="E23" s="9">
        <f t="shared" ca="1" si="30"/>
        <v>2934871569.3331118</v>
      </c>
      <c r="F23" s="9">
        <f t="shared" ca="1" si="30"/>
        <v>2927333612.7890263</v>
      </c>
      <c r="G23" s="9">
        <f t="shared" ca="1" si="30"/>
        <v>2953538288.7679553</v>
      </c>
      <c r="H23" s="9">
        <f t="shared" ca="1" si="30"/>
        <v>2998545670.9787016</v>
      </c>
      <c r="I23" s="9">
        <f t="shared" ca="1" si="30"/>
        <v>3055643636.4392376</v>
      </c>
      <c r="J23" s="9">
        <f ca="1">J20-J22</f>
        <v>3122156381.010128</v>
      </c>
      <c r="K23" s="9">
        <f t="shared" ca="1" si="30"/>
        <v>3199852722.9762125</v>
      </c>
      <c r="L23" s="9">
        <f t="shared" ca="1" si="30"/>
        <v>3281517333.0868068</v>
      </c>
      <c r="M23" s="9">
        <f t="shared" ca="1" si="30"/>
        <v>3367351078.2959938</v>
      </c>
      <c r="N23" s="9">
        <f t="shared" ca="1" si="30"/>
        <v>3457903204.096108</v>
      </c>
      <c r="O23" s="9">
        <f t="shared" ca="1" si="30"/>
        <v>3553779940.030376</v>
      </c>
      <c r="P23" s="9">
        <f t="shared" ca="1" si="30"/>
        <v>3651742288.2143416</v>
      </c>
      <c r="Q23" s="9">
        <f t="shared" ca="1" si="30"/>
        <v>3752026505.5265861</v>
      </c>
      <c r="R23" s="9">
        <f t="shared" ca="1" si="30"/>
        <v>3854747317.9203634</v>
      </c>
      <c r="S23" s="9">
        <f t="shared" ca="1" si="30"/>
        <v>3960123663.0743089</v>
      </c>
      <c r="T23" s="9">
        <f t="shared" ca="1" si="30"/>
        <v>4068397653.1066179</v>
      </c>
      <c r="U23" s="9">
        <f t="shared" ca="1" si="30"/>
        <v>4179836480.1310177</v>
      </c>
      <c r="V23" s="9">
        <f t="shared" ca="1" si="30"/>
        <v>4294850437.0938339</v>
      </c>
      <c r="W23" s="9">
        <f t="shared" ca="1" si="30"/>
        <v>4413530191.5384951</v>
      </c>
      <c r="X23" s="9">
        <f t="shared" ca="1" si="30"/>
        <v>4536203867.3635054</v>
      </c>
      <c r="Y23" s="9">
        <f t="shared" ca="1" si="30"/>
        <v>4663231308.7316866</v>
      </c>
      <c r="Z23" s="9">
        <f t="shared" ca="1" si="30"/>
        <v>4795006578.1006994</v>
      </c>
      <c r="AA23" s="9">
        <f t="shared" ca="1" si="30"/>
        <v>4931960623.2307472</v>
      </c>
      <c r="AB23" s="9">
        <f t="shared" ca="1" si="30"/>
        <v>5074564123.5077868</v>
      </c>
      <c r="AC23" s="9">
        <f t="shared" ca="1" si="30"/>
        <v>5223330526.5114803</v>
      </c>
      <c r="AD23" s="9">
        <f t="shared" ca="1" si="30"/>
        <v>5365460933.6061745</v>
      </c>
      <c r="AE23" s="9">
        <f t="shared" ca="1" si="30"/>
        <v>5500068913.903779</v>
      </c>
      <c r="AF23" s="9">
        <f t="shared" ca="1" si="30"/>
        <v>5626208474.1041946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99516000</v>
      </c>
      <c r="D5" s="1">
        <f ca="1">C5+C6</f>
        <v>241137909.08380866</v>
      </c>
      <c r="E5" s="1">
        <f t="shared" ref="E5:AF5" ca="1" si="1">D5+D6</f>
        <v>372254924.40224791</v>
      </c>
      <c r="F5" s="1">
        <f t="shared" ca="1" si="1"/>
        <v>484275871.31276757</v>
      </c>
      <c r="G5" s="1">
        <f t="shared" ca="1" si="1"/>
        <v>565624538.82032192</v>
      </c>
      <c r="H5" s="1">
        <f t="shared" ca="1" si="1"/>
        <v>631331079.08204818</v>
      </c>
      <c r="I5" s="1">
        <f t="shared" ca="1" si="1"/>
        <v>688200492.33699608</v>
      </c>
      <c r="J5" s="1">
        <f t="shared" ca="1" si="1"/>
        <v>739004189.28689122</v>
      </c>
      <c r="K5" s="1">
        <f t="shared" ca="1" si="1"/>
        <v>782071767.71823144</v>
      </c>
      <c r="L5" s="1">
        <f t="shared" ca="1" si="1"/>
        <v>824908034.42220676</v>
      </c>
      <c r="M5" s="1">
        <f t="shared" ca="1" si="1"/>
        <v>867427759.98960423</v>
      </c>
      <c r="N5" s="1">
        <f t="shared" ca="1" si="1"/>
        <v>909200914.79721391</v>
      </c>
      <c r="O5" s="1">
        <f t="shared" ca="1" si="1"/>
        <v>949744174.22396803</v>
      </c>
      <c r="P5" s="1">
        <f t="shared" ca="1" si="1"/>
        <v>992423244.28472662</v>
      </c>
      <c r="Q5" s="1">
        <f t="shared" ca="1" si="1"/>
        <v>1037181547.6785951</v>
      </c>
      <c r="R5" s="1">
        <f t="shared" ca="1" si="1"/>
        <v>1084042082.4821062</v>
      </c>
      <c r="S5" s="1">
        <f t="shared" ca="1" si="1"/>
        <v>1132927944.8548169</v>
      </c>
      <c r="T5" s="1">
        <f t="shared" ca="1" si="1"/>
        <v>1183743501.1922884</v>
      </c>
      <c r="U5" s="1">
        <f t="shared" ca="1" si="1"/>
        <v>1236372621.6576784</v>
      </c>
      <c r="V5" s="1">
        <f t="shared" ca="1" si="1"/>
        <v>1290676786.504324</v>
      </c>
      <c r="W5" s="1">
        <f t="shared" ca="1" si="1"/>
        <v>1346733333.7670276</v>
      </c>
      <c r="X5" s="1">
        <f t="shared" ca="1" si="1"/>
        <v>1404387521.3040199</v>
      </c>
      <c r="Y5" s="1">
        <f t="shared" ca="1" si="1"/>
        <v>1463458434.9254239</v>
      </c>
      <c r="Z5" s="1">
        <f t="shared" ca="1" si="1"/>
        <v>1523736667.9056625</v>
      </c>
      <c r="AA5" s="1">
        <f t="shared" ca="1" si="1"/>
        <v>1584981837.2000427</v>
      </c>
      <c r="AB5" s="1">
        <f t="shared" ca="1" si="1"/>
        <v>1646919926.2090127</v>
      </c>
      <c r="AC5" s="1">
        <f t="shared" ca="1" si="1"/>
        <v>1709240443.3484819</v>
      </c>
      <c r="AD5" s="1">
        <f t="shared" ca="1" si="1"/>
        <v>1784951737.8415322</v>
      </c>
      <c r="AE5" s="1">
        <f t="shared" ca="1" si="1"/>
        <v>1875156393.5824773</v>
      </c>
      <c r="AF5" s="1">
        <f t="shared" ca="1" si="1"/>
        <v>1981023473.7738461</v>
      </c>
      <c r="AG5" s="1"/>
      <c r="AH5" s="1"/>
      <c r="AI5" s="1"/>
      <c r="AJ5" s="1"/>
      <c r="AK5" s="1"/>
      <c r="AL5" s="1"/>
      <c r="AM5" s="1"/>
      <c r="AN5" s="1"/>
      <c r="AO5" s="1"/>
      <c r="AP5" s="1"/>
    </row>
    <row r="6" spans="1:42" x14ac:dyDescent="0.35">
      <c r="A6" s="63" t="s">
        <v>3</v>
      </c>
      <c r="C6" s="1">
        <f ca="1">-'Cash Flow'!C13</f>
        <v>141621909.08380866</v>
      </c>
      <c r="D6" s="1">
        <f ca="1">-'Cash Flow'!D13</f>
        <v>131117015.31843928</v>
      </c>
      <c r="E6" s="1">
        <f ca="1">-'Cash Flow'!E13</f>
        <v>112020946.91051966</v>
      </c>
      <c r="F6" s="1">
        <f ca="1">-'Cash Flow'!F13</f>
        <v>81348667.507554382</v>
      </c>
      <c r="G6" s="1">
        <f ca="1">-'Cash Flow'!G13</f>
        <v>65706540.261726201</v>
      </c>
      <c r="H6" s="1">
        <f ca="1">-'Cash Flow'!H13</f>
        <v>56869413.25494796</v>
      </c>
      <c r="I6" s="1">
        <f ca="1">-'Cash Flow'!I13</f>
        <v>50803696.949895203</v>
      </c>
      <c r="J6" s="1">
        <f ca="1">-'Cash Flow'!J13</f>
        <v>43067578.431340218</v>
      </c>
      <c r="K6" s="1">
        <f ca="1">-'Cash Flow'!K13</f>
        <v>42836266.70397529</v>
      </c>
      <c r="L6" s="1">
        <f ca="1">-'Cash Flow'!L13</f>
        <v>42519725.567397416</v>
      </c>
      <c r="M6" s="1">
        <f ca="1">-'Cash Flow'!M13</f>
        <v>41773154.807609677</v>
      </c>
      <c r="N6" s="1">
        <f ca="1">-'Cash Flow'!N13</f>
        <v>40543259.426754057</v>
      </c>
      <c r="O6" s="1">
        <f ca="1">-'Cash Flow'!O13</f>
        <v>42679070.060758531</v>
      </c>
      <c r="P6" s="1">
        <f ca="1">-'Cash Flow'!P13</f>
        <v>44758303.393868446</v>
      </c>
      <c r="Q6" s="1">
        <f ca="1">-'Cash Flow'!Q13</f>
        <v>46860534.803511143</v>
      </c>
      <c r="R6" s="1">
        <f ca="1">-'Cash Flow'!R13</f>
        <v>48885862.372710764</v>
      </c>
      <c r="S6" s="1">
        <f ca="1">-'Cash Flow'!S13</f>
        <v>50815556.337471366</v>
      </c>
      <c r="T6" s="1">
        <f ca="1">-'Cash Flow'!T13</f>
        <v>52629120.465389907</v>
      </c>
      <c r="U6" s="1">
        <f ca="1">-'Cash Flow'!U13</f>
        <v>54304164.846645713</v>
      </c>
      <c r="V6" s="1">
        <f ca="1">-'Cash Flow'!V13</f>
        <v>56056547.262703657</v>
      </c>
      <c r="W6" s="1">
        <f ca="1">-'Cash Flow'!W13</f>
        <v>57654187.536992192</v>
      </c>
      <c r="X6" s="1">
        <f ca="1">-'Cash Flow'!X13</f>
        <v>59070913.621403933</v>
      </c>
      <c r="Y6" s="1">
        <f ca="1">-'Cash Flow'!Y13</f>
        <v>60278232.980238676</v>
      </c>
      <c r="Z6" s="1">
        <f ca="1">-'Cash Flow'!Z13</f>
        <v>61245169.294380307</v>
      </c>
      <c r="AA6" s="1">
        <f ca="1">-'Cash Flow'!AA13</f>
        <v>61938089.008970082</v>
      </c>
      <c r="AB6" s="1">
        <f ca="1">-'Cash Flow'!AB13</f>
        <v>62320517.139469147</v>
      </c>
      <c r="AC6" s="1">
        <f ca="1">-'Cash Flow'!AC13</f>
        <v>75711294.493050218</v>
      </c>
      <c r="AD6" s="1">
        <f ca="1">-'Cash Flow'!AD13</f>
        <v>90204655.740945101</v>
      </c>
      <c r="AE6" s="1">
        <f ca="1">-'Cash Flow'!AE13</f>
        <v>105867080.19136882</v>
      </c>
      <c r="AF6" s="1">
        <f ca="1">-'Cash Flow'!AF13</f>
        <v>122768496.31635833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8439826.8179333042</v>
      </c>
      <c r="D8" s="1">
        <f ca="1">IF(SUM(D5:D6)&gt;0,Assumptions!$C$26*SUM(D5:D6),Assumptions!$C$27*(SUM(D5:D6)))</f>
        <v>13028922.354078678</v>
      </c>
      <c r="E8" s="1">
        <f ca="1">IF(SUM(E5:E6)&gt;0,Assumptions!$C$26*SUM(E5:E6),Assumptions!$C$27*(SUM(E5:E6)))</f>
        <v>16949655.495946866</v>
      </c>
      <c r="F8" s="1">
        <f ca="1">IF(SUM(F5:F6)&gt;0,Assumptions!$C$26*SUM(F5:F6),Assumptions!$C$27*(SUM(F5:F6)))</f>
        <v>19796858.858711269</v>
      </c>
      <c r="G8" s="1">
        <f ca="1">IF(SUM(G5:G6)&gt;0,Assumptions!$C$26*SUM(G5:G6),Assumptions!$C$27*(SUM(G5:G6)))</f>
        <v>22096587.767871689</v>
      </c>
      <c r="H8" s="1">
        <f ca="1">IF(SUM(H5:H6)&gt;0,Assumptions!$C$26*SUM(H5:H6),Assumptions!$C$27*(SUM(H5:H6)))</f>
        <v>24087017.231794864</v>
      </c>
      <c r="I8" s="1">
        <f ca="1">IF(SUM(I5:I6)&gt;0,Assumptions!$C$26*SUM(I5:I6),Assumptions!$C$27*(SUM(I5:I6)))</f>
        <v>25865146.625041194</v>
      </c>
      <c r="J8" s="1">
        <f ca="1">IF(SUM(J5:J6)&gt;0,Assumptions!$C$26*SUM(J5:J6),Assumptions!$C$27*(SUM(J5:J6)))</f>
        <v>27372511.870138101</v>
      </c>
      <c r="K8" s="1">
        <f ca="1">IF(SUM(K5:K6)&gt;0,Assumptions!$C$26*SUM(K5:K6),Assumptions!$C$27*(SUM(K5:K6)))</f>
        <v>28871781.204777241</v>
      </c>
      <c r="L8" s="1">
        <f ca="1">IF(SUM(L5:L6)&gt;0,Assumptions!$C$26*SUM(L5:L6),Assumptions!$C$27*(SUM(L5:L6)))</f>
        <v>30359971.599636152</v>
      </c>
      <c r="M8" s="1">
        <f ca="1">IF(SUM(M5:M6)&gt;0,Assumptions!$C$26*SUM(M5:M6),Assumptions!$C$27*(SUM(M5:M6)))</f>
        <v>31822032.01790249</v>
      </c>
      <c r="N8" s="1">
        <f ca="1">IF(SUM(N5:N6)&gt;0,Assumptions!$C$26*SUM(N5:N6),Assumptions!$C$27*(SUM(N5:N6)))</f>
        <v>33241046.097838882</v>
      </c>
      <c r="O8" s="1">
        <f ca="1">IF(SUM(O5:O6)&gt;0,Assumptions!$C$26*SUM(O5:O6),Assumptions!$C$27*(SUM(O5:O6)))</f>
        <v>34734813.549965434</v>
      </c>
      <c r="P8" s="1">
        <f ca="1">IF(SUM(P5:P6)&gt;0,Assumptions!$C$26*SUM(P5:P6),Assumptions!$C$27*(SUM(P5:P6)))</f>
        <v>36301354.16875083</v>
      </c>
      <c r="Q8" s="1">
        <f ca="1">IF(SUM(Q5:Q6)&gt;0,Assumptions!$C$26*SUM(Q5:Q6),Assumptions!$C$27*(SUM(Q5:Q6)))</f>
        <v>37941472.886873722</v>
      </c>
      <c r="R8" s="1">
        <f ca="1">IF(SUM(R5:R6)&gt;0,Assumptions!$C$26*SUM(R5:R6),Assumptions!$C$27*(SUM(R5:R6)))</f>
        <v>39652478.069918595</v>
      </c>
      <c r="S8" s="1">
        <f ca="1">IF(SUM(S5:S6)&gt;0,Assumptions!$C$26*SUM(S5:S6),Assumptions!$C$27*(SUM(S5:S6)))</f>
        <v>41431022.541730098</v>
      </c>
      <c r="T8" s="1">
        <f ca="1">IF(SUM(T5:T6)&gt;0,Assumptions!$C$26*SUM(T5:T6),Assumptions!$C$27*(SUM(T5:T6)))</f>
        <v>43273041.758018747</v>
      </c>
      <c r="U8" s="1">
        <f ca="1">IF(SUM(U5:U6)&gt;0,Assumptions!$C$26*SUM(U5:U6),Assumptions!$C$27*(SUM(U5:U6)))</f>
        <v>45173687.52765134</v>
      </c>
      <c r="V8" s="1">
        <f ca="1">IF(SUM(V5:V6)&gt;0,Assumptions!$C$26*SUM(V5:V6),Assumptions!$C$27*(SUM(V5:V6)))</f>
        <v>47135666.68184597</v>
      </c>
      <c r="W8" s="1">
        <f ca="1">IF(SUM(W5:W6)&gt;0,Assumptions!$C$26*SUM(W5:W6),Assumptions!$C$27*(SUM(W5:W6)))</f>
        <v>49153563.245640703</v>
      </c>
      <c r="X8" s="1">
        <f ca="1">IF(SUM(X5:X6)&gt;0,Assumptions!$C$26*SUM(X5:X6),Assumptions!$C$27*(SUM(X5:X6)))</f>
        <v>51221045.22238984</v>
      </c>
      <c r="Y8" s="1">
        <f ca="1">IF(SUM(Y5:Y6)&gt;0,Assumptions!$C$26*SUM(Y5:Y6),Assumptions!$C$27*(SUM(Y5:Y6)))</f>
        <v>53330783.376698196</v>
      </c>
      <c r="Z8" s="1">
        <f ca="1">IF(SUM(Z5:Z6)&gt;0,Assumptions!$C$26*SUM(Z5:Z6),Assumptions!$C$27*(SUM(Z5:Z6)))</f>
        <v>55474364.302001499</v>
      </c>
      <c r="AA8" s="1">
        <f ca="1">IF(SUM(AA5:AA6)&gt;0,Assumptions!$C$26*SUM(AA5:AA6),Assumptions!$C$27*(SUM(AA5:AA6)))</f>
        <v>57642197.417315453</v>
      </c>
      <c r="AB8" s="1">
        <f ca="1">IF(SUM(AB5:AB6)&gt;0,Assumptions!$C$26*SUM(AB5:AB6),Assumptions!$C$27*(SUM(AB5:AB6)))</f>
        <v>59823415.517196871</v>
      </c>
      <c r="AC8" s="1">
        <f ca="1">IF(SUM(AC5:AC6)&gt;0,Assumptions!$C$26*SUM(AC5:AC6),Assumptions!$C$27*(SUM(AC5:AC6)))</f>
        <v>62473310.824453637</v>
      </c>
      <c r="AD8" s="1">
        <f ca="1">IF(SUM(AD5:AD6)&gt;0,Assumptions!$C$26*SUM(AD5:AD6),Assumptions!$C$27*(SUM(AD5:AD6)))</f>
        <v>65630473.775386713</v>
      </c>
      <c r="AE8" s="1">
        <f ca="1">IF(SUM(AE5:AE6)&gt;0,Assumptions!$C$26*SUM(AE5:AE6),Assumptions!$C$27*(SUM(AE5:AE6)))</f>
        <v>69335821.582084626</v>
      </c>
      <c r="AF8" s="1">
        <f ca="1">IF(SUM(AF5:AF6)&gt;0,Assumptions!$C$26*SUM(AF5:AF6),Assumptions!$C$27*(SUM(AF5:AF6)))</f>
        <v>73632718.953157157</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3" customWidth="1"/>
    <col min="2" max="2" width="18.1640625" style="181" bestFit="1" customWidth="1"/>
    <col min="3" max="3" width="62.25" style="63" customWidth="1"/>
    <col min="4" max="16384" width="8.6640625" style="63"/>
  </cols>
  <sheetData>
    <row r="1" spans="1:3" ht="26" x14ac:dyDescent="0.6">
      <c r="A1" s="13" t="s">
        <v>183</v>
      </c>
    </row>
    <row r="2" spans="1:3" ht="26" x14ac:dyDescent="0.6">
      <c r="A2" s="13"/>
    </row>
    <row r="3" spans="1:3" ht="186" x14ac:dyDescent="0.35">
      <c r="A3" s="173" t="s">
        <v>186</v>
      </c>
    </row>
    <row r="4" spans="1:3" ht="26" x14ac:dyDescent="0.6">
      <c r="A4" s="13"/>
    </row>
    <row r="5" spans="1:3" ht="18.5" x14ac:dyDescent="0.45">
      <c r="A5" s="89" t="s">
        <v>175</v>
      </c>
      <c r="B5" s="182"/>
    </row>
    <row r="6" spans="1:3" ht="18.5" x14ac:dyDescent="0.45">
      <c r="A6" s="90"/>
      <c r="B6" s="182"/>
    </row>
    <row r="7" spans="1:3" ht="18.5" x14ac:dyDescent="0.45">
      <c r="A7" s="90" t="s">
        <v>96</v>
      </c>
      <c r="B7" s="183">
        <f>Assumptions!C24</f>
        <v>67543632.870000005</v>
      </c>
      <c r="C7" s="179" t="s">
        <v>197</v>
      </c>
    </row>
    <row r="8" spans="1:3" ht="34" x14ac:dyDescent="0.45">
      <c r="A8" s="90" t="s">
        <v>173</v>
      </c>
      <c r="B8" s="184">
        <f>Assumptions!$C$133</f>
        <v>0.7</v>
      </c>
      <c r="C8" s="179" t="s">
        <v>199</v>
      </c>
    </row>
    <row r="9" spans="1:3" ht="18.5" x14ac:dyDescent="0.45">
      <c r="A9" s="90"/>
      <c r="B9" s="185"/>
      <c r="C9" s="179"/>
    </row>
    <row r="10" spans="1:3" ht="51" x14ac:dyDescent="0.45">
      <c r="A10" s="94" t="s">
        <v>102</v>
      </c>
      <c r="B10" s="186">
        <f>Assumptions!C135</f>
        <v>44994.444444444438</v>
      </c>
      <c r="C10" s="179" t="s">
        <v>200</v>
      </c>
    </row>
    <row r="11" spans="1:3" ht="18.5" x14ac:dyDescent="0.45">
      <c r="A11" s="94"/>
      <c r="B11" s="187"/>
      <c r="C11" s="179"/>
    </row>
    <row r="12" spans="1:3" ht="18.5" x14ac:dyDescent="0.45">
      <c r="A12" s="94" t="s">
        <v>182</v>
      </c>
      <c r="B12" s="183">
        <f>(B7*B8)/B10</f>
        <v>1050.8084629732068</v>
      </c>
      <c r="C12" s="179"/>
    </row>
    <row r="13" spans="1:3" ht="18.5" x14ac:dyDescent="0.45">
      <c r="A13" s="96"/>
      <c r="B13" s="188"/>
      <c r="C13" s="179"/>
    </row>
    <row r="14" spans="1:3" ht="18.5" x14ac:dyDescent="0.45">
      <c r="A14" s="94" t="s">
        <v>103</v>
      </c>
      <c r="B14" s="103">
        <v>1</v>
      </c>
      <c r="C14" s="179"/>
    </row>
    <row r="15" spans="1:3" ht="18.5" x14ac:dyDescent="0.45">
      <c r="A15" s="96"/>
      <c r="B15" s="99"/>
      <c r="C15" s="179"/>
    </row>
    <row r="16" spans="1:3" ht="18.5" x14ac:dyDescent="0.45">
      <c r="A16" s="96" t="s">
        <v>177</v>
      </c>
      <c r="B16" s="189">
        <f>B12/B14</f>
        <v>1050.8084629732068</v>
      </c>
      <c r="C16" s="179"/>
    </row>
    <row r="17" spans="1:3" ht="18.5" x14ac:dyDescent="0.45">
      <c r="A17" s="94"/>
      <c r="B17" s="190"/>
      <c r="C17" s="179"/>
    </row>
    <row r="18" spans="1:3" ht="18.5" x14ac:dyDescent="0.45">
      <c r="A18" s="102" t="s">
        <v>176</v>
      </c>
      <c r="B18" s="190"/>
      <c r="C18" s="179"/>
    </row>
    <row r="19" spans="1:3" ht="18.5" x14ac:dyDescent="0.45">
      <c r="A19" s="94"/>
      <c r="B19" s="190"/>
      <c r="C19" s="179"/>
    </row>
    <row r="20" spans="1:3" ht="34" x14ac:dyDescent="0.45">
      <c r="A20" s="94" t="s">
        <v>65</v>
      </c>
      <c r="B20" s="183">
        <f>'Profit and Loss'!L5</f>
        <v>335253781.353522</v>
      </c>
      <c r="C20" s="179" t="s">
        <v>201</v>
      </c>
    </row>
    <row r="21" spans="1:3" ht="34" x14ac:dyDescent="0.45">
      <c r="A21" s="94" t="str">
        <f>A8</f>
        <v>Assumed revenue from households</v>
      </c>
      <c r="B21" s="184">
        <f>B8</f>
        <v>0.7</v>
      </c>
      <c r="C21" s="179" t="s">
        <v>199</v>
      </c>
    </row>
    <row r="22" spans="1:3" ht="18.5" x14ac:dyDescent="0.45">
      <c r="A22" s="94"/>
      <c r="B22" s="187"/>
      <c r="C22" s="179"/>
    </row>
    <row r="23" spans="1:3" ht="34" x14ac:dyDescent="0.45">
      <c r="A23" s="94" t="s">
        <v>101</v>
      </c>
      <c r="B23" s="186">
        <f>Assumptions!M135</f>
        <v>48068.228757113829</v>
      </c>
      <c r="C23" s="179" t="s">
        <v>202</v>
      </c>
    </row>
    <row r="24" spans="1:3" ht="18.5" x14ac:dyDescent="0.45">
      <c r="A24" s="94"/>
      <c r="B24" s="187"/>
      <c r="C24" s="179"/>
    </row>
    <row r="25" spans="1:3" ht="18.5" x14ac:dyDescent="0.45">
      <c r="A25" s="94" t="s">
        <v>181</v>
      </c>
      <c r="B25" s="183">
        <f>(B20*B21)/B23</f>
        <v>4882.1779586112671</v>
      </c>
      <c r="C25" s="179"/>
    </row>
    <row r="26" spans="1:3" ht="18.5" x14ac:dyDescent="0.45">
      <c r="A26" s="94"/>
      <c r="B26" s="183"/>
      <c r="C26" s="179"/>
    </row>
    <row r="27" spans="1:3" ht="34" x14ac:dyDescent="0.45">
      <c r="A27" s="94" t="s">
        <v>103</v>
      </c>
      <c r="B27" s="103">
        <f>1.022^11</f>
        <v>1.2704566586717592</v>
      </c>
      <c r="C27" s="179" t="s">
        <v>203</v>
      </c>
    </row>
    <row r="28" spans="1:3" ht="18.5" x14ac:dyDescent="0.45">
      <c r="A28" s="96"/>
      <c r="B28" s="188"/>
      <c r="C28" s="179"/>
    </row>
    <row r="29" spans="1:3" ht="18.5" x14ac:dyDescent="0.45">
      <c r="A29" s="96" t="s">
        <v>178</v>
      </c>
      <c r="B29" s="183">
        <f>B25/B27</f>
        <v>3842.8528240510786</v>
      </c>
      <c r="C29" s="179"/>
    </row>
    <row r="30" spans="1:3" ht="18.5" x14ac:dyDescent="0.45">
      <c r="A30" s="96"/>
      <c r="B30" s="188"/>
      <c r="C30" s="179"/>
    </row>
    <row r="31" spans="1:3" ht="18.5" x14ac:dyDescent="0.45">
      <c r="A31" s="102" t="s">
        <v>184</v>
      </c>
      <c r="B31" s="191"/>
      <c r="C31" s="179"/>
    </row>
    <row r="32" spans="1:3" ht="18.5" x14ac:dyDescent="0.45">
      <c r="A32" s="94"/>
      <c r="B32" s="183"/>
      <c r="C32" s="179"/>
    </row>
    <row r="33" spans="1:3" ht="34" x14ac:dyDescent="0.45">
      <c r="A33" s="94" t="s">
        <v>66</v>
      </c>
      <c r="B33" s="183">
        <f>'Profit and Loss'!AF5</f>
        <v>796931635.90903246</v>
      </c>
      <c r="C33" s="179" t="s">
        <v>201</v>
      </c>
    </row>
    <row r="34" spans="1:3" ht="34" x14ac:dyDescent="0.45">
      <c r="A34" s="94" t="str">
        <f>A21</f>
        <v>Assumed revenue from households</v>
      </c>
      <c r="B34" s="184">
        <f>B21</f>
        <v>0.7</v>
      </c>
      <c r="C34" s="179" t="s">
        <v>199</v>
      </c>
    </row>
    <row r="35" spans="1:3" ht="18.5" x14ac:dyDescent="0.45">
      <c r="A35" s="94"/>
      <c r="B35" s="187"/>
      <c r="C35" s="179"/>
    </row>
    <row r="36" spans="1:3" ht="34" x14ac:dyDescent="0.45">
      <c r="A36" s="94" t="s">
        <v>100</v>
      </c>
      <c r="B36" s="186">
        <f>Assumptions!AG135</f>
        <v>54860.096881743048</v>
      </c>
      <c r="C36" s="179" t="s">
        <v>202</v>
      </c>
    </row>
    <row r="37" spans="1:3" ht="18.5" x14ac:dyDescent="0.45">
      <c r="A37" s="94"/>
      <c r="B37" s="187"/>
      <c r="C37" s="179"/>
    </row>
    <row r="38" spans="1:3" ht="18.5" x14ac:dyDescent="0.45">
      <c r="A38" s="94" t="s">
        <v>180</v>
      </c>
      <c r="B38" s="183">
        <f>(B33*B34)/B36</f>
        <v>10168.632154238338</v>
      </c>
      <c r="C38" s="179"/>
    </row>
    <row r="39" spans="1:3" ht="18.5" x14ac:dyDescent="0.45">
      <c r="A39" s="94"/>
      <c r="B39" s="187"/>
      <c r="C39" s="179"/>
    </row>
    <row r="40" spans="1:3" ht="34" x14ac:dyDescent="0.45">
      <c r="A40" s="94" t="s">
        <v>103</v>
      </c>
      <c r="B40" s="103">
        <f>1.022^31</f>
        <v>1.9632597808456462</v>
      </c>
      <c r="C40" s="179" t="s">
        <v>203</v>
      </c>
    </row>
    <row r="41" spans="1:3" ht="18.5" x14ac:dyDescent="0.45">
      <c r="A41" s="96"/>
      <c r="B41" s="188"/>
      <c r="C41" s="180"/>
    </row>
    <row r="42" spans="1:3" ht="18.5" x14ac:dyDescent="0.45">
      <c r="A42" s="96" t="s">
        <v>179</v>
      </c>
      <c r="B42" s="183">
        <f>B38/B40</f>
        <v>5179.4633870910066</v>
      </c>
      <c r="C42" s="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62.58203125" style="76"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194</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6.630123469996585E-3</v>
      </c>
      <c r="D13" s="128">
        <f t="shared" ref="D13:AG13" si="3">(1+$C$13)^D8</f>
        <v>1.0066301234699966</v>
      </c>
      <c r="E13" s="128">
        <f t="shared" si="3"/>
        <v>1.0133042054772206</v>
      </c>
      <c r="F13" s="128">
        <f t="shared" si="3"/>
        <v>1.0200225374722014</v>
      </c>
      <c r="G13" s="128">
        <f t="shared" si="3"/>
        <v>1.0267854128378213</v>
      </c>
      <c r="H13" s="128">
        <f t="shared" si="3"/>
        <v>1.0335931269021275</v>
      </c>
      <c r="I13" s="128">
        <f t="shared" si="3"/>
        <v>1.0404459769512284</v>
      </c>
      <c r="J13" s="128">
        <f t="shared" si="3"/>
        <v>1.0473442622422764</v>
      </c>
      <c r="K13" s="128">
        <f t="shared" si="3"/>
        <v>1.0542882840165351</v>
      </c>
      <c r="L13" s="128">
        <f t="shared" si="3"/>
        <v>1.0612783455125354</v>
      </c>
      <c r="M13" s="128">
        <f t="shared" si="3"/>
        <v>1.0683147519793172</v>
      </c>
      <c r="N13" s="128">
        <f t="shared" si="3"/>
        <v>1.075397810689759</v>
      </c>
      <c r="O13" s="128">
        <f t="shared" si="3"/>
        <v>1.0825278309539961</v>
      </c>
      <c r="P13" s="128">
        <f t="shared" si="3"/>
        <v>1.0897051241329287</v>
      </c>
      <c r="Q13" s="128">
        <f t="shared" si="3"/>
        <v>1.0969300036518179</v>
      </c>
      <c r="R13" s="128">
        <f t="shared" si="3"/>
        <v>1.1042027850139735</v>
      </c>
      <c r="S13" s="128">
        <f t="shared" si="3"/>
        <v>1.1115237858145302</v>
      </c>
      <c r="T13" s="128">
        <f t="shared" si="3"/>
        <v>1.1188933257543185</v>
      </c>
      <c r="U13" s="128">
        <f t="shared" si="3"/>
        <v>1.1263117266538247</v>
      </c>
      <c r="V13" s="128">
        <f t="shared" si="3"/>
        <v>1.1337793124672448</v>
      </c>
      <c r="W13" s="128">
        <f t="shared" si="3"/>
        <v>1.1412964092966305</v>
      </c>
      <c r="X13" s="128">
        <f t="shared" si="3"/>
        <v>1.1488633454061308</v>
      </c>
      <c r="Y13" s="128">
        <f t="shared" si="3"/>
        <v>1.1564804512363267</v>
      </c>
      <c r="Z13" s="128">
        <f t="shared" si="3"/>
        <v>1.1641480594186611</v>
      </c>
      <c r="AA13" s="128">
        <f t="shared" si="3"/>
        <v>1.1718665047899637</v>
      </c>
      <c r="AB13" s="128">
        <f t="shared" si="3"/>
        <v>1.1796361244070743</v>
      </c>
      <c r="AC13" s="128">
        <f t="shared" si="3"/>
        <v>1.1874572575615616</v>
      </c>
      <c r="AD13" s="128">
        <f t="shared" si="3"/>
        <v>1.1953302457945383</v>
      </c>
      <c r="AE13" s="128">
        <f t="shared" si="3"/>
        <v>1.2032554329115774</v>
      </c>
      <c r="AF13" s="128">
        <f t="shared" si="3"/>
        <v>1.2112331649977255</v>
      </c>
      <c r="AG13" s="128">
        <f t="shared" si="3"/>
        <v>1.2192637904326151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190</v>
      </c>
      <c r="B15" s="178" t="s">
        <v>191</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6025435000.000001</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3012717500.0000005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99516000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191</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197</v>
      </c>
      <c r="C24" s="136">
        <v>67543632.870000005</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193</v>
      </c>
      <c r="C25" s="136">
        <v>35685570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-2.3448966020602136E-2</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-2.1000000000000001E-2</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-2.8298467285697848E-3</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-1.1442276630347914E-3</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-7.6661847003534067E-4</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-2.5327976731195356E-3</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-1.0229536005149642E-3</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-6.8500476125066267E-4</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0.99717015327143022</v>
      </c>
      <c r="I43" s="142">
        <f>H43*(1+$C$35)</f>
        <v>0.99434831457536765</v>
      </c>
      <c r="J43" s="142">
        <f>I43*(1+$C$35)</f>
        <v>0.99153446125030764</v>
      </c>
      <c r="K43" s="142">
        <f>J43*(1+$C$35)</f>
        <v>0.98872857069887421</v>
      </c>
      <c r="L43" s="142">
        <f>K43*(1+$C$35)</f>
        <v>0.98593062038763857</v>
      </c>
      <c r="M43" s="142">
        <f>L43*(1+$C$36)</f>
        <v>0.98480249129795794</v>
      </c>
      <c r="N43" s="142">
        <f>M43*(1+$C$36)</f>
        <v>0.98367565304478921</v>
      </c>
      <c r="O43" s="142">
        <f>N43*(1+$C$36)</f>
        <v>0.98255010415112154</v>
      </c>
      <c r="P43" s="142">
        <f>O43*(1+$C$36)</f>
        <v>0.98142584314163406</v>
      </c>
      <c r="Q43" s="142">
        <f>P43*(1+$C$36)</f>
        <v>0.98030286854269411</v>
      </c>
      <c r="R43" s="142">
        <f>Q43*(1+$C$37)</f>
        <v>0.97955135025744067</v>
      </c>
      <c r="S43" s="142">
        <f>R43*(1+$C$37)</f>
        <v>0.97880040809998525</v>
      </c>
      <c r="T43" s="142">
        <f>S43*(1+$C$37)</f>
        <v>0.97805004162865772</v>
      </c>
      <c r="U43" s="142">
        <f>T43*(1+$C$37)</f>
        <v>0.97730025040212631</v>
      </c>
      <c r="V43" s="142">
        <f>U43*(1+$C$37)</f>
        <v>0.97655103397939791</v>
      </c>
      <c r="W43" s="142">
        <f t="shared" ref="W43:AG43" si="4">V43</f>
        <v>0.97655103397939791</v>
      </c>
      <c r="X43" s="142">
        <f t="shared" si="4"/>
        <v>0.97655103397939791</v>
      </c>
      <c r="Y43" s="142">
        <f t="shared" si="4"/>
        <v>0.97655103397939791</v>
      </c>
      <c r="Z43" s="142">
        <f t="shared" si="4"/>
        <v>0.97655103397939791</v>
      </c>
      <c r="AA43" s="142">
        <f t="shared" si="4"/>
        <v>0.97655103397939791</v>
      </c>
      <c r="AB43" s="142">
        <f t="shared" si="4"/>
        <v>0.97655103397939791</v>
      </c>
      <c r="AC43" s="142">
        <f t="shared" si="4"/>
        <v>0.97655103397939791</v>
      </c>
      <c r="AD43" s="142">
        <f t="shared" si="4"/>
        <v>0.97655103397939791</v>
      </c>
      <c r="AE43" s="142">
        <f t="shared" si="4"/>
        <v>0.97655103397939791</v>
      </c>
      <c r="AF43" s="142">
        <f t="shared" si="4"/>
        <v>0.97655103397939791</v>
      </c>
      <c r="AG43" s="142">
        <f t="shared" si="4"/>
        <v>0.97655103397939791</v>
      </c>
    </row>
    <row r="44" spans="1:33" x14ac:dyDescent="0.35">
      <c r="A44" s="69" t="s">
        <v>60</v>
      </c>
      <c r="B44" s="69" t="s">
        <v>86</v>
      </c>
      <c r="C44" s="141">
        <v>1</v>
      </c>
      <c r="D44" s="142">
        <v>1</v>
      </c>
      <c r="E44" s="142">
        <v>1</v>
      </c>
      <c r="F44" s="142">
        <v>1</v>
      </c>
      <c r="G44" s="142">
        <v>1</v>
      </c>
      <c r="H44" s="142">
        <f>G44*(1+$C$39)</f>
        <v>0.99746720232688046</v>
      </c>
      <c r="I44" s="142">
        <f>H44*(1+$C$39)</f>
        <v>0.9949408197178139</v>
      </c>
      <c r="J44" s="142">
        <f>I44*(1+$C$39)</f>
        <v>0.99242083592474095</v>
      </c>
      <c r="K44" s="142">
        <f>J44*(1+$C$39)</f>
        <v>0.98990723474075537</v>
      </c>
      <c r="L44" s="142">
        <f>K44*(1+$C$39)</f>
        <v>0.98739999999999983</v>
      </c>
      <c r="M44" s="142">
        <f>L44*(1+$C$40)</f>
        <v>0.98638993561485133</v>
      </c>
      <c r="N44" s="142">
        <f>M44*(1+$C$40)</f>
        <v>0.98538090447870241</v>
      </c>
      <c r="O44" s="142">
        <f>N44*(1+$C$40)</f>
        <v>0.98437290553458723</v>
      </c>
      <c r="P44" s="142">
        <f>O44*(1+$C$40)</f>
        <v>0.98336593772662129</v>
      </c>
      <c r="Q44" s="142">
        <f>P44*(1+$C$40)</f>
        <v>0.98236000000000001</v>
      </c>
      <c r="R44" s="142">
        <f>Q44*(1+$C$41)</f>
        <v>0.98168707872273786</v>
      </c>
      <c r="S44" s="142">
        <f>R44*(1+$C$41)</f>
        <v>0.98101461839975457</v>
      </c>
      <c r="T44" s="142">
        <f>S44*(1+$C$41)</f>
        <v>0.98034261871529427</v>
      </c>
      <c r="U44" s="142">
        <f>T44*(1+$C$41)</f>
        <v>0.97967107935381736</v>
      </c>
      <c r="V44" s="142">
        <f>U44*(1+$C$41)</f>
        <v>0.97900000000000043</v>
      </c>
      <c r="W44" s="142">
        <f t="shared" ref="W44:AG44" si="5">V44</f>
        <v>0.97900000000000043</v>
      </c>
      <c r="X44" s="142">
        <f t="shared" si="5"/>
        <v>0.97900000000000043</v>
      </c>
      <c r="Y44" s="142">
        <f t="shared" si="5"/>
        <v>0.97900000000000043</v>
      </c>
      <c r="Z44" s="142">
        <f t="shared" si="5"/>
        <v>0.97900000000000043</v>
      </c>
      <c r="AA44" s="142">
        <f t="shared" si="5"/>
        <v>0.97900000000000043</v>
      </c>
      <c r="AB44" s="142">
        <f t="shared" si="5"/>
        <v>0.97900000000000043</v>
      </c>
      <c r="AC44" s="142">
        <f t="shared" si="5"/>
        <v>0.97900000000000043</v>
      </c>
      <c r="AD44" s="142">
        <f t="shared" si="5"/>
        <v>0.97900000000000043</v>
      </c>
      <c r="AE44" s="142">
        <f t="shared" si="5"/>
        <v>0.97900000000000043</v>
      </c>
      <c r="AF44" s="142">
        <f t="shared" si="5"/>
        <v>0.97900000000000043</v>
      </c>
      <c r="AG44" s="142">
        <f t="shared" si="5"/>
        <v>0.97900000000000043</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5958370000.0000019</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6092500000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17598307.427109521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25449370.684704144</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21523839.055906832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47968073.861334071</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65262847.383971974</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56615460.622653022</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82064831.307357162</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70" t="s">
        <v>198</v>
      </c>
      <c r="C77" s="87">
        <v>312906000</v>
      </c>
      <c r="D77" s="172"/>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3218823513.583127</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1682219286.8181982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3531729513.583127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1995125286.8181982</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195</v>
      </c>
      <c r="C85" s="150">
        <v>110473</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132497</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121485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29071.321674141887</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16422.811761272569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3531729513.583127</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1995125286.818198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2763427400.2006626</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2763427400.2006626</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92114246.673355415</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82064831.307357162</v>
      </c>
      <c r="E111" s="149">
        <f t="shared" si="7"/>
        <v>82064831.307357162</v>
      </c>
      <c r="F111" s="149">
        <f t="shared" si="7"/>
        <v>82064831.307357162</v>
      </c>
      <c r="G111" s="149">
        <f t="shared" si="7"/>
        <v>82064831.307357162</v>
      </c>
      <c r="H111" s="149">
        <f t="shared" si="7"/>
        <v>82064831.307357162</v>
      </c>
      <c r="I111" s="149">
        <f t="shared" si="7"/>
        <v>82064831.307357162</v>
      </c>
      <c r="J111" s="149">
        <f t="shared" si="7"/>
        <v>82064831.307357162</v>
      </c>
      <c r="K111" s="149">
        <f t="shared" si="7"/>
        <v>82064831.307357162</v>
      </c>
      <c r="L111" s="149">
        <f t="shared" si="7"/>
        <v>82064831.307357162</v>
      </c>
      <c r="M111" s="149">
        <f t="shared" si="7"/>
        <v>82064831.307357162</v>
      </c>
      <c r="N111" s="149">
        <f t="shared" si="7"/>
        <v>82064831.307357162</v>
      </c>
      <c r="O111" s="149">
        <f t="shared" si="7"/>
        <v>82064831.307357162</v>
      </c>
      <c r="P111" s="149">
        <f t="shared" si="7"/>
        <v>82064831.307357162</v>
      </c>
      <c r="Q111" s="149">
        <f t="shared" si="7"/>
        <v>82064831.307357162</v>
      </c>
      <c r="R111" s="149">
        <f t="shared" si="7"/>
        <v>82064831.307357162</v>
      </c>
      <c r="S111" s="149">
        <f t="shared" si="7"/>
        <v>82064831.307357162</v>
      </c>
      <c r="T111" s="149">
        <f t="shared" si="7"/>
        <v>82064831.307357162</v>
      </c>
      <c r="U111" s="149">
        <f t="shared" si="7"/>
        <v>82064831.307357162</v>
      </c>
      <c r="V111" s="149">
        <f t="shared" si="7"/>
        <v>82064831.307357162</v>
      </c>
      <c r="W111" s="149">
        <f t="shared" si="7"/>
        <v>82064831.307357162</v>
      </c>
      <c r="X111" s="149">
        <f t="shared" si="7"/>
        <v>82064831.307357162</v>
      </c>
      <c r="Y111" s="149">
        <f t="shared" si="7"/>
        <v>82064831.307357162</v>
      </c>
      <c r="Z111" s="149">
        <f t="shared" si="7"/>
        <v>82064831.307357162</v>
      </c>
      <c r="AA111" s="149">
        <f t="shared" si="7"/>
        <v>82064831.307357162</v>
      </c>
      <c r="AB111" s="149">
        <f t="shared" si="7"/>
        <v>82064831.307357162</v>
      </c>
      <c r="AC111" s="149">
        <f t="shared" si="7"/>
        <v>82064831.307357162</v>
      </c>
      <c r="AD111" s="149">
        <f t="shared" si="7"/>
        <v>82064831.307357162</v>
      </c>
      <c r="AE111" s="149">
        <f t="shared" si="7"/>
        <v>82064831.307357162</v>
      </c>
      <c r="AF111" s="149">
        <f t="shared" si="7"/>
        <v>82064831.307357162</v>
      </c>
      <c r="AG111" s="149">
        <f t="shared" si="7"/>
        <v>82064831.307357162</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2763427400.2006631</v>
      </c>
      <c r="D113" s="149">
        <f t="shared" ref="D113:AG113" si="8">$C$102</f>
        <v>92114246.673355415</v>
      </c>
      <c r="E113" s="149">
        <f t="shared" si="8"/>
        <v>92114246.673355415</v>
      </c>
      <c r="F113" s="149">
        <f t="shared" si="8"/>
        <v>92114246.673355415</v>
      </c>
      <c r="G113" s="149">
        <f t="shared" si="8"/>
        <v>92114246.673355415</v>
      </c>
      <c r="H113" s="149">
        <f t="shared" si="8"/>
        <v>92114246.673355415</v>
      </c>
      <c r="I113" s="149">
        <f t="shared" si="8"/>
        <v>92114246.673355415</v>
      </c>
      <c r="J113" s="149">
        <f t="shared" si="8"/>
        <v>92114246.673355415</v>
      </c>
      <c r="K113" s="149">
        <f t="shared" si="8"/>
        <v>92114246.673355415</v>
      </c>
      <c r="L113" s="149">
        <f t="shared" si="8"/>
        <v>92114246.673355415</v>
      </c>
      <c r="M113" s="149">
        <f t="shared" si="8"/>
        <v>92114246.673355415</v>
      </c>
      <c r="N113" s="149">
        <f t="shared" si="8"/>
        <v>92114246.673355415</v>
      </c>
      <c r="O113" s="149">
        <f t="shared" si="8"/>
        <v>92114246.673355415</v>
      </c>
      <c r="P113" s="149">
        <f t="shared" si="8"/>
        <v>92114246.673355415</v>
      </c>
      <c r="Q113" s="149">
        <f t="shared" si="8"/>
        <v>92114246.673355415</v>
      </c>
      <c r="R113" s="149">
        <f t="shared" si="8"/>
        <v>92114246.673355415</v>
      </c>
      <c r="S113" s="149">
        <f t="shared" si="8"/>
        <v>92114246.673355415</v>
      </c>
      <c r="T113" s="149">
        <f t="shared" si="8"/>
        <v>92114246.673355415</v>
      </c>
      <c r="U113" s="149">
        <f t="shared" si="8"/>
        <v>92114246.673355415</v>
      </c>
      <c r="V113" s="149">
        <f t="shared" si="8"/>
        <v>92114246.673355415</v>
      </c>
      <c r="W113" s="149">
        <f t="shared" si="8"/>
        <v>92114246.673355415</v>
      </c>
      <c r="X113" s="149">
        <f t="shared" si="8"/>
        <v>92114246.673355415</v>
      </c>
      <c r="Y113" s="149">
        <f t="shared" si="8"/>
        <v>92114246.673355415</v>
      </c>
      <c r="Z113" s="149">
        <f t="shared" si="8"/>
        <v>92114246.673355415</v>
      </c>
      <c r="AA113" s="149">
        <f t="shared" si="8"/>
        <v>92114246.673355415</v>
      </c>
      <c r="AB113" s="149">
        <f t="shared" si="8"/>
        <v>92114246.673355415</v>
      </c>
      <c r="AC113" s="149">
        <f t="shared" si="8"/>
        <v>92114246.673355415</v>
      </c>
      <c r="AD113" s="149">
        <f t="shared" si="8"/>
        <v>92114246.673355415</v>
      </c>
      <c r="AE113" s="149">
        <f t="shared" si="8"/>
        <v>92114246.673355415</v>
      </c>
      <c r="AF113" s="149">
        <f t="shared" si="8"/>
        <v>92114246.673355415</v>
      </c>
      <c r="AG113" s="149">
        <f t="shared" si="8"/>
        <v>92114246.673355415</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-233306.74963542819</v>
      </c>
      <c r="I115" s="149">
        <f t="shared" si="9"/>
        <v>-466022.58047826588</v>
      </c>
      <c r="J115" s="149">
        <f t="shared" si="9"/>
        <v>-698148.98920623958</v>
      </c>
      <c r="K115" s="149">
        <f t="shared" si="9"/>
        <v>-929687.4687063247</v>
      </c>
      <c r="L115" s="149">
        <f t="shared" si="9"/>
        <v>-1160639.5080842972</v>
      </c>
      <c r="M115" s="149">
        <f t="shared" si="9"/>
        <v>-1253680.8280138373</v>
      </c>
      <c r="N115" s="149">
        <f t="shared" si="9"/>
        <v>-1346626.9709901512</v>
      </c>
      <c r="O115" s="149">
        <f t="shared" si="9"/>
        <v>-1439478.0343748629</v>
      </c>
      <c r="P115" s="149">
        <f t="shared" si="9"/>
        <v>-1532234.1154299676</v>
      </c>
      <c r="Q115" s="149">
        <f t="shared" si="9"/>
        <v>-1624895.3113179952</v>
      </c>
      <c r="R115" s="149">
        <f t="shared" si="9"/>
        <v>-1686880.9478434622</v>
      </c>
      <c r="S115" s="149">
        <f t="shared" si="9"/>
        <v>-1748824.1239127964</v>
      </c>
      <c r="T115" s="149">
        <f t="shared" si="9"/>
        <v>-1810724.8686115891</v>
      </c>
      <c r="U115" s="149">
        <f t="shared" si="9"/>
        <v>-1872583.2110055387</v>
      </c>
      <c r="V115" s="149">
        <f t="shared" si="9"/>
        <v>-1934399.1801404208</v>
      </c>
      <c r="W115" s="149">
        <f t="shared" si="9"/>
        <v>-1934399.1801404208</v>
      </c>
      <c r="X115" s="149">
        <f t="shared" si="9"/>
        <v>-1934399.1801404208</v>
      </c>
      <c r="Y115" s="149">
        <f t="shared" si="9"/>
        <v>-1934399.1801404208</v>
      </c>
      <c r="Z115" s="149">
        <f t="shared" si="9"/>
        <v>-1934399.1801404208</v>
      </c>
      <c r="AA115" s="149">
        <f t="shared" si="9"/>
        <v>-1934399.1801404208</v>
      </c>
      <c r="AB115" s="149">
        <f t="shared" si="9"/>
        <v>-1934399.1801404208</v>
      </c>
      <c r="AC115" s="149">
        <f t="shared" si="9"/>
        <v>-1934399.1801404208</v>
      </c>
      <c r="AD115" s="149">
        <f t="shared" si="9"/>
        <v>-1934399.1801404208</v>
      </c>
      <c r="AE115" s="149">
        <f t="shared" si="9"/>
        <v>-1934399.1801404208</v>
      </c>
      <c r="AF115" s="149">
        <f t="shared" si="9"/>
        <v>-1934399.1801404208</v>
      </c>
      <c r="AG115" s="149">
        <f t="shared" si="9"/>
        <v>-1934399.1801404208</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92114246.673355415</v>
      </c>
      <c r="E118" s="149">
        <f t="shared" ref="E118:AG118" si="11">E113+E115+E116</f>
        <v>92114246.673355415</v>
      </c>
      <c r="F118" s="149">
        <f>F113+F115+F116</f>
        <v>92114246.673355415</v>
      </c>
      <c r="G118" s="149">
        <f t="shared" si="11"/>
        <v>92114246.673355415</v>
      </c>
      <c r="H118" s="149">
        <f t="shared" si="11"/>
        <v>91880939.923719987</v>
      </c>
      <c r="I118" s="149">
        <f t="shared" si="11"/>
        <v>91648224.09287715</v>
      </c>
      <c r="J118" s="149">
        <f t="shared" si="11"/>
        <v>91416097.684149176</v>
      </c>
      <c r="K118" s="149">
        <f t="shared" si="11"/>
        <v>91184559.204649091</v>
      </c>
      <c r="L118" s="149">
        <f t="shared" si="11"/>
        <v>90953607.165271118</v>
      </c>
      <c r="M118" s="149">
        <f t="shared" si="11"/>
        <v>90860565.845341578</v>
      </c>
      <c r="N118" s="149">
        <f t="shared" si="11"/>
        <v>90767619.702365264</v>
      </c>
      <c r="O118" s="149">
        <f t="shared" si="11"/>
        <v>90674768.638980553</v>
      </c>
      <c r="P118" s="149">
        <f t="shared" si="11"/>
        <v>90582012.557925448</v>
      </c>
      <c r="Q118" s="149">
        <f t="shared" si="11"/>
        <v>90489351.36203742</v>
      </c>
      <c r="R118" s="149">
        <f t="shared" si="11"/>
        <v>90427365.725511953</v>
      </c>
      <c r="S118" s="149">
        <f t="shared" si="11"/>
        <v>90365422.549442619</v>
      </c>
      <c r="T118" s="149">
        <f t="shared" si="11"/>
        <v>90303521.804743826</v>
      </c>
      <c r="U118" s="149">
        <f t="shared" si="11"/>
        <v>90241663.462349877</v>
      </c>
      <c r="V118" s="149">
        <f t="shared" si="11"/>
        <v>90179847.493214995</v>
      </c>
      <c r="W118" s="149">
        <f t="shared" si="11"/>
        <v>90179847.493214995</v>
      </c>
      <c r="X118" s="149">
        <f t="shared" si="11"/>
        <v>90179847.493214995</v>
      </c>
      <c r="Y118" s="149">
        <f t="shared" si="11"/>
        <v>90179847.493214995</v>
      </c>
      <c r="Z118" s="149">
        <f t="shared" si="11"/>
        <v>90179847.493214995</v>
      </c>
      <c r="AA118" s="149">
        <f t="shared" si="11"/>
        <v>90179847.493214995</v>
      </c>
      <c r="AB118" s="149">
        <f t="shared" si="11"/>
        <v>90179847.493214995</v>
      </c>
      <c r="AC118" s="149">
        <f t="shared" si="11"/>
        <v>90179847.493214995</v>
      </c>
      <c r="AD118" s="149">
        <f t="shared" si="11"/>
        <v>90179847.493214995</v>
      </c>
      <c r="AE118" s="149">
        <f t="shared" si="11"/>
        <v>90179847.493214995</v>
      </c>
      <c r="AF118" s="149">
        <f t="shared" si="11"/>
        <v>90179847.493214995</v>
      </c>
      <c r="AG118" s="149">
        <f t="shared" si="11"/>
        <v>90179847.493214995</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2210741.9201605301</v>
      </c>
      <c r="E120" s="149">
        <f>(SUM($D$118:E118)*$C$104/$C$106)+(SUM($D$118:E118)*$C$105/$C$107)</f>
        <v>4421483.8403210603</v>
      </c>
      <c r="F120" s="149">
        <f>(SUM($D$118:F118)*$C$104/$C$106)+(SUM($D$118:F118)*$C$105/$C$107)</f>
        <v>6632225.7604815904</v>
      </c>
      <c r="G120" s="149">
        <f>(SUM($D$118:G118)*$C$104/$C$106)+(SUM($D$118:G118)*$C$105/$C$107)</f>
        <v>8842967.6806421205</v>
      </c>
      <c r="H120" s="149">
        <f>(SUM($D$118:H118)*$C$104/$C$106)+(SUM($D$118:H118)*$C$105/$C$107)</f>
        <v>11048110.2388114</v>
      </c>
      <c r="I120" s="149">
        <f>(SUM($D$118:I118)*$C$104/$C$106)+(SUM($D$118:I118)*$C$105/$C$107)</f>
        <v>13247667.617040453</v>
      </c>
      <c r="J120" s="149">
        <f>(SUM($D$118:J118)*$C$104/$C$106)+(SUM($D$118:J118)*$C$105/$C$107)</f>
        <v>15441653.961460032</v>
      </c>
      <c r="K120" s="149">
        <f>(SUM($D$118:K118)*$C$104/$C$106)+(SUM($D$118:K118)*$C$105/$C$107)</f>
        <v>17630083.382371612</v>
      </c>
      <c r="L120" s="149">
        <f>(SUM($D$118:L118)*$C$104/$C$106)+(SUM($D$118:L118)*$C$105/$C$107)</f>
        <v>19812969.954338118</v>
      </c>
      <c r="M120" s="149">
        <f>(SUM($D$118:M118)*$C$104/$C$106)+(SUM($D$118:M118)*$C$105/$C$107)</f>
        <v>21993623.534626316</v>
      </c>
      <c r="N120" s="149">
        <f>(SUM($D$118:N118)*$C$104/$C$106)+(SUM($D$118:N118)*$C$105/$C$107)</f>
        <v>24172046.407483082</v>
      </c>
      <c r="O120" s="149">
        <f>(SUM($D$118:O118)*$C$104/$C$106)+(SUM($D$118:O118)*$C$105/$C$107)</f>
        <v>26348240.854818616</v>
      </c>
      <c r="P120" s="149">
        <f>(SUM($D$118:P118)*$C$104/$C$106)+(SUM($D$118:P118)*$C$105/$C$107)</f>
        <v>28522209.156208828</v>
      </c>
      <c r="Q120" s="149">
        <f>(SUM($D$118:Q118)*$C$104/$C$106)+(SUM($D$118:Q118)*$C$105/$C$107)</f>
        <v>30693953.588897727</v>
      </c>
      <c r="R120" s="149">
        <f>(SUM($D$118:R118)*$C$104/$C$106)+(SUM($D$118:R118)*$C$105/$C$107)</f>
        <v>32864210.366310012</v>
      </c>
      <c r="S120" s="149">
        <f>(SUM($D$118:S118)*$C$104/$C$106)+(SUM($D$118:S118)*$C$105/$C$107)</f>
        <v>35032980.507496633</v>
      </c>
      <c r="T120" s="149">
        <f>(SUM($D$118:T118)*$C$104/$C$106)+(SUM($D$118:T118)*$C$105/$C$107)</f>
        <v>37200265.030810483</v>
      </c>
      <c r="U120" s="149">
        <f>(SUM($D$118:U118)*$C$104/$C$106)+(SUM($D$118:U118)*$C$105/$C$107)</f>
        <v>39366064.953906879</v>
      </c>
      <c r="V120" s="149">
        <f>(SUM($D$118:V118)*$C$104/$C$106)+(SUM($D$118:V118)*$C$105/$C$107)</f>
        <v>41530381.293744043</v>
      </c>
      <c r="W120" s="149">
        <f>(SUM($D$118:W118)*$C$104/$C$106)+(SUM($D$118:W118)*$C$105/$C$107)</f>
        <v>43694697.633581206</v>
      </c>
      <c r="X120" s="149">
        <f>(SUM($D$118:X118)*$C$104/$C$106)+(SUM($D$118:X118)*$C$105/$C$107)</f>
        <v>45859013.97341837</v>
      </c>
      <c r="Y120" s="149">
        <f>(SUM($D$118:Y118)*$C$104/$C$106)+(SUM($D$118:Y118)*$C$105/$C$107)</f>
        <v>48023330.313255526</v>
      </c>
      <c r="Z120" s="149">
        <f>(SUM($D$118:Z118)*$C$104/$C$106)+(SUM($D$118:Z118)*$C$105/$C$107)</f>
        <v>50187646.65309269</v>
      </c>
      <c r="AA120" s="149">
        <f>(SUM($D$118:AA118)*$C$104/$C$106)+(SUM($D$118:AA118)*$C$105/$C$107)</f>
        <v>52351962.992929853</v>
      </c>
      <c r="AB120" s="149">
        <f>(SUM($D$118:AB118)*$C$104/$C$106)+(SUM($D$118:AB118)*$C$105/$C$107)</f>
        <v>54516279.33276701</v>
      </c>
      <c r="AC120" s="149">
        <f>(SUM($D$118:AC118)*$C$104/$C$106)+(SUM($D$118:AC118)*$C$105/$C$107)</f>
        <v>56680595.672604166</v>
      </c>
      <c r="AD120" s="149">
        <f>(SUM($D$118:AD118)*$C$104/$C$106)+(SUM($D$118:AD118)*$C$105/$C$107)</f>
        <v>58844912.012441337</v>
      </c>
      <c r="AE120" s="149">
        <f>(SUM($D$118:AE118)*$C$104/$C$106)+(SUM($D$118:AE118)*$C$105/$C$107)</f>
        <v>61009228.352278493</v>
      </c>
      <c r="AF120" s="149">
        <f>(SUM($D$118:AF118)*$C$104/$C$106)+(SUM($D$118:AF118)*$C$105/$C$107)</f>
        <v>63173544.692115657</v>
      </c>
      <c r="AG120" s="149">
        <f>(SUM($D$118:AG118)*$C$104/$C$106)+(SUM($D$118:AG118)*$C$105/$C$107)</f>
        <v>65337861.031952813</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2763427.4002006622</v>
      </c>
      <c r="E122" s="72">
        <f>(SUM($D$118:E118)*$C$109)</f>
        <v>5526854.8004013244</v>
      </c>
      <c r="F122" s="72">
        <f>(SUM($D$118:F118)*$C$109)</f>
        <v>8290282.2006019875</v>
      </c>
      <c r="G122" s="72">
        <f>(SUM($D$118:G118)*$C$109)</f>
        <v>11053709.600802649</v>
      </c>
      <c r="H122" s="72">
        <f>(SUM($D$118:H118)*$C$109)</f>
        <v>13810137.798514249</v>
      </c>
      <c r="I122" s="72">
        <f>(SUM($D$118:I118)*$C$109)</f>
        <v>16559584.521300565</v>
      </c>
      <c r="J122" s="72">
        <f>(SUM($D$118:J118)*$C$109)</f>
        <v>19302067.451825041</v>
      </c>
      <c r="K122" s="72">
        <f>(SUM($D$118:K118)*$C$109)</f>
        <v>22037604.227964513</v>
      </c>
      <c r="L122" s="72">
        <f>(SUM($D$118:L118)*$C$109)</f>
        <v>24766212.442922648</v>
      </c>
      <c r="M122" s="72">
        <f>(SUM($D$118:M118)*$C$109)</f>
        <v>27492029.418282893</v>
      </c>
      <c r="N122" s="72">
        <f>(SUM($D$118:N118)*$C$109)</f>
        <v>30215058.009353854</v>
      </c>
      <c r="O122" s="72">
        <f>(SUM($D$118:O118)*$C$109)</f>
        <v>32935301.068523269</v>
      </c>
      <c r="P122" s="72">
        <f>(SUM($D$118:P118)*$C$109)</f>
        <v>35652761.445261031</v>
      </c>
      <c r="Q122" s="72">
        <f>(SUM($D$118:Q118)*$C$109)</f>
        <v>38367441.986122154</v>
      </c>
      <c r="R122" s="72">
        <f>(SUM($D$118:R118)*$C$109)</f>
        <v>41080262.957887515</v>
      </c>
      <c r="S122" s="72">
        <f>(SUM($D$118:S118)*$C$109)</f>
        <v>43791225.634370789</v>
      </c>
      <c r="T122" s="72">
        <f>(SUM($D$118:T118)*$C$109)</f>
        <v>46500331.288513102</v>
      </c>
      <c r="U122" s="72">
        <f>(SUM($D$118:U118)*$C$109)</f>
        <v>49207581.192383602</v>
      </c>
      <c r="V122" s="72">
        <f>(SUM($D$118:V118)*$C$109)</f>
        <v>51912976.617180049</v>
      </c>
      <c r="W122" s="72">
        <f>(SUM($D$118:W118)*$C$109)</f>
        <v>54618372.041976504</v>
      </c>
      <c r="X122" s="72">
        <f>(SUM($D$118:X118)*$C$109)</f>
        <v>57323767.466772959</v>
      </c>
      <c r="Y122" s="72">
        <f>(SUM($D$118:Y118)*$C$109)</f>
        <v>60029162.891569413</v>
      </c>
      <c r="Z122" s="72">
        <f>(SUM($D$118:Z118)*$C$109)</f>
        <v>62734558.31636586</v>
      </c>
      <c r="AA122" s="72">
        <f>(SUM($D$118:AA118)*$C$109)</f>
        <v>65439953.741162308</v>
      </c>
      <c r="AB122" s="72">
        <f>(SUM($D$118:AB118)*$C$109)</f>
        <v>68145349.165958762</v>
      </c>
      <c r="AC122" s="72">
        <f>(SUM($D$118:AC118)*$C$109)</f>
        <v>70850744.590755209</v>
      </c>
      <c r="AD122" s="72">
        <f>(SUM($D$118:AD118)*$C$109)</f>
        <v>73556140.015551671</v>
      </c>
      <c r="AE122" s="72">
        <f>(SUM($D$118:AE118)*$C$109)</f>
        <v>76261535.440348119</v>
      </c>
      <c r="AF122" s="72">
        <f>(SUM($D$118:AF118)*$C$109)</f>
        <v>78966930.865144566</v>
      </c>
      <c r="AG122" s="72">
        <f>(SUM($D$118:AG118)*$C$109)</f>
        <v>81672326.289941028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195</v>
      </c>
      <c r="C126" s="126">
        <v>110473</v>
      </c>
      <c r="D126" s="140"/>
    </row>
    <row r="127" spans="1:33" x14ac:dyDescent="0.35">
      <c r="A127" s="77" t="s">
        <v>150</v>
      </c>
      <c r="B127" s="77" t="s">
        <v>133</v>
      </c>
      <c r="C127" s="126">
        <v>132497</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121485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44994.444444444438</v>
      </c>
      <c r="D135" s="157">
        <f t="shared" ref="D135:AG135" si="12">$C$135*D13</f>
        <v>45292.763166575009</v>
      </c>
      <c r="E135" s="157">
        <f t="shared" si="12"/>
        <v>45593.059778666713</v>
      </c>
      <c r="F135" s="157">
        <f t="shared" si="12"/>
        <v>45895.347394374214</v>
      </c>
      <c r="G135" s="157">
        <f t="shared" si="12"/>
        <v>46199.639214297298</v>
      </c>
      <c r="H135" s="157">
        <f t="shared" si="12"/>
        <v>46505.948526557382</v>
      </c>
      <c r="I135" s="157">
        <f t="shared" si="12"/>
        <v>46814.288707377767</v>
      </c>
      <c r="J135" s="157">
        <f t="shared" si="12"/>
        <v>47124.673221667748</v>
      </c>
      <c r="K135" s="157">
        <f t="shared" si="12"/>
        <v>47437.115623610647</v>
      </c>
      <c r="L135" s="157">
        <f t="shared" si="12"/>
        <v>47751.629557255685</v>
      </c>
      <c r="M135" s="157">
        <f t="shared" si="12"/>
        <v>48068.228757113829</v>
      </c>
      <c r="N135" s="157">
        <f t="shared" si="12"/>
        <v>48386.927048757541</v>
      </c>
      <c r="O135" s="157">
        <f t="shared" si="12"/>
        <v>48707.738349424515</v>
      </c>
      <c r="P135" s="157">
        <f t="shared" si="12"/>
        <v>49030.676668625492</v>
      </c>
      <c r="Q135" s="157">
        <f t="shared" si="12"/>
        <v>49355.756108755959</v>
      </c>
      <c r="R135" s="157">
        <f t="shared" si="12"/>
        <v>49682.990865712054</v>
      </c>
      <c r="S135" s="157">
        <f t="shared" si="12"/>
        <v>50012.395229510439</v>
      </c>
      <c r="T135" s="157">
        <f t="shared" si="12"/>
        <v>50343.983584912356</v>
      </c>
      <c r="U135" s="157">
        <f t="shared" si="12"/>
        <v>50677.77041205181</v>
      </c>
      <c r="V135" s="157">
        <f t="shared" si="12"/>
        <v>51013.770287067862</v>
      </c>
      <c r="W135" s="157">
        <f t="shared" si="12"/>
        <v>51351.997882741161</v>
      </c>
      <c r="X135" s="157">
        <f t="shared" si="12"/>
        <v>51692.467969134734</v>
      </c>
      <c r="Y135" s="157">
        <f t="shared" si="12"/>
        <v>52035.195414238937</v>
      </c>
      <c r="Z135" s="157">
        <f t="shared" si="12"/>
        <v>52380.195184620745</v>
      </c>
      <c r="AA135" s="157">
        <f t="shared" si="12"/>
        <v>52727.482346077304</v>
      </c>
      <c r="AB135" s="157">
        <f t="shared" si="12"/>
        <v>53077.072064293854</v>
      </c>
      <c r="AC135" s="157">
        <f t="shared" si="12"/>
        <v>53428.979605506036</v>
      </c>
      <c r="AD135" s="157">
        <f t="shared" si="12"/>
        <v>53783.220337166465</v>
      </c>
      <c r="AE135" s="157">
        <f t="shared" si="12"/>
        <v>54139.80972861591</v>
      </c>
      <c r="AF135" s="157">
        <f t="shared" si="12"/>
        <v>54498.76335175876</v>
      </c>
      <c r="AG135" s="157">
        <f t="shared" si="12"/>
        <v>54860.096881743048</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3.6640625" style="63"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v>
      </c>
      <c r="F4" s="65">
        <v>0.3</v>
      </c>
      <c r="G4" s="65">
        <v>0.3</v>
      </c>
      <c r="H4" s="65">
        <v>0.3</v>
      </c>
      <c r="I4" s="65">
        <v>0.15</v>
      </c>
      <c r="J4" s="65">
        <v>0.1</v>
      </c>
      <c r="K4" s="65">
        <v>0.08</v>
      </c>
      <c r="L4" s="65">
        <v>0.08</v>
      </c>
      <c r="M4" s="65">
        <v>0.05</v>
      </c>
      <c r="N4" s="65">
        <v>0.05</v>
      </c>
      <c r="O4" s="65">
        <v>0.05</v>
      </c>
      <c r="P4" s="65">
        <v>0.05</v>
      </c>
      <c r="Q4" s="65">
        <v>0.04</v>
      </c>
      <c r="R4" s="65">
        <v>0.04</v>
      </c>
      <c r="S4" s="65">
        <v>0.04</v>
      </c>
      <c r="T4" s="65">
        <v>0.04</v>
      </c>
      <c r="U4" s="65">
        <v>0.04</v>
      </c>
      <c r="V4" s="65">
        <v>0.04</v>
      </c>
      <c r="W4" s="65">
        <v>0.04</v>
      </c>
      <c r="X4" s="65">
        <v>0.04</v>
      </c>
      <c r="Y4" s="65">
        <v>0.04</v>
      </c>
      <c r="Z4" s="65">
        <v>0.04</v>
      </c>
      <c r="AA4" s="65">
        <v>0.04</v>
      </c>
      <c r="AB4" s="65">
        <v>0.04</v>
      </c>
      <c r="AC4" s="65">
        <v>0.04</v>
      </c>
      <c r="AD4" s="65">
        <v>0.04</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2.4931787420537814</v>
      </c>
      <c r="C6" s="25"/>
      <c r="D6" s="25"/>
      <c r="E6" s="27">
        <f>'Debt worksheet'!C5/'Profit and Loss'!C5</f>
        <v>1.1258880792129893</v>
      </c>
      <c r="F6" s="28">
        <f ca="1">'Debt worksheet'!D5/'Profit and Loss'!D5</f>
        <v>2.0847526061336805</v>
      </c>
      <c r="G6" s="28">
        <f ca="1">'Debt worksheet'!E5/'Profit and Loss'!E5</f>
        <v>2.4593266237212204</v>
      </c>
      <c r="H6" s="28">
        <f ca="1">'Debt worksheet'!F5/'Profit and Loss'!F5</f>
        <v>2.4448674361248912</v>
      </c>
      <c r="I6" s="28">
        <f ca="1">'Debt worksheet'!G5/'Profit and Loss'!G5</f>
        <v>2.4667376609049736</v>
      </c>
      <c r="J6" s="28">
        <f ca="1">'Debt worksheet'!H5/'Profit and Loss'!H5</f>
        <v>2.4865046946929503</v>
      </c>
      <c r="K6" s="28">
        <f ca="1">'Debt worksheet'!I5/'Profit and Loss'!I5</f>
        <v>2.4931787420537814</v>
      </c>
      <c r="L6" s="28">
        <f ca="1">'Debt worksheet'!J5/'Profit and Loss'!J5</f>
        <v>2.46258743139501</v>
      </c>
      <c r="M6" s="28">
        <f ca="1">'Debt worksheet'!K5/'Profit and Loss'!K5</f>
        <v>2.4656540688916762</v>
      </c>
      <c r="N6" s="28">
        <f ca="1">'Debt worksheet'!L5/'Profit and Loss'!L5</f>
        <v>2.4605480394338906</v>
      </c>
      <c r="O6" s="28">
        <f ca="1">'Debt worksheet'!M5/'Profit and Loss'!M5</f>
        <v>2.4479379772112368</v>
      </c>
      <c r="P6" s="28">
        <f ca="1">'Debt worksheet'!N5/'Profit and Loss'!N5</f>
        <v>2.4275474958773628</v>
      </c>
      <c r="Q6" s="28">
        <f ca="1">'Debt worksheet'!O5/'Profit and Loss'!O5</f>
        <v>2.4222069626858045</v>
      </c>
      <c r="R6" s="28">
        <f ca="1">'Debt worksheet'!P5/'Profit and Loss'!P5</f>
        <v>2.4176769821265522</v>
      </c>
      <c r="S6" s="28">
        <f ca="1">'Debt worksheet'!Q5/'Profit and Loss'!Q5</f>
        <v>2.4135309253787365</v>
      </c>
      <c r="T6" s="28">
        <f ca="1">'Debt worksheet'!R5/'Profit and Loss'!R5</f>
        <v>2.4095778718271279</v>
      </c>
      <c r="U6" s="28">
        <f ca="1">'Debt worksheet'!S5/'Profit and Loss'!S5</f>
        <v>2.4054362516508583</v>
      </c>
      <c r="V6" s="28">
        <f ca="1">'Debt worksheet'!T5/'Profit and Loss'!T5</f>
        <v>2.4007443111947664</v>
      </c>
      <c r="W6" s="28">
        <f ca="1">'Debt worksheet'!U5/'Profit and Loss'!U5</f>
        <v>2.3951593829716624</v>
      </c>
      <c r="X6" s="28">
        <f ca="1">'Debt worksheet'!V5/'Profit and Loss'!V5</f>
        <v>2.3883571792656602</v>
      </c>
      <c r="Y6" s="28">
        <f ca="1">'Debt worksheet'!W5/'Profit and Loss'!W5</f>
        <v>2.380455816137431</v>
      </c>
      <c r="Z6" s="28">
        <f ca="1">'Debt worksheet'!X5/'Profit and Loss'!X5</f>
        <v>2.3711673987833715</v>
      </c>
      <c r="AA6" s="28">
        <f ca="1">'Debt worksheet'!Y5/'Profit and Loss'!Y5</f>
        <v>2.36021944275475</v>
      </c>
      <c r="AB6" s="28">
        <f ca="1">'Debt worksheet'!Z5/'Profit and Loss'!Z5</f>
        <v>2.3473543173851512</v>
      </c>
      <c r="AC6" s="28">
        <f ca="1">'Debt worksheet'!AA5/'Profit and Loss'!AA5</f>
        <v>2.3323287066187022</v>
      </c>
      <c r="AD6" s="28">
        <f ca="1">'Debt worksheet'!AB5/'Profit and Loss'!AB5</f>
        <v>2.3149130867310643</v>
      </c>
      <c r="AE6" s="28">
        <f ca="1">'Debt worksheet'!AC5/'Profit and Loss'!AC5</f>
        <v>2.3353100482068796</v>
      </c>
      <c r="AF6" s="28">
        <f ca="1">'Debt worksheet'!AD5/'Profit and Loss'!AD5</f>
        <v>2.3705386864843034</v>
      </c>
      <c r="AG6" s="28">
        <f ca="1">'Debt worksheet'!AE5/'Profit and Loss'!AE5</f>
        <v>2.4206792416528318</v>
      </c>
      <c r="AH6" s="28">
        <f ca="1">'Debt worksheet'!AF5/'Profit and Loss'!AF5</f>
        <v>2.4858135685806486</v>
      </c>
      <c r="AI6" s="31"/>
    </row>
    <row r="7" spans="1:35" ht="21" x14ac:dyDescent="0.5">
      <c r="A7" s="19" t="s">
        <v>38</v>
      </c>
      <c r="B7" s="26">
        <f ca="1">MIN('Price and Financial ratios'!E7:AH7)</f>
        <v>0.23293075109471797</v>
      </c>
      <c r="C7" s="26"/>
      <c r="D7" s="26"/>
      <c r="E7" s="56">
        <f ca="1">'Cash Flow'!C7/'Debt worksheet'!C5</f>
        <v>0.40608932286157368</v>
      </c>
      <c r="F7" s="32">
        <f ca="1">'Cash Flow'!D7/'Debt worksheet'!D5</f>
        <v>0.24507498492866928</v>
      </c>
      <c r="G7" s="32">
        <f ca="1">'Cash Flow'!E7/'Debt worksheet'!E5</f>
        <v>0.23293075109471797</v>
      </c>
      <c r="H7" s="32">
        <f ca="1">'Cash Flow'!F7/'Debt worksheet'!F5</f>
        <v>0.26069617733143935</v>
      </c>
      <c r="I7" s="32">
        <f ca="1">'Cash Flow'!G7/'Debt worksheet'!G5</f>
        <v>0.26668272703896811</v>
      </c>
      <c r="J7" s="32">
        <f ca="1">'Cash Flow'!H7/'Debt worksheet'!H5</f>
        <v>0.26766461519864965</v>
      </c>
      <c r="K7" s="32">
        <f ca="1">'Cash Flow'!I7/'Debt worksheet'!I5</f>
        <v>0.2684157849865636</v>
      </c>
      <c r="L7" s="32">
        <f ca="1">'Cash Flow'!J7/'Debt worksheet'!J5</f>
        <v>0.274037117015764</v>
      </c>
      <c r="M7" s="17">
        <f ca="1">'Cash Flow'!K7/'Debt worksheet'!K5</f>
        <v>0.27260440006840303</v>
      </c>
      <c r="N7" s="17">
        <f ca="1">'Cash Flow'!L7/'Debt worksheet'!L5</f>
        <v>0.2722319433428918</v>
      </c>
      <c r="O7" s="17">
        <f ca="1">'Cash Flow'!M7/'Debt worksheet'!M5</f>
        <v>0.27300105155335264</v>
      </c>
      <c r="P7" s="17">
        <f ca="1">'Cash Flow'!N7/'Debt worksheet'!N5</f>
        <v>0.27495958977892282</v>
      </c>
      <c r="Q7" s="17">
        <f ca="1">'Cash Flow'!O7/'Debt worksheet'!O5</f>
        <v>0.27406249945150629</v>
      </c>
      <c r="R7" s="17">
        <f ca="1">'Cash Flow'!P7/'Debt worksheet'!P5</f>
        <v>0.273206410832181</v>
      </c>
      <c r="S7" s="17">
        <f ca="1">'Cash Flow'!Q7/'Debt worksheet'!Q5</f>
        <v>0.27239627398538341</v>
      </c>
      <c r="T7" s="17">
        <f ca="1">'Cash Flow'!R7/'Debt worksheet'!R5</f>
        <v>0.27169313991444732</v>
      </c>
      <c r="U7" s="17">
        <f ca="1">'Cash Flow'!S7/'Debt worksheet'!S5</f>
        <v>0.27114068456421753</v>
      </c>
      <c r="V7" s="17">
        <f ca="1">'Cash Flow'!T7/'Debt worksheet'!T5</f>
        <v>0.27078023293897774</v>
      </c>
      <c r="W7" s="17">
        <f ca="1">'Cash Flow'!U7/'Debt worksheet'!U5</f>
        <v>0.2706511676920953</v>
      </c>
      <c r="X7" s="17">
        <f ca="1">'Cash Flow'!V7/'Debt worksheet'!V5</f>
        <v>0.2706972848586312</v>
      </c>
      <c r="Y7" s="17">
        <f ca="1">'Cash Flow'!W7/'Debt worksheet'!W5</f>
        <v>0.2709911305533847</v>
      </c>
      <c r="Z7" s="17">
        <f ca="1">'Cash Flow'!X7/'Debt worksheet'!X5</f>
        <v>0.27156845867746782</v>
      </c>
      <c r="AA7" s="17">
        <f ca="1">'Cash Flow'!Y7/'Debt worksheet'!Y5</f>
        <v>0.27246490284434122</v>
      </c>
      <c r="AB7" s="17">
        <f ca="1">'Cash Flow'!Z7/'Debt worksheet'!Z5</f>
        <v>0.27371660353149357</v>
      </c>
      <c r="AC7" s="17">
        <f ca="1">'Cash Flow'!AA7/'Debt worksheet'!AA5</f>
        <v>0.27536090750973269</v>
      </c>
      <c r="AD7" s="17">
        <f ca="1">'Cash Flow'!AB7/'Debt worksheet'!AB5</f>
        <v>0.27743715031534716</v>
      </c>
      <c r="AE7" s="17">
        <f ca="1">'Cash Flow'!AC7/'Debt worksheet'!AC5</f>
        <v>0.27217216564800223</v>
      </c>
      <c r="AF7" s="17">
        <f ca="1">'Cash Flow'!AD7/'Debt worksheet'!AD5</f>
        <v>0.26513429444547226</v>
      </c>
      <c r="AG7" s="17">
        <f ca="1">'Cash Flow'!AE7/'Debt worksheet'!AE5</f>
        <v>0.25652026172562953</v>
      </c>
      <c r="AH7" s="17">
        <f ca="1">'Cash Flow'!AF7/'Debt worksheet'!AF5</f>
        <v>0.24657082796790181</v>
      </c>
      <c r="AI7" s="29"/>
    </row>
    <row r="8" spans="1:35" ht="21" x14ac:dyDescent="0.5">
      <c r="A8" s="19" t="s">
        <v>33</v>
      </c>
      <c r="B8" s="26">
        <f ca="1">MAX('Price and Financial ratios'!E8:AH8)</f>
        <v>0.28901575034946592</v>
      </c>
      <c r="C8" s="26"/>
      <c r="D8" s="176"/>
      <c r="E8" s="17">
        <f>'Balance Sheet'!B11/'Balance Sheet'!B8</f>
        <v>3.4013899472407891E-2</v>
      </c>
      <c r="F8" s="17">
        <f ca="1">'Balance Sheet'!C11/'Balance Sheet'!C8</f>
        <v>8.3901852610293953E-2</v>
      </c>
      <c r="G8" s="17">
        <f ca="1">'Balance Sheet'!D11/'Balance Sheet'!D8</f>
        <v>0.12547464756946614</v>
      </c>
      <c r="H8" s="17">
        <f ca="1">'Balance Sheet'!E11/'Balance Sheet'!E8</f>
        <v>0.15813657474454454</v>
      </c>
      <c r="I8" s="17">
        <f ca="1">'Balance Sheet'!F11/'Balance Sheet'!F8</f>
        <v>0.17893892924568938</v>
      </c>
      <c r="J8" s="17">
        <f ca="1">'Balance Sheet'!G11/'Balance Sheet'!G8</f>
        <v>0.19351734748715635</v>
      </c>
      <c r="K8" s="17">
        <f ca="1">'Balance Sheet'!H11/'Balance Sheet'!H8</f>
        <v>0.20441428891565275</v>
      </c>
      <c r="L8" s="17">
        <f ca="1">'Balance Sheet'!I11/'Balance Sheet'!I8</f>
        <v>0.21272695503302325</v>
      </c>
      <c r="M8" s="17">
        <f ca="1">'Balance Sheet'!J11/'Balance Sheet'!J8</f>
        <v>0.21819554435012911</v>
      </c>
      <c r="N8" s="17">
        <f ca="1">'Balance Sheet'!K11/'Balance Sheet'!K8</f>
        <v>0.22308574228772421</v>
      </c>
      <c r="O8" s="17">
        <f ca="1">'Balance Sheet'!L11/'Balance Sheet'!L8</f>
        <v>0.22739826610837366</v>
      </c>
      <c r="P8" s="17">
        <f ca="1">'Balance Sheet'!M11/'Balance Sheet'!M8</f>
        <v>0.23105807404485806</v>
      </c>
      <c r="Q8" s="17">
        <f ca="1">'Balance Sheet'!N11/'Balance Sheet'!N8</f>
        <v>0.2339885802449666</v>
      </c>
      <c r="R8" s="17">
        <f ca="1">'Balance Sheet'!O11/'Balance Sheet'!O8</f>
        <v>0.23704477291707621</v>
      </c>
      <c r="S8" s="17">
        <f ca="1">'Balance Sheet'!P11/'Balance Sheet'!P8</f>
        <v>0.24018833184675567</v>
      </c>
      <c r="T8" s="17">
        <f ca="1">'Balance Sheet'!Q11/'Balance Sheet'!Q8</f>
        <v>0.24339958606442996</v>
      </c>
      <c r="U8" s="17">
        <f ca="1">'Balance Sheet'!R11/'Balance Sheet'!R8</f>
        <v>0.24664088234137793</v>
      </c>
      <c r="V8" s="17">
        <f ca="1">'Balance Sheet'!S11/'Balance Sheet'!S8</f>
        <v>0.24987430862825044</v>
      </c>
      <c r="W8" s="17">
        <f ca="1">'Balance Sheet'!T11/'Balance Sheet'!T8</f>
        <v>0.25306167361088749</v>
      </c>
      <c r="X8" s="17">
        <f ca="1">'Balance Sheet'!U11/'Balance Sheet'!U8</f>
        <v>0.25616462822647484</v>
      </c>
      <c r="Y8" s="17">
        <f ca="1">'Balance Sheet'!V11/'Balance Sheet'!V8</f>
        <v>0.25918482594326764</v>
      </c>
      <c r="Z8" s="17">
        <f ca="1">'Balance Sheet'!W11/'Balance Sheet'!W8</f>
        <v>0.2620853938519484</v>
      </c>
      <c r="AA8" s="17">
        <f ca="1">'Balance Sheet'!X11/'Balance Sheet'!X8</f>
        <v>0.26482909514580327</v>
      </c>
      <c r="AB8" s="17">
        <f ca="1">'Balance Sheet'!Y11/'Balance Sheet'!Y8</f>
        <v>0.26737831830697911</v>
      </c>
      <c r="AC8" s="17">
        <f ca="1">'Balance Sheet'!Z11/'Balance Sheet'!Z8</f>
        <v>0.26969506622655232</v>
      </c>
      <c r="AD8" s="17">
        <f ca="1">'Balance Sheet'!AA11/'Balance Sheet'!AA8</f>
        <v>0.27174094525342307</v>
      </c>
      <c r="AE8" s="17">
        <f ca="1">'Balance Sheet'!AB11/'Balance Sheet'!AB8</f>
        <v>0.27347715416715968</v>
      </c>
      <c r="AF8" s="17">
        <f ca="1">'Balance Sheet'!AC11/'Balance Sheet'!AC8</f>
        <v>0.27693703476914722</v>
      </c>
      <c r="AG8" s="17">
        <f ca="1">'Balance Sheet'!AD11/'Balance Sheet'!AD8</f>
        <v>0.28211752465300433</v>
      </c>
      <c r="AH8" s="17">
        <f ca="1">'Balance Sheet'!AE11/'Balance Sheet'!AE8</f>
        <v>0.28901575034946592</v>
      </c>
      <c r="AI8" s="29"/>
    </row>
    <row r="9" spans="1:35" ht="21.5" thickBot="1" x14ac:dyDescent="0.55000000000000004">
      <c r="A9" s="20" t="s">
        <v>32</v>
      </c>
      <c r="B9" s="21">
        <f ca="1">MIN('Price and Financial ratios'!E9:AH9)</f>
        <v>5.5358217532047131</v>
      </c>
      <c r="C9" s="21"/>
      <c r="D9" s="177"/>
      <c r="E9" s="21">
        <f ca="1">('Cash Flow'!C7+'Profit and Loss'!C8)/('Profit and Loss'!C8)</f>
        <v>5.7882955332711816</v>
      </c>
      <c r="F9" s="21">
        <f ca="1">('Cash Flow'!D7+'Profit and Loss'!D8)/('Profit and Loss'!D8)</f>
        <v>5.5358217532047131</v>
      </c>
      <c r="G9" s="21">
        <f ca="1">('Cash Flow'!E7+'Profit and Loss'!E8)/('Profit and Loss'!E8)</f>
        <v>6.1157157241607507</v>
      </c>
      <c r="H9" s="21">
        <f ca="1">('Cash Flow'!F7+'Profit and Loss'!F8)/('Profit and Loss'!F8)</f>
        <v>7.3772171800647506</v>
      </c>
      <c r="I9" s="21">
        <f ca="1">('Cash Flow'!G7+'Profit and Loss'!G8)/('Profit and Loss'!G8)</f>
        <v>7.8264971984536889</v>
      </c>
      <c r="J9" s="21">
        <f ca="1">('Cash Flow'!H7+'Profit and Loss'!H8)/('Profit and Loss'!H8)</f>
        <v>8.0156046603555584</v>
      </c>
      <c r="K9" s="21">
        <f ca="1">('Cash Flow'!I7+'Profit and Loss'!I8)/('Profit and Loss'!I8)</f>
        <v>8.1418066194117369</v>
      </c>
      <c r="L9" s="21">
        <f ca="1">('Cash Flow'!J7+'Profit and Loss'!J8)/('Profit and Loss'!J8)</f>
        <v>8.3984652360561718</v>
      </c>
      <c r="M9" s="21">
        <f ca="1">('Cash Flow'!K7+'Profit and Loss'!K8)/('Profit and Loss'!K8)</f>
        <v>8.3842415033952822</v>
      </c>
      <c r="N9" s="21">
        <f ca="1">('Cash Flow'!L7+'Profit and Loss'!L8)/('Profit and Loss'!L8)</f>
        <v>8.3967894387824042</v>
      </c>
      <c r="O9" s="21">
        <f ca="1">('Cash Flow'!M7+'Profit and Loss'!M8)/('Profit and Loss'!M8)</f>
        <v>8.4416583608019415</v>
      </c>
      <c r="P9" s="21">
        <f ca="1">('Cash Flow'!N7+'Profit and Loss'!N8)/('Profit and Loss'!N8)</f>
        <v>8.5206270531755699</v>
      </c>
      <c r="Q9" s="21">
        <f ca="1">('Cash Flow'!O7+'Profit and Loss'!O8)/('Profit and Loss'!O8)</f>
        <v>8.4936133413500521</v>
      </c>
      <c r="R9" s="21">
        <f ca="1">('Cash Flow'!P7+'Profit and Loss'!P8)/('Profit and Loss'!P8)</f>
        <v>8.469043478021554</v>
      </c>
      <c r="S9" s="21">
        <f ca="1">('Cash Flow'!Q7+'Profit and Loss'!Q8)/('Profit and Loss'!Q8)</f>
        <v>8.4463210713094128</v>
      </c>
      <c r="T9" s="21">
        <f ca="1">('Cash Flow'!R7+'Profit and Loss'!R8)/('Profit and Loss'!R8)</f>
        <v>8.4277021645311851</v>
      </c>
      <c r="U9" s="21">
        <f ca="1">('Cash Flow'!S7+'Profit and Loss'!S8)/('Profit and Loss'!S8)</f>
        <v>8.4143199874071861</v>
      </c>
      <c r="V9" s="21">
        <f ca="1">('Cash Flow'!T7+'Profit and Loss'!T8)/('Profit and Loss'!T8)</f>
        <v>8.4072523670802966</v>
      </c>
      <c r="W9" s="21">
        <f ca="1">('Cash Flow'!U7+'Profit and Loss'!U8)/('Profit and Loss'!U8)</f>
        <v>8.4075354939611593</v>
      </c>
      <c r="X9" s="21">
        <f ca="1">('Cash Flow'!V7+'Profit and Loss'!V8)/('Profit and Loss'!V8)</f>
        <v>8.4122787759644968</v>
      </c>
      <c r="Y9" s="21">
        <f ca="1">('Cash Flow'!W7+'Profit and Loss'!W8)/('Profit and Loss'!W8)</f>
        <v>8.4247473544824292</v>
      </c>
      <c r="Z9" s="21">
        <f ca="1">('Cash Flow'!X7+'Profit and Loss'!X8)/('Profit and Loss'!X8)</f>
        <v>8.4459112048672029</v>
      </c>
      <c r="AA9" s="21">
        <f ca="1">('Cash Flow'!Y7+'Profit and Loss'!Y8)/('Profit and Loss'!Y8)</f>
        <v>8.476752356555652</v>
      </c>
      <c r="AB9" s="21">
        <f ca="1">('Cash Flow'!Z7+'Profit and Loss'!Z8)/('Profit and Loss'!Z8)</f>
        <v>8.5182839977219071</v>
      </c>
      <c r="AC9" s="21">
        <f ca="1">('Cash Flow'!AA7+'Profit and Loss'!AA8)/('Profit and Loss'!AA8)</f>
        <v>8.571571810805775</v>
      </c>
      <c r="AD9" s="21">
        <f ca="1">('Cash Flow'!AB7+'Profit and Loss'!AB8)/('Profit and Loss'!AB8)</f>
        <v>8.6377580112196171</v>
      </c>
      <c r="AE9" s="21">
        <f ca="1">('Cash Flow'!AC7+'Profit and Loss'!AC8)/('Profit and Loss'!AC8)</f>
        <v>8.4465026255213882</v>
      </c>
      <c r="AF9" s="21">
        <f ca="1">('Cash Flow'!AD7+'Profit and Loss'!AD8)/('Profit and Loss'!AD8)</f>
        <v>8.2108563660760456</v>
      </c>
      <c r="AG9" s="21">
        <f ca="1">('Cash Flow'!AE7+'Profit and Loss'!AE8)/('Profit and Loss'!AE8)</f>
        <v>7.9374761542099073</v>
      </c>
      <c r="AH9" s="21">
        <f ca="1">('Cash Flow'!AF7+'Profit and Loss'!AF8)/('Profit and Loss'!AF8)</f>
        <v>7.6337710340835168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82064831.307357162</v>
      </c>
      <c r="D5" s="1">
        <f>Assumptions!E111</f>
        <v>82064831.307357162</v>
      </c>
      <c r="E5" s="1">
        <f>Assumptions!F111</f>
        <v>82064831.307357162</v>
      </c>
      <c r="F5" s="1">
        <f>Assumptions!G111</f>
        <v>82064831.307357162</v>
      </c>
      <c r="G5" s="1">
        <f>Assumptions!H111</f>
        <v>82064831.307357162</v>
      </c>
      <c r="H5" s="1">
        <f>Assumptions!I111</f>
        <v>82064831.307357162</v>
      </c>
      <c r="I5" s="1">
        <f>Assumptions!J111</f>
        <v>82064831.307357162</v>
      </c>
      <c r="J5" s="1">
        <f>Assumptions!K111</f>
        <v>82064831.307357162</v>
      </c>
      <c r="K5" s="1">
        <f>Assumptions!L111</f>
        <v>82064831.307357162</v>
      </c>
      <c r="L5" s="1">
        <f>Assumptions!M111</f>
        <v>82064831.307357162</v>
      </c>
      <c r="M5" s="1">
        <f>Assumptions!N111</f>
        <v>82064831.307357162</v>
      </c>
      <c r="N5" s="1">
        <f>Assumptions!O111</f>
        <v>82064831.307357162</v>
      </c>
      <c r="O5" s="1">
        <f>Assumptions!P111</f>
        <v>82064831.307357162</v>
      </c>
      <c r="P5" s="1">
        <f>Assumptions!Q111</f>
        <v>82064831.307357162</v>
      </c>
      <c r="Q5" s="1">
        <f>Assumptions!R111</f>
        <v>82064831.307357162</v>
      </c>
      <c r="R5" s="1">
        <f>Assumptions!S111</f>
        <v>82064831.307357162</v>
      </c>
      <c r="S5" s="1">
        <f>Assumptions!T111</f>
        <v>82064831.307357162</v>
      </c>
      <c r="T5" s="1">
        <f>Assumptions!U111</f>
        <v>82064831.307357162</v>
      </c>
      <c r="U5" s="1">
        <f>Assumptions!V111</f>
        <v>82064831.307357162</v>
      </c>
      <c r="V5" s="1">
        <f>Assumptions!W111</f>
        <v>82064831.307357162</v>
      </c>
      <c r="W5" s="1">
        <f>Assumptions!X111</f>
        <v>82064831.307357162</v>
      </c>
      <c r="X5" s="1">
        <f>Assumptions!Y111</f>
        <v>82064831.307357162</v>
      </c>
      <c r="Y5" s="1">
        <f>Assumptions!Z111</f>
        <v>82064831.307357162</v>
      </c>
      <c r="Z5" s="1">
        <f>Assumptions!AA111</f>
        <v>82064831.307357162</v>
      </c>
      <c r="AA5" s="1">
        <f>Assumptions!AB111</f>
        <v>82064831.307357162</v>
      </c>
      <c r="AB5" s="1">
        <f>Assumptions!AC111</f>
        <v>82064831.307357162</v>
      </c>
      <c r="AC5" s="1">
        <f>Assumptions!AD111</f>
        <v>82064831.307357162</v>
      </c>
      <c r="AD5" s="1">
        <f>Assumptions!AE111</f>
        <v>82064831.307357162</v>
      </c>
      <c r="AE5" s="1">
        <f>Assumptions!AF111</f>
        <v>82064831.307357162</v>
      </c>
      <c r="AF5" s="1">
        <f>Assumptions!AG111</f>
        <v>82064831.307357162</v>
      </c>
    </row>
    <row r="6" spans="1:32" x14ac:dyDescent="0.35">
      <c r="A6" t="s">
        <v>68</v>
      </c>
      <c r="C6" s="1">
        <f>Assumptions!D113</f>
        <v>92114246.673355415</v>
      </c>
      <c r="D6" s="1">
        <f>Assumptions!E113</f>
        <v>92114246.673355415</v>
      </c>
      <c r="E6" s="1">
        <f>Assumptions!F113</f>
        <v>92114246.673355415</v>
      </c>
      <c r="F6" s="1">
        <f>Assumptions!G113</f>
        <v>92114246.673355415</v>
      </c>
      <c r="G6" s="1">
        <f>Assumptions!H113</f>
        <v>92114246.673355415</v>
      </c>
      <c r="H6" s="1">
        <f>Assumptions!I113</f>
        <v>92114246.673355415</v>
      </c>
      <c r="I6" s="1">
        <f>Assumptions!J113</f>
        <v>92114246.673355415</v>
      </c>
      <c r="J6" s="1">
        <f>Assumptions!K113</f>
        <v>92114246.673355415</v>
      </c>
      <c r="K6" s="1">
        <f>Assumptions!L113</f>
        <v>92114246.673355415</v>
      </c>
      <c r="L6" s="1">
        <f>Assumptions!M113</f>
        <v>92114246.673355415</v>
      </c>
      <c r="M6" s="1">
        <f>Assumptions!N113</f>
        <v>92114246.673355415</v>
      </c>
      <c r="N6" s="1">
        <f>Assumptions!O113</f>
        <v>92114246.673355415</v>
      </c>
      <c r="O6" s="1">
        <f>Assumptions!P113</f>
        <v>92114246.673355415</v>
      </c>
      <c r="P6" s="1">
        <f>Assumptions!Q113</f>
        <v>92114246.673355415</v>
      </c>
      <c r="Q6" s="1">
        <f>Assumptions!R113</f>
        <v>92114246.673355415</v>
      </c>
      <c r="R6" s="1">
        <f>Assumptions!S113</f>
        <v>92114246.673355415</v>
      </c>
      <c r="S6" s="1">
        <f>Assumptions!T113</f>
        <v>92114246.673355415</v>
      </c>
      <c r="T6" s="1">
        <f>Assumptions!U113</f>
        <v>92114246.673355415</v>
      </c>
      <c r="U6" s="1">
        <f>Assumptions!V113</f>
        <v>92114246.673355415</v>
      </c>
      <c r="V6" s="1">
        <f>Assumptions!W113</f>
        <v>92114246.673355415</v>
      </c>
      <c r="W6" s="1">
        <f>Assumptions!X113</f>
        <v>92114246.673355415</v>
      </c>
      <c r="X6" s="1">
        <f>Assumptions!Y113</f>
        <v>92114246.673355415</v>
      </c>
      <c r="Y6" s="1">
        <f>Assumptions!Z113</f>
        <v>92114246.673355415</v>
      </c>
      <c r="Z6" s="1">
        <f>Assumptions!AA113</f>
        <v>92114246.673355415</v>
      </c>
      <c r="AA6" s="1">
        <f>Assumptions!AB113</f>
        <v>92114246.673355415</v>
      </c>
      <c r="AB6" s="1">
        <f>Assumptions!AC113</f>
        <v>92114246.673355415</v>
      </c>
      <c r="AC6" s="1">
        <f>Assumptions!AD113</f>
        <v>92114246.673355415</v>
      </c>
      <c r="AD6" s="1">
        <f>Assumptions!AE113</f>
        <v>92114246.673355415</v>
      </c>
      <c r="AE6" s="1">
        <f>Assumptions!AF113</f>
        <v>92114246.673355415</v>
      </c>
      <c r="AF6" s="1">
        <f>Assumptions!AG113</f>
        <v>92114246.673355415</v>
      </c>
    </row>
    <row r="7" spans="1:32" x14ac:dyDescent="0.35">
      <c r="A7" t="s">
        <v>73</v>
      </c>
      <c r="C7" s="1">
        <f>Assumptions!D120</f>
        <v>2210741.9201605301</v>
      </c>
      <c r="D7" s="1">
        <f>Assumptions!E120</f>
        <v>4421483.8403210603</v>
      </c>
      <c r="E7" s="1">
        <f>Assumptions!F120</f>
        <v>6632225.7604815904</v>
      </c>
      <c r="F7" s="1">
        <f>Assumptions!G120</f>
        <v>8842967.6806421205</v>
      </c>
      <c r="G7" s="1">
        <f>Assumptions!H120</f>
        <v>11048110.2388114</v>
      </c>
      <c r="H7" s="1">
        <f>Assumptions!I120</f>
        <v>13247667.617040453</v>
      </c>
      <c r="I7" s="1">
        <f>Assumptions!J120</f>
        <v>15441653.961460032</v>
      </c>
      <c r="J7" s="1">
        <f>Assumptions!K120</f>
        <v>17630083.382371612</v>
      </c>
      <c r="K7" s="1">
        <f>Assumptions!L120</f>
        <v>19812969.954338118</v>
      </c>
      <c r="L7" s="1">
        <f>Assumptions!M120</f>
        <v>21993623.534626316</v>
      </c>
      <c r="M7" s="1">
        <f>Assumptions!N120</f>
        <v>24172046.407483082</v>
      </c>
      <c r="N7" s="1">
        <f>Assumptions!O120</f>
        <v>26348240.854818616</v>
      </c>
      <c r="O7" s="1">
        <f>Assumptions!P120</f>
        <v>28522209.156208828</v>
      </c>
      <c r="P7" s="1">
        <f>Assumptions!Q120</f>
        <v>30693953.588897727</v>
      </c>
      <c r="Q7" s="1">
        <f>Assumptions!R120</f>
        <v>32864210.366310012</v>
      </c>
      <c r="R7" s="1">
        <f>Assumptions!S120</f>
        <v>35032980.507496633</v>
      </c>
      <c r="S7" s="1">
        <f>Assumptions!T120</f>
        <v>37200265.030810483</v>
      </c>
      <c r="T7" s="1">
        <f>Assumptions!U120</f>
        <v>39366064.953906879</v>
      </c>
      <c r="U7" s="1">
        <f>Assumptions!V120</f>
        <v>41530381.293744043</v>
      </c>
      <c r="V7" s="1">
        <f>Assumptions!W120</f>
        <v>43694697.633581206</v>
      </c>
      <c r="W7" s="1">
        <f>Assumptions!X120</f>
        <v>45859013.97341837</v>
      </c>
      <c r="X7" s="1">
        <f>Assumptions!Y120</f>
        <v>48023330.313255526</v>
      </c>
      <c r="Y7" s="1">
        <f>Assumptions!Z120</f>
        <v>50187646.65309269</v>
      </c>
      <c r="Z7" s="1">
        <f>Assumptions!AA120</f>
        <v>52351962.992929853</v>
      </c>
      <c r="AA7" s="1">
        <f>Assumptions!AB120</f>
        <v>54516279.33276701</v>
      </c>
      <c r="AB7" s="1">
        <f>Assumptions!AC120</f>
        <v>56680595.672604166</v>
      </c>
      <c r="AC7" s="1">
        <f>Assumptions!AD120</f>
        <v>58844912.012441337</v>
      </c>
      <c r="AD7" s="1">
        <f>Assumptions!AE120</f>
        <v>61009228.352278493</v>
      </c>
      <c r="AE7" s="1">
        <f>Assumptions!AF120</f>
        <v>63173544.692115657</v>
      </c>
      <c r="AF7" s="1">
        <f>Assumptions!AG120</f>
        <v>65337861.031952813</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84690905.909192592</v>
      </c>
      <c r="D11" s="1">
        <f>D5*D$9</f>
        <v>87401014.898286745</v>
      </c>
      <c r="E11" s="1">
        <f t="shared" ref="D11:AF13" si="1">E5*E$9</f>
        <v>90197847.375031918</v>
      </c>
      <c r="F11" s="1">
        <f t="shared" si="1"/>
        <v>93084178.491032943</v>
      </c>
      <c r="G11" s="1">
        <f t="shared" si="1"/>
        <v>96062872.202746004</v>
      </c>
      <c r="H11" s="1">
        <f t="shared" si="1"/>
        <v>99136884.113233864</v>
      </c>
      <c r="I11" s="1">
        <f t="shared" si="1"/>
        <v>102309264.40485734</v>
      </c>
      <c r="J11" s="1">
        <f t="shared" si="1"/>
        <v>105583160.86581279</v>
      </c>
      <c r="K11" s="1">
        <f t="shared" si="1"/>
        <v>108961822.01351881</v>
      </c>
      <c r="L11" s="1">
        <f t="shared" si="1"/>
        <v>112448600.3179514</v>
      </c>
      <c r="M11" s="1">
        <f t="shared" si="1"/>
        <v>116046955.52812584</v>
      </c>
      <c r="N11" s="1">
        <f t="shared" si="1"/>
        <v>119760458.10502587</v>
      </c>
      <c r="O11" s="1">
        <f t="shared" si="1"/>
        <v>123592792.76438671</v>
      </c>
      <c r="P11" s="1">
        <f t="shared" si="1"/>
        <v>127547762.13284706</v>
      </c>
      <c r="Q11" s="1">
        <f t="shared" si="1"/>
        <v>131629290.52109814</v>
      </c>
      <c r="R11" s="1">
        <f t="shared" si="1"/>
        <v>135841427.81777331</v>
      </c>
      <c r="S11" s="1">
        <f t="shared" si="1"/>
        <v>140188353.50794208</v>
      </c>
      <c r="T11" s="1">
        <f t="shared" si="1"/>
        <v>144674380.82019621</v>
      </c>
      <c r="U11" s="1">
        <f t="shared" si="1"/>
        <v>149303961.00644246</v>
      </c>
      <c r="V11" s="1">
        <f t="shared" si="1"/>
        <v>154081687.75864863</v>
      </c>
      <c r="W11" s="1">
        <f t="shared" si="1"/>
        <v>159012301.76692542</v>
      </c>
      <c r="X11" s="1">
        <f t="shared" si="1"/>
        <v>164100695.42346701</v>
      </c>
      <c r="Y11" s="1">
        <f t="shared" si="1"/>
        <v>169351917.67701793</v>
      </c>
      <c r="Z11" s="1">
        <f t="shared" si="1"/>
        <v>174771179.0426825</v>
      </c>
      <c r="AA11" s="1">
        <f t="shared" si="1"/>
        <v>180363856.77204838</v>
      </c>
      <c r="AB11" s="1">
        <f t="shared" si="1"/>
        <v>186135500.1887539</v>
      </c>
      <c r="AC11" s="1">
        <f t="shared" si="1"/>
        <v>192091836.19479403</v>
      </c>
      <c r="AD11" s="1">
        <f t="shared" si="1"/>
        <v>198238774.95302746</v>
      </c>
      <c r="AE11" s="1">
        <f t="shared" si="1"/>
        <v>204582415.75152433</v>
      </c>
      <c r="AF11" s="1">
        <f t="shared" si="1"/>
        <v>211129053.05557308</v>
      </c>
    </row>
    <row r="12" spans="1:32" x14ac:dyDescent="0.35">
      <c r="A12" t="s">
        <v>71</v>
      </c>
      <c r="C12" s="1">
        <f t="shared" ref="C12:R12" si="2">C6*C$9</f>
        <v>95061902.566902786</v>
      </c>
      <c r="D12" s="1">
        <f t="shared" si="2"/>
        <v>98103883.449043676</v>
      </c>
      <c r="E12" s="1">
        <f t="shared" si="2"/>
        <v>101243207.71941307</v>
      </c>
      <c r="F12" s="1">
        <f t="shared" si="2"/>
        <v>104482990.36643429</v>
      </c>
      <c r="G12" s="1">
        <f t="shared" si="2"/>
        <v>107826446.0581602</v>
      </c>
      <c r="H12" s="1">
        <f t="shared" si="2"/>
        <v>111276892.33202131</v>
      </c>
      <c r="I12" s="1">
        <f t="shared" si="2"/>
        <v>114837752.88664597</v>
      </c>
      <c r="J12" s="1">
        <f t="shared" si="2"/>
        <v>118512560.97901866</v>
      </c>
      <c r="K12" s="1">
        <f t="shared" si="2"/>
        <v>122304962.93034726</v>
      </c>
      <c r="L12" s="1">
        <f t="shared" si="2"/>
        <v>126218721.74411836</v>
      </c>
      <c r="M12" s="1">
        <f t="shared" si="2"/>
        <v>130257720.83993015</v>
      </c>
      <c r="N12" s="1">
        <f t="shared" si="2"/>
        <v>134425967.90680793</v>
      </c>
      <c r="O12" s="1">
        <f t="shared" si="2"/>
        <v>138727598.8798258</v>
      </c>
      <c r="P12" s="1">
        <f t="shared" si="2"/>
        <v>143166882.04398018</v>
      </c>
      <c r="Q12" s="1">
        <f t="shared" si="2"/>
        <v>147748222.26938751</v>
      </c>
      <c r="R12" s="1">
        <f t="shared" si="2"/>
        <v>152476165.38200796</v>
      </c>
      <c r="S12" s="1">
        <f t="shared" si="1"/>
        <v>157355402.67423224</v>
      </c>
      <c r="T12" s="1">
        <f t="shared" si="1"/>
        <v>162390775.55980763</v>
      </c>
      <c r="U12" s="1">
        <f t="shared" si="1"/>
        <v>167587280.37772146</v>
      </c>
      <c r="V12" s="1">
        <f t="shared" si="1"/>
        <v>172950073.34980857</v>
      </c>
      <c r="W12" s="1">
        <f t="shared" si="1"/>
        <v>178484475.69700247</v>
      </c>
      <c r="X12" s="1">
        <f t="shared" si="1"/>
        <v>184195978.91930652</v>
      </c>
      <c r="Y12" s="1">
        <f t="shared" si="1"/>
        <v>190090250.2447243</v>
      </c>
      <c r="Z12" s="1">
        <f t="shared" si="1"/>
        <v>196173138.25255549</v>
      </c>
      <c r="AA12" s="1">
        <f t="shared" si="1"/>
        <v>202450678.67663732</v>
      </c>
      <c r="AB12" s="1">
        <f t="shared" si="1"/>
        <v>208929100.39428967</v>
      </c>
      <c r="AC12" s="1">
        <f t="shared" si="1"/>
        <v>215614831.60690692</v>
      </c>
      <c r="AD12" s="1">
        <f t="shared" si="1"/>
        <v>222514506.21832797</v>
      </c>
      <c r="AE12" s="1">
        <f t="shared" si="1"/>
        <v>229634970.41731447</v>
      </c>
      <c r="AF12" s="1">
        <f t="shared" si="1"/>
        <v>236983289.47066849</v>
      </c>
    </row>
    <row r="13" spans="1:32" x14ac:dyDescent="0.35">
      <c r="A13" t="s">
        <v>74</v>
      </c>
      <c r="C13" s="1">
        <f>C7*C$9</f>
        <v>2281485.6616056673</v>
      </c>
      <c r="D13" s="1">
        <f t="shared" si="1"/>
        <v>4708986.4055540971</v>
      </c>
      <c r="E13" s="1">
        <f t="shared" si="1"/>
        <v>7289510.9557977412</v>
      </c>
      <c r="F13" s="1">
        <f t="shared" si="1"/>
        <v>10030367.075177692</v>
      </c>
      <c r="G13" s="1">
        <f t="shared" si="1"/>
        <v>12932619.06525898</v>
      </c>
      <c r="H13" s="1">
        <f t="shared" si="1"/>
        <v>16003597.014686599</v>
      </c>
      <c r="I13" s="1">
        <f t="shared" si="1"/>
        <v>19250929.208328184</v>
      </c>
      <c r="J13" s="1">
        <f t="shared" si="1"/>
        <v>22682553.539493542</v>
      </c>
      <c r="K13" s="1">
        <f t="shared" si="1"/>
        <v>26306729.342295535</v>
      </c>
      <c r="L13" s="1">
        <f t="shared" si="1"/>
        <v>30136565.724798664</v>
      </c>
      <c r="M13" s="1">
        <f t="shared" si="1"/>
        <v>34181419.126630254</v>
      </c>
      <c r="N13" s="1">
        <f t="shared" si="1"/>
        <v>38451031.273267791</v>
      </c>
      <c r="O13" s="1">
        <f t="shared" si="1"/>
        <v>42955544.162676901</v>
      </c>
      <c r="P13" s="1">
        <f t="shared" si="1"/>
        <v>47705515.613755941</v>
      </c>
      <c r="Q13" s="1">
        <f t="shared" si="1"/>
        <v>52713112.61034283</v>
      </c>
      <c r="R13" s="1">
        <f t="shared" si="1"/>
        <v>57989884.546608731</v>
      </c>
      <c r="S13" s="1">
        <f t="shared" si="1"/>
        <v>63547853.832739964</v>
      </c>
      <c r="T13" s="1">
        <f t="shared" si="1"/>
        <v>69399534.268262357</v>
      </c>
      <c r="U13" s="1">
        <f t="shared" si="1"/>
        <v>75557950.104601696</v>
      </c>
      <c r="V13" s="1">
        <f t="shared" si="1"/>
        <v>82039439.43137607</v>
      </c>
      <c r="W13" s="1">
        <f t="shared" si="1"/>
        <v>88858372.734156907</v>
      </c>
      <c r="X13" s="1">
        <f t="shared" si="1"/>
        <v>96029709.382337928</v>
      </c>
      <c r="Y13" s="1">
        <f t="shared" si="1"/>
        <v>103569020.60232279</v>
      </c>
      <c r="Z13" s="1">
        <f t="shared" si="1"/>
        <v>111492513.31797917</v>
      </c>
      <c r="AA13" s="1">
        <f t="shared" si="1"/>
        <v>119817054.89034079</v>
      </c>
      <c r="AB13" s="1">
        <f t="shared" si="1"/>
        <v>128560198.7896959</v>
      </c>
      <c r="AC13" s="1">
        <f t="shared" si="1"/>
        <v>137740211.23440206</v>
      </c>
      <c r="AD13" s="1">
        <f t="shared" si="1"/>
        <v>147376098.83200878</v>
      </c>
      <c r="AE13" s="1">
        <f t="shared" si="1"/>
        <v>157487637.25955829</v>
      </c>
      <c r="AF13" s="1">
        <f t="shared" si="1"/>
        <v>168095401.02126697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0.99746720232688046</v>
      </c>
      <c r="H15" s="38">
        <f>Assumptions!I44</f>
        <v>0.9949408197178139</v>
      </c>
      <c r="I15" s="38">
        <f>Assumptions!J44</f>
        <v>0.99242083592474095</v>
      </c>
      <c r="J15" s="38">
        <f>Assumptions!K44</f>
        <v>0.98990723474075537</v>
      </c>
      <c r="K15" s="38">
        <f>Assumptions!L44</f>
        <v>0.98739999999999983</v>
      </c>
      <c r="L15" s="38">
        <f>Assumptions!M44</f>
        <v>0.98638993561485133</v>
      </c>
      <c r="M15" s="38">
        <f>Assumptions!N44</f>
        <v>0.98538090447870241</v>
      </c>
      <c r="N15" s="38">
        <f>Assumptions!O44</f>
        <v>0.98437290553458723</v>
      </c>
      <c r="O15" s="38">
        <f>Assumptions!P44</f>
        <v>0.98336593772662129</v>
      </c>
      <c r="P15" s="38">
        <f>Assumptions!Q44</f>
        <v>0.98236000000000001</v>
      </c>
      <c r="Q15" s="38">
        <f>Assumptions!R44</f>
        <v>0.98168707872273786</v>
      </c>
      <c r="R15" s="38">
        <f>Assumptions!S44</f>
        <v>0.98101461839975457</v>
      </c>
      <c r="S15" s="38">
        <f>Assumptions!T44</f>
        <v>0.98034261871529427</v>
      </c>
      <c r="T15" s="38">
        <f>Assumptions!U44</f>
        <v>0.97967107935381736</v>
      </c>
      <c r="U15" s="38">
        <f>Assumptions!V44</f>
        <v>0.97900000000000043</v>
      </c>
      <c r="V15" s="38">
        <f>Assumptions!W44</f>
        <v>0.97900000000000043</v>
      </c>
      <c r="W15" s="38">
        <f>Assumptions!X44</f>
        <v>0.97900000000000043</v>
      </c>
      <c r="X15" s="38">
        <f>Assumptions!Y44</f>
        <v>0.97900000000000043</v>
      </c>
      <c r="Y15" s="38">
        <f>Assumptions!Z44</f>
        <v>0.97900000000000043</v>
      </c>
      <c r="Z15" s="38">
        <f>Assumptions!AA44</f>
        <v>0.97900000000000043</v>
      </c>
      <c r="AA15" s="38">
        <f>Assumptions!AB44</f>
        <v>0.97900000000000043</v>
      </c>
      <c r="AB15" s="38">
        <f>Assumptions!AC44</f>
        <v>0.97900000000000043</v>
      </c>
      <c r="AC15" s="38">
        <f>Assumptions!AD44</f>
        <v>0.97900000000000043</v>
      </c>
      <c r="AD15" s="38">
        <f>Assumptions!AE44</f>
        <v>0.97900000000000043</v>
      </c>
      <c r="AE15" s="38">
        <f>Assumptions!AF44</f>
        <v>0.97900000000000043</v>
      </c>
      <c r="AF15" s="38">
        <f>Assumptions!AG44</f>
        <v>0.97900000000000043</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-273102.57167685032</v>
      </c>
      <c r="H20" s="1">
        <f t="shared" si="4"/>
        <v>-562969.85954910517</v>
      </c>
      <c r="I20" s="1">
        <f t="shared" si="4"/>
        <v>-870374.17116194963</v>
      </c>
      <c r="J20" s="1">
        <f t="shared" si="4"/>
        <v>-1196119.4582331479</v>
      </c>
      <c r="K20" s="1">
        <f t="shared" si="4"/>
        <v>-1541042.532922402</v>
      </c>
      <c r="L20" s="1">
        <f t="shared" si="4"/>
        <v>-1717844.9295486212</v>
      </c>
      <c r="M20" s="1">
        <f t="shared" si="4"/>
        <v>-1904250.0633454472</v>
      </c>
      <c r="N20" s="1">
        <f t="shared" si="4"/>
        <v>-2100687.2990842313</v>
      </c>
      <c r="O20" s="1">
        <f t="shared" si="4"/>
        <v>-2307603.5188033283</v>
      </c>
      <c r="P20" s="1">
        <f t="shared" si="4"/>
        <v>-2525463.7992558181</v>
      </c>
      <c r="Q20" s="1">
        <f t="shared" si="4"/>
        <v>-2705701.5632747114</v>
      </c>
      <c r="R20" s="1">
        <f t="shared" si="4"/>
        <v>-2894818.1847195625</v>
      </c>
      <c r="S20" s="1">
        <f t="shared" si="4"/>
        <v>-3093195.1475757957</v>
      </c>
      <c r="T20" s="1">
        <f t="shared" si="4"/>
        <v>-3301229.190027386</v>
      </c>
      <c r="U20" s="1">
        <f t="shared" si="4"/>
        <v>-3519332.887932092</v>
      </c>
      <c r="V20" s="1">
        <f t="shared" si="4"/>
        <v>-3631951.5403459072</v>
      </c>
      <c r="W20" s="1">
        <f t="shared" si="4"/>
        <v>-3748173.9896369874</v>
      </c>
      <c r="X20" s="1">
        <f t="shared" si="4"/>
        <v>-3868115.5573053658</v>
      </c>
      <c r="Y20" s="1">
        <f t="shared" si="4"/>
        <v>-3991895.2551391423</v>
      </c>
      <c r="Z20" s="1">
        <f t="shared" si="4"/>
        <v>-4119635.9033035934</v>
      </c>
      <c r="AA20" s="1">
        <f t="shared" si="4"/>
        <v>-4251464.2522093058</v>
      </c>
      <c r="AB20" s="1">
        <f t="shared" si="4"/>
        <v>-4387511.1082800031</v>
      </c>
      <c r="AC20" s="1">
        <f t="shared" si="4"/>
        <v>-4527911.4637449682</v>
      </c>
      <c r="AD20" s="1">
        <f t="shared" si="4"/>
        <v>-4672804.6305848062</v>
      </c>
      <c r="AE20" s="1">
        <f t="shared" si="4"/>
        <v>-4822334.3787634969</v>
      </c>
      <c r="AF20" s="1">
        <f t="shared" si="4"/>
        <v>-4976649.0788839459</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182034294.13770103</v>
      </c>
      <c r="D25" s="40">
        <f>SUM(D11:D13,D18:D23)</f>
        <v>190213884.75288451</v>
      </c>
      <c r="E25" s="40">
        <f t="shared" ref="E25:AF25" si="7">SUM(E11:E13,E18:E23)</f>
        <v>198730566.05024272</v>
      </c>
      <c r="F25" s="40">
        <f t="shared" si="7"/>
        <v>207597535.93264493</v>
      </c>
      <c r="G25" s="40">
        <f t="shared" si="7"/>
        <v>216548834.75448835</v>
      </c>
      <c r="H25" s="40">
        <f t="shared" si="7"/>
        <v>225854403.60039264</v>
      </c>
      <c r="I25" s="40">
        <f t="shared" si="7"/>
        <v>235527572.32866955</v>
      </c>
      <c r="J25" s="40">
        <f t="shared" si="7"/>
        <v>245582155.92609185</v>
      </c>
      <c r="K25" s="40">
        <f t="shared" si="7"/>
        <v>256032471.75323921</v>
      </c>
      <c r="L25" s="40">
        <f t="shared" si="7"/>
        <v>267086042.85731983</v>
      </c>
      <c r="M25" s="40">
        <f t="shared" si="7"/>
        <v>278581845.43134081</v>
      </c>
      <c r="N25" s="40">
        <f t="shared" si="7"/>
        <v>290536769.98601735</v>
      </c>
      <c r="O25" s="40">
        <f t="shared" si="7"/>
        <v>302968332.28808606</v>
      </c>
      <c r="P25" s="40">
        <f t="shared" si="7"/>
        <v>315894695.9913274</v>
      </c>
      <c r="Q25" s="40">
        <f t="shared" si="7"/>
        <v>329384923.83755374</v>
      </c>
      <c r="R25" s="40">
        <f t="shared" si="7"/>
        <v>343412659.56167048</v>
      </c>
      <c r="S25" s="40">
        <f t="shared" si="7"/>
        <v>357998414.86733848</v>
      </c>
      <c r="T25" s="40">
        <f t="shared" si="7"/>
        <v>373163461.45823884</v>
      </c>
      <c r="U25" s="40">
        <f t="shared" si="7"/>
        <v>388929858.60083354</v>
      </c>
      <c r="V25" s="40">
        <f t="shared" si="7"/>
        <v>405439248.9994874</v>
      </c>
      <c r="W25" s="40">
        <f t="shared" si="7"/>
        <v>422606976.20844781</v>
      </c>
      <c r="X25" s="40">
        <f t="shared" si="7"/>
        <v>440458268.16780615</v>
      </c>
      <c r="Y25" s="40">
        <f t="shared" si="7"/>
        <v>459019293.26892591</v>
      </c>
      <c r="Z25" s="40">
        <f t="shared" si="7"/>
        <v>478317194.70991361</v>
      </c>
      <c r="AA25" s="40">
        <f t="shared" si="7"/>
        <v>498380126.0868172</v>
      </c>
      <c r="AB25" s="40">
        <f t="shared" si="7"/>
        <v>519237288.26445949</v>
      </c>
      <c r="AC25" s="40">
        <f t="shared" si="7"/>
        <v>540918967.57235801</v>
      </c>
      <c r="AD25" s="40">
        <f t="shared" si="7"/>
        <v>563456575.37277937</v>
      </c>
      <c r="AE25" s="40">
        <f t="shared" si="7"/>
        <v>586882689.0496335</v>
      </c>
      <c r="AF25" s="40">
        <f t="shared" si="7"/>
        <v>611231094.46862459</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88388892.144202292</v>
      </c>
      <c r="D5" s="59">
        <f>C5*('Price and Financial ratios'!F4+1)*(1+Assumptions!$C$13)</f>
        <v>115667397.83624293</v>
      </c>
      <c r="E5" s="59">
        <f>D5*('Price and Financial ratios'!G4+1)*(1+Assumptions!$C$13)</f>
        <v>151364573.05495557</v>
      </c>
      <c r="F5" s="59">
        <f>E5*('Price and Financial ratios'!H4+1)*(1+Assumptions!$C$13)</f>
        <v>198078580.52228123</v>
      </c>
      <c r="G5" s="59">
        <f>F5*('Price and Financial ratios'!I4+1)*(1+Assumptions!$C$13)</f>
        <v>229300645.86309144</v>
      </c>
      <c r="H5" s="59">
        <f>G5*('Price and Financial ratios'!J4+1)*(1+Assumptions!$C$13)</f>
        <v>253903031.2026051</v>
      </c>
      <c r="I5" s="59">
        <f>H5*('Price and Financial ratios'!K4+1)*(1+Assumptions!$C$13)</f>
        <v>276033354.82079554</v>
      </c>
      <c r="J5" s="59">
        <f>I5*('Price and Financial ratios'!L4+1)*(1+Assumptions!$C$13)</f>
        <v>300092569.24870241</v>
      </c>
      <c r="K5" s="59">
        <f>J5*('Price and Financial ratios'!M4+1)*(1+Assumptions!$C$13)</f>
        <v>317186331.03701228</v>
      </c>
      <c r="L5" s="59">
        <f>K5*('Price and Financial ratios'!N4+1)*(1+Assumptions!$C$13)</f>
        <v>335253781.353522</v>
      </c>
      <c r="M5" s="59">
        <f>L5*('Price and Financial ratios'!O4+1)*(1+Assumptions!$C$13)</f>
        <v>354350383.08356309</v>
      </c>
      <c r="N5" s="59">
        <f>M5*('Price and Financial ratios'!P4+1)*(1+Assumptions!$C$13)</f>
        <v>374534758.3688001</v>
      </c>
      <c r="O5" s="59">
        <f>N5*('Price and Financial ratios'!Q4+1)*(1+Assumptions!$C$13)</f>
        <v>392098688.86301422</v>
      </c>
      <c r="P5" s="59">
        <f>O5*('Price and Financial ratios'!R4+1)*(1+Assumptions!$C$13)</f>
        <v>410486285.64590383</v>
      </c>
      <c r="Q5" s="59">
        <f>P5*('Price and Financial ratios'!S4+1)*(1+Assumptions!$C$13)</f>
        <v>429736174.8185755</v>
      </c>
      <c r="R5" s="59">
        <f>Q5*('Price and Financial ratios'!T4+1)*(1+Assumptions!$C$13)</f>
        <v>449888793.86583257</v>
      </c>
      <c r="S5" s="59">
        <f>R5*('Price and Financial ratios'!U4+1)*(1+Assumptions!$C$13)</f>
        <v>470986476.6016081</v>
      </c>
      <c r="T5" s="59">
        <f>S5*('Price and Financial ratios'!V4+1)*(1+Assumptions!$C$13)</f>
        <v>493073542.09794241</v>
      </c>
      <c r="U5" s="59">
        <f>T5*('Price and Financial ratios'!W4+1)*(1+Assumptions!$C$13)</f>
        <v>516196387.78431398</v>
      </c>
      <c r="V5" s="59">
        <f>U5*('Price and Financial ratios'!X4+1)*(1+Assumptions!$C$13)</f>
        <v>540403586.91289377</v>
      </c>
      <c r="W5" s="59">
        <f>V5*('Price and Financial ratios'!Y4+1)*(1+Assumptions!$C$13)</f>
        <v>565745990.59446549</v>
      </c>
      <c r="X5" s="59">
        <f>W5*('Price and Financial ratios'!Z4+1)*(1+Assumptions!$C$13)</f>
        <v>592276834.61935282</v>
      </c>
      <c r="Y5" s="59">
        <f>X5*('Price and Financial ratios'!AA4+1)*(1+Assumptions!$C$13)</f>
        <v>620051851.28774977</v>
      </c>
      <c r="Z5" s="59">
        <f>Y5*('Price and Financial ratios'!AB4+1)*(1+Assumptions!$C$13)</f>
        <v>649129386.48437095</v>
      </c>
      <c r="AA5" s="59">
        <f>Z5*('Price and Financial ratios'!AC4+1)*(1+Assumptions!$C$13)</f>
        <v>679570522.24335611</v>
      </c>
      <c r="AB5" s="59">
        <f>AA5*('Price and Financial ratios'!AD4+1)*(1+Assumptions!$C$13)</f>
        <v>711439205.06089568</v>
      </c>
      <c r="AC5" s="59">
        <f>AB5*('Price and Financial ratios'!AE4+1)*(1+Assumptions!$C$13)</f>
        <v>731911569.79814625</v>
      </c>
      <c r="AD5" s="59">
        <f>AC5*('Price and Financial ratios'!AF4+1)*(1+Assumptions!$C$13)</f>
        <v>752973047.0202775</v>
      </c>
      <c r="AE5" s="59">
        <f>AD5*('Price and Financial ratios'!AG4+1)*(1+Assumptions!$C$13)</f>
        <v>774640589.02001679</v>
      </c>
      <c r="AF5" s="59">
        <f>AE5*('Price and Financial ratios'!AH4+1)*(1+Assumptions!$C$13)</f>
        <v>796931635.90903246</v>
      </c>
    </row>
    <row r="6" spans="1:32" s="11" customFormat="1" x14ac:dyDescent="0.35">
      <c r="A6" s="11" t="s">
        <v>20</v>
      </c>
      <c r="C6" s="59">
        <f>C27</f>
        <v>39536680.272376619</v>
      </c>
      <c r="D6" s="59">
        <f t="shared" ref="D6:AF6" si="1">D27</f>
        <v>43541606.047719024</v>
      </c>
      <c r="E6" s="59">
        <f>E27</f>
        <v>47705298.41928564</v>
      </c>
      <c r="F6" s="59">
        <f t="shared" si="1"/>
        <v>52032853.238479413</v>
      </c>
      <c r="G6" s="59">
        <f t="shared" si="1"/>
        <v>56361763.60245762</v>
      </c>
      <c r="H6" s="59">
        <f t="shared" si="1"/>
        <v>60831023.625365555</v>
      </c>
      <c r="I6" s="59">
        <f t="shared" si="1"/>
        <v>65444332.816980004</v>
      </c>
      <c r="J6" s="59">
        <f t="shared" si="1"/>
        <v>70205479.883812681</v>
      </c>
      <c r="K6" s="59">
        <f t="shared" si="1"/>
        <v>75118344.782971114</v>
      </c>
      <c r="L6" s="59">
        <f t="shared" si="1"/>
        <v>80327492.463963449</v>
      </c>
      <c r="M6" s="59">
        <f t="shared" si="1"/>
        <v>85719660.44192943</v>
      </c>
      <c r="N6" s="59">
        <f t="shared" si="1"/>
        <v>91300201.711697936</v>
      </c>
      <c r="O6" s="59">
        <f t="shared" si="1"/>
        <v>97074613.085721239</v>
      </c>
      <c r="P6" s="59">
        <f t="shared" si="1"/>
        <v>103048538.87969406</v>
      </c>
      <c r="Q6" s="59">
        <f t="shared" si="1"/>
        <v>109270312.89765921</v>
      </c>
      <c r="R6" s="59">
        <f t="shared" si="1"/>
        <v>115709518.60695426</v>
      </c>
      <c r="S6" s="59">
        <f t="shared" si="1"/>
        <v>122372595.53001085</v>
      </c>
      <c r="T6" s="59">
        <f t="shared" si="1"/>
        <v>129266159.34707475</v>
      </c>
      <c r="U6" s="59">
        <f t="shared" si="1"/>
        <v>136397006.50247487</v>
      </c>
      <c r="V6" s="59">
        <f t="shared" si="1"/>
        <v>143885218.49426407</v>
      </c>
      <c r="W6" s="59">
        <f t="shared" si="1"/>
        <v>151639638.67736918</v>
      </c>
      <c r="X6" s="59">
        <f t="shared" si="1"/>
        <v>159668434.85056078</v>
      </c>
      <c r="Y6" s="59">
        <f t="shared" si="1"/>
        <v>167980007.62236434</v>
      </c>
      <c r="Z6" s="59">
        <f t="shared" si="1"/>
        <v>176582996.76683611</v>
      </c>
      <c r="AA6" s="59">
        <f t="shared" si="1"/>
        <v>185486287.74819356</v>
      </c>
      <c r="AB6" s="59">
        <f t="shared" si="1"/>
        <v>194699018.4187085</v>
      </c>
      <c r="AC6" s="59">
        <f t="shared" si="1"/>
        <v>204230585.8943848</v>
      </c>
      <c r="AD6" s="59">
        <f t="shared" si="1"/>
        <v>214090653.61305654</v>
      </c>
      <c r="AE6" s="59">
        <f t="shared" si="1"/>
        <v>224289158.57966742</v>
      </c>
      <c r="AF6" s="59">
        <f t="shared" si="1"/>
        <v>234836318.80360904</v>
      </c>
    </row>
    <row r="7" spans="1:32" x14ac:dyDescent="0.35">
      <c r="A7" t="s">
        <v>21</v>
      </c>
      <c r="C7" s="4">
        <f>Depreciation!C8+Depreciation!C9</f>
        <v>86972391.570798263</v>
      </c>
      <c r="D7" s="4">
        <f>Depreciation!D8+Depreciation!D9</f>
        <v>92110001.303840846</v>
      </c>
      <c r="E7" s="4">
        <f>Depreciation!E8+Depreciation!E9</f>
        <v>97487358.330829665</v>
      </c>
      <c r="F7" s="4">
        <f>Depreciation!F8+Depreciation!F9</f>
        <v>103114545.56621063</v>
      </c>
      <c r="G7" s="4">
        <f>Depreciation!G8+Depreciation!G9</f>
        <v>108995491.26800498</v>
      </c>
      <c r="H7" s="4">
        <f>Depreciation!H8+Depreciation!H9</f>
        <v>115140481.12792046</v>
      </c>
      <c r="I7" s="4">
        <f>Depreciation!I8+Depreciation!I9</f>
        <v>121560193.61318552</v>
      </c>
      <c r="J7" s="4">
        <f>Depreciation!J8+Depreciation!J9</f>
        <v>128265714.40530634</v>
      </c>
      <c r="K7" s="4">
        <f>Depreciation!K8+Depreciation!K9</f>
        <v>135268551.35581434</v>
      </c>
      <c r="L7" s="4">
        <f>Depreciation!L8+Depreciation!L9</f>
        <v>142585166.04275006</v>
      </c>
      <c r="M7" s="4">
        <f>Depreciation!M8+Depreciation!M9</f>
        <v>150228374.6547561</v>
      </c>
      <c r="N7" s="4">
        <f>Depreciation!N8+Depreciation!N9</f>
        <v>158211489.37829366</v>
      </c>
      <c r="O7" s="4">
        <f>Depreciation!O8+Depreciation!O9</f>
        <v>166548336.92706361</v>
      </c>
      <c r="P7" s="4">
        <f>Depreciation!P8+Depreciation!P9</f>
        <v>175253277.74660301</v>
      </c>
      <c r="Q7" s="4">
        <f>Depreciation!Q8+Depreciation!Q9</f>
        <v>184342403.13144097</v>
      </c>
      <c r="R7" s="4">
        <f>Depreciation!R8+Depreciation!R9</f>
        <v>193831312.36438203</v>
      </c>
      <c r="S7" s="4">
        <f>Depreciation!S8+Depreciation!S9</f>
        <v>203736207.34068203</v>
      </c>
      <c r="T7" s="4">
        <f>Depreciation!T8+Depreciation!T9</f>
        <v>214073915.08845857</v>
      </c>
      <c r="U7" s="4">
        <f>Depreciation!U8+Depreciation!U9</f>
        <v>224861911.11104417</v>
      </c>
      <c r="V7" s="4">
        <f>Depreciation!V8+Depreciation!V9</f>
        <v>236121127.1900247</v>
      </c>
      <c r="W7" s="4">
        <f>Depreciation!W8+Depreciation!W9</f>
        <v>247870674.50108233</v>
      </c>
      <c r="X7" s="4">
        <f>Depreciation!X8+Depreciation!X9</f>
        <v>260130404.80580494</v>
      </c>
      <c r="Y7" s="4">
        <f>Depreciation!Y8+Depreciation!Y9</f>
        <v>272920938.27934074</v>
      </c>
      <c r="Z7" s="4">
        <f>Depreciation!Z8+Depreciation!Z9</f>
        <v>286263692.36066169</v>
      </c>
      <c r="AA7" s="4">
        <f>Depreciation!AA8+Depreciation!AA9</f>
        <v>300180911.66238916</v>
      </c>
      <c r="AB7" s="4">
        <f>Depreciation!AB8+Depreciation!AB9</f>
        <v>314695698.97844982</v>
      </c>
      <c r="AC7" s="4">
        <f>Depreciation!AC8+Depreciation!AC9</f>
        <v>329832047.42919612</v>
      </c>
      <c r="AD7" s="4">
        <f>Depreciation!AD8+Depreciation!AD9</f>
        <v>345614873.78503621</v>
      </c>
      <c r="AE7" s="4">
        <f>Depreciation!AE8+Depreciation!AE9</f>
        <v>362070053.01108265</v>
      </c>
      <c r="AF7" s="4">
        <f>Depreciation!AF8+Depreciation!AF9</f>
        <v>379224454.07684004</v>
      </c>
    </row>
    <row r="8" spans="1:32" x14ac:dyDescent="0.35">
      <c r="A8" t="s">
        <v>6</v>
      </c>
      <c r="C8" s="4">
        <f ca="1">'Debt worksheet'!C8</f>
        <v>8439826.8179333042</v>
      </c>
      <c r="D8" s="4">
        <f ca="1">'Debt worksheet'!D8</f>
        <v>13028922.354078678</v>
      </c>
      <c r="E8" s="4">
        <f ca="1">'Debt worksheet'!E8</f>
        <v>16949655.495946866</v>
      </c>
      <c r="F8" s="4">
        <f ca="1">'Debt worksheet'!F8</f>
        <v>19796858.858711269</v>
      </c>
      <c r="G8" s="4">
        <f ca="1">'Debt worksheet'!G8</f>
        <v>22096587.767871689</v>
      </c>
      <c r="H8" s="4">
        <f ca="1">'Debt worksheet'!H8</f>
        <v>24087017.231794864</v>
      </c>
      <c r="I8" s="4">
        <f ca="1">'Debt worksheet'!I8</f>
        <v>25865146.625041194</v>
      </c>
      <c r="J8" s="4">
        <f ca="1">'Debt worksheet'!J8</f>
        <v>27372511.870138101</v>
      </c>
      <c r="K8" s="4">
        <f ca="1">'Debt worksheet'!K8</f>
        <v>28871781.204777241</v>
      </c>
      <c r="L8" s="4">
        <f ca="1">'Debt worksheet'!L8</f>
        <v>30359971.599636152</v>
      </c>
      <c r="M8" s="4">
        <f ca="1">'Debt worksheet'!M8</f>
        <v>31822032.01790249</v>
      </c>
      <c r="N8" s="4">
        <f ca="1">'Debt worksheet'!N8</f>
        <v>33241046.097838882</v>
      </c>
      <c r="O8" s="4">
        <f ca="1">'Debt worksheet'!O8</f>
        <v>34734813.549965434</v>
      </c>
      <c r="P8" s="4">
        <f ca="1">'Debt worksheet'!P8</f>
        <v>36301354.16875083</v>
      </c>
      <c r="Q8" s="4">
        <f ca="1">'Debt worksheet'!Q8</f>
        <v>37941472.886873722</v>
      </c>
      <c r="R8" s="4">
        <f ca="1">'Debt worksheet'!R8</f>
        <v>39652478.069918595</v>
      </c>
      <c r="S8" s="4">
        <f ca="1">'Debt worksheet'!S8</f>
        <v>41431022.541730098</v>
      </c>
      <c r="T8" s="4">
        <f ca="1">'Debt worksheet'!T8</f>
        <v>43273041.758018747</v>
      </c>
      <c r="U8" s="4">
        <f ca="1">'Debt worksheet'!U8</f>
        <v>45173687.52765134</v>
      </c>
      <c r="V8" s="4">
        <f ca="1">'Debt worksheet'!V8</f>
        <v>47135666.68184597</v>
      </c>
      <c r="W8" s="4">
        <f ca="1">'Debt worksheet'!W8</f>
        <v>49153563.245640703</v>
      </c>
      <c r="X8" s="4">
        <f ca="1">'Debt worksheet'!X8</f>
        <v>51221045.22238984</v>
      </c>
      <c r="Y8" s="4">
        <f ca="1">'Debt worksheet'!Y8</f>
        <v>53330783.376698196</v>
      </c>
      <c r="Z8" s="4">
        <f ca="1">'Debt worksheet'!Z8</f>
        <v>55474364.302001499</v>
      </c>
      <c r="AA8" s="4">
        <f ca="1">'Debt worksheet'!AA8</f>
        <v>57642197.417315453</v>
      </c>
      <c r="AB8" s="4">
        <f ca="1">'Debt worksheet'!AB8</f>
        <v>59823415.517196871</v>
      </c>
      <c r="AC8" s="4">
        <f ca="1">'Debt worksheet'!AC8</f>
        <v>62473310.824453637</v>
      </c>
      <c r="AD8" s="4">
        <f ca="1">'Debt worksheet'!AD8</f>
        <v>65630473.775386713</v>
      </c>
      <c r="AE8" s="4">
        <f ca="1">'Debt worksheet'!AE8</f>
        <v>69335821.582084626</v>
      </c>
      <c r="AF8" s="4">
        <f ca="1">'Debt worksheet'!AF8</f>
        <v>73632718.953157157</v>
      </c>
    </row>
    <row r="9" spans="1:32" x14ac:dyDescent="0.35">
      <c r="A9" t="s">
        <v>22</v>
      </c>
      <c r="C9" s="4">
        <f ca="1">C5-C6-C7-C8</f>
        <v>-46560006.516905896</v>
      </c>
      <c r="D9" s="4">
        <f t="shared" ref="D9:AF9" ca="1" si="2">D5-D6-D7-D8</f>
        <v>-33013131.869395614</v>
      </c>
      <c r="E9" s="4">
        <f t="shared" ca="1" si="2"/>
        <v>-10777739.191106599</v>
      </c>
      <c r="F9" s="4">
        <f t="shared" ca="1" si="2"/>
        <v>23134322.858879928</v>
      </c>
      <c r="G9" s="4">
        <f t="shared" ca="1" si="2"/>
        <v>41846803.22475715</v>
      </c>
      <c r="H9" s="4">
        <f t="shared" ca="1" si="2"/>
        <v>53844509.217524216</v>
      </c>
      <c r="I9" s="4">
        <f t="shared" ca="1" si="2"/>
        <v>63163681.765588813</v>
      </c>
      <c r="J9" s="4">
        <f t="shared" ca="1" si="2"/>
        <v>74248863.089445293</v>
      </c>
      <c r="K9" s="4">
        <f t="shared" ca="1" si="2"/>
        <v>77927653.693449587</v>
      </c>
      <c r="L9" s="4">
        <f t="shared" ca="1" si="2"/>
        <v>81981151.247172341</v>
      </c>
      <c r="M9" s="4">
        <f t="shared" ca="1" si="2"/>
        <v>86580315.968975037</v>
      </c>
      <c r="N9" s="4">
        <f t="shared" ca="1" si="2"/>
        <v>91782021.180969626</v>
      </c>
      <c r="O9" s="4">
        <f t="shared" ca="1" si="2"/>
        <v>93740925.300263911</v>
      </c>
      <c r="P9" s="4">
        <f t="shared" ca="1" si="2"/>
        <v>95883114.850855947</v>
      </c>
      <c r="Q9" s="4">
        <f t="shared" ca="1" si="2"/>
        <v>98181985.902601629</v>
      </c>
      <c r="R9" s="4">
        <f t="shared" ca="1" si="2"/>
        <v>100695484.82457766</v>
      </c>
      <c r="S9" s="4">
        <f t="shared" ca="1" si="2"/>
        <v>103446651.18918508</v>
      </c>
      <c r="T9" s="4">
        <f t="shared" ca="1" si="2"/>
        <v>106460425.90439035</v>
      </c>
      <c r="U9" s="4">
        <f t="shared" ca="1" si="2"/>
        <v>109763782.64314362</v>
      </c>
      <c r="V9" s="4">
        <f t="shared" ca="1" si="2"/>
        <v>113261574.54675904</v>
      </c>
      <c r="W9" s="4">
        <f t="shared" ca="1" si="2"/>
        <v>117082114.17037329</v>
      </c>
      <c r="X9" s="4">
        <f t="shared" ca="1" si="2"/>
        <v>121256949.74059725</v>
      </c>
      <c r="Y9" s="4">
        <f t="shared" ca="1" si="2"/>
        <v>125820122.00934649</v>
      </c>
      <c r="Z9" s="4">
        <f t="shared" ca="1" si="2"/>
        <v>130808333.05487165</v>
      </c>
      <c r="AA9" s="4">
        <f t="shared" ca="1" si="2"/>
        <v>136261125.41545793</v>
      </c>
      <c r="AB9" s="4">
        <f t="shared" ca="1" si="2"/>
        <v>142221072.14654049</v>
      </c>
      <c r="AC9" s="4">
        <f t="shared" ca="1" si="2"/>
        <v>135375625.65011168</v>
      </c>
      <c r="AD9" s="4">
        <f t="shared" ca="1" si="2"/>
        <v>127637045.84679803</v>
      </c>
      <c r="AE9" s="4">
        <f t="shared" ca="1" si="2"/>
        <v>118945555.84718207</v>
      </c>
      <c r="AF9" s="4">
        <f t="shared" ca="1" si="2"/>
        <v>109238144.07542625</v>
      </c>
    </row>
    <row r="12" spans="1:32" x14ac:dyDescent="0.35">
      <c r="A12" t="s">
        <v>79</v>
      </c>
      <c r="C12" s="2">
        <f>Assumptions!$C$25*Assumptions!D9*Assumptions!D13</f>
        <v>36712457.469371542</v>
      </c>
      <c r="D12" s="2">
        <f>Assumptions!$C$25*Assumptions!E9*Assumptions!E13</f>
        <v>37768894.638376646</v>
      </c>
      <c r="E12" s="2">
        <f>Assumptions!$C$25*Assumptions!F9*Assumptions!F13</f>
        <v>38855731.828763776</v>
      </c>
      <c r="F12" s="2">
        <f>Assumptions!$C$25*Assumptions!G9*Assumptions!G13</f>
        <v>39973843.831128284</v>
      </c>
      <c r="G12" s="2">
        <f>Assumptions!$C$25*Assumptions!H9*Assumptions!H13</f>
        <v>41124130.609027594</v>
      </c>
      <c r="H12" s="2">
        <f>Assumptions!$C$25*Assumptions!I9*Assumptions!I13</f>
        <v>42307518.023358069</v>
      </c>
      <c r="I12" s="2">
        <f>Assumptions!$C$25*Assumptions!J9*Assumptions!J13</f>
        <v>43524958.577576414</v>
      </c>
      <c r="J12" s="2">
        <f>Assumptions!$C$25*Assumptions!K9*Assumptions!K13</f>
        <v>44777432.184365615</v>
      </c>
      <c r="K12" s="2">
        <f>Assumptions!$C$25*Assumptions!L9*Assumptions!L13</f>
        <v>46065946.954362541</v>
      </c>
      <c r="L12" s="2">
        <f>Assumptions!$C$25*Assumptions!M9*Assumptions!M13</f>
        <v>47391540.007581793</v>
      </c>
      <c r="M12" s="2">
        <f>Assumptions!$C$25*Assumptions!N9*Assumptions!N13</f>
        <v>48755278.308189183</v>
      </c>
      <c r="N12" s="2">
        <f>Assumptions!$C$25*Assumptions!O9*Assumptions!O13</f>
        <v>50158259.523296624</v>
      </c>
      <c r="O12" s="2">
        <f>Assumptions!$C$25*Assumptions!P9*Assumptions!P13</f>
        <v>51601612.906469695</v>
      </c>
      <c r="P12" s="2">
        <f>Assumptions!$C$25*Assumptions!Q9*Assumptions!Q13</f>
        <v>53086500.206658937</v>
      </c>
      <c r="Q12" s="2">
        <f>Assumptions!$C$25*Assumptions!R9*Assumptions!R13</f>
        <v>54614116.603286721</v>
      </c>
      <c r="R12" s="2">
        <f>Assumptions!$C$25*Assumptions!S9*Assumptions!S13</f>
        <v>56185691.668241873</v>
      </c>
      <c r="S12" s="2">
        <f>Assumptions!$C$25*Assumptions!T9*Assumptions!T13</f>
        <v>57802490.355556965</v>
      </c>
      <c r="T12" s="2">
        <f>Assumptions!$C$25*Assumptions!U9*Assumptions!U13</f>
        <v>59465814.019564316</v>
      </c>
      <c r="U12" s="2">
        <f>Assumptions!$C$25*Assumptions!V9*Assumptions!V13</f>
        <v>61177001.46235057</v>
      </c>
      <c r="V12" s="2">
        <f>Assumptions!$C$25*Assumptions!W9*Assumptions!W13</f>
        <v>62937430.011352658</v>
      </c>
      <c r="W12" s="2">
        <f>Assumptions!$C$25*Assumptions!X9*Assumptions!X13</f>
        <v>64748516.62796285</v>
      </c>
      <c r="X12" s="2">
        <f>Assumptions!$C$25*Assumptions!Y9*Assumptions!Y13</f>
        <v>66611719.048034884</v>
      </c>
      <c r="Y12" s="2">
        <f>Assumptions!$C$25*Assumptions!Z9*Assumptions!Z13</f>
        <v>68528536.95520927</v>
      </c>
      <c r="Z12" s="2">
        <f>Assumptions!$C$25*Assumptions!AA9*Assumptions!AA13</f>
        <v>70500513.188002229</v>
      </c>
      <c r="AA12" s="2">
        <f>Assumptions!$C$25*Assumptions!AB9*Assumptions!AB13</f>
        <v>72529234.981629804</v>
      </c>
      <c r="AB12" s="2">
        <f>Assumptions!$C$25*Assumptions!AC9*Assumptions!AC13</f>
        <v>74616335.245566756</v>
      </c>
      <c r="AC12" s="2">
        <f>Assumptions!$C$25*Assumptions!AD9*Assumptions!AD13</f>
        <v>76763493.877868235</v>
      </c>
      <c r="AD12" s="2">
        <f>Assumptions!$C$25*Assumptions!AE9*Assumptions!AE13</f>
        <v>78972439.1173127</v>
      </c>
      <c r="AE12" s="2">
        <f>Assumptions!$C$25*Assumptions!AF9*Assumptions!AF13</f>
        <v>81244948.9344538</v>
      </c>
      <c r="AF12" s="2">
        <f>Assumptions!$C$25*Assumptions!AG9*Assumptions!AG13</f>
        <v>83582852.462701261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2824222.8030050769</v>
      </c>
      <c r="D14" s="5">
        <f>Assumptions!E122*Assumptions!E9</f>
        <v>5772711.4093423765</v>
      </c>
      <c r="E14" s="5">
        <f>Assumptions!F122*Assumptions!F9</f>
        <v>8849566.5905218646</v>
      </c>
      <c r="F14" s="5">
        <f>Assumptions!G122*Assumptions!G9</f>
        <v>12059009.407351127</v>
      </c>
      <c r="G14" s="5">
        <f>Assumptions!H122*Assumptions!H9</f>
        <v>15397580.773478979</v>
      </c>
      <c r="H14" s="5">
        <f>Assumptions!I122*Assumptions!I9</f>
        <v>18869257.492516562</v>
      </c>
      <c r="I14" s="5">
        <f>Assumptions!J122*Assumptions!J9</f>
        <v>22478125.908721562</v>
      </c>
      <c r="J14" s="5">
        <f>Assumptions!K122*Assumptions!K9</f>
        <v>26228384.74493435</v>
      </c>
      <c r="K14" s="5">
        <f>Assumptions!L122*Assumptions!L9</f>
        <v>30124348.011257663</v>
      </c>
      <c r="L14" s="5">
        <f>Assumptions!M122*Assumptions!M9</f>
        <v>34175569.310036585</v>
      </c>
      <c r="M14" s="5">
        <f>Assumptions!N122*Assumptions!N9</f>
        <v>38386921.640137069</v>
      </c>
      <c r="N14" s="5">
        <f>Assumptions!O122*Assumptions!O9</f>
        <v>42763415.74391751</v>
      </c>
      <c r="O14" s="5">
        <f>Assumptions!P122*Assumptions!P9</f>
        <v>47310203.777485259</v>
      </c>
      <c r="P14" s="5">
        <f>Assumptions!Q122*Assumptions!Q9</f>
        <v>52032583.075107567</v>
      </c>
      <c r="Q14" s="5">
        <f>Assumptions!R122*Assumptions!R9</f>
        <v>56937271.559203543</v>
      </c>
      <c r="R14" s="5">
        <f>Assumptions!S122*Assumptions!S9</f>
        <v>62029950.304737821</v>
      </c>
      <c r="S14" s="5">
        <f>Assumptions!T122*Assumptions!T9</f>
        <v>67316460.947011262</v>
      </c>
      <c r="T14" s="5">
        <f>Assumptions!U122*Assumptions!U9</f>
        <v>72802809.971769005</v>
      </c>
      <c r="U14" s="5">
        <f>Assumptions!V122*Assumptions!V9</f>
        <v>78495173.115831703</v>
      </c>
      <c r="V14" s="5">
        <f>Assumptions!W122*Assumptions!W9</f>
        <v>84402763.678206831</v>
      </c>
      <c r="W14" s="5">
        <f>Assumptions!X122*Assumptions!X9</f>
        <v>90532296.561538398</v>
      </c>
      <c r="X14" s="5">
        <f>Assumptions!Y122*Assumptions!Y9</f>
        <v>96890677.9541163</v>
      </c>
      <c r="Y14" s="5">
        <f>Assumptions!Z122*Assumptions!Z9</f>
        <v>103485010.49643183</v>
      </c>
      <c r="Z14" s="5">
        <f>Assumptions!AA122*Assumptions!AA9</f>
        <v>110322598.58247948</v>
      </c>
      <c r="AA14" s="5">
        <f>Assumptions!AB122*Assumptions!AB9</f>
        <v>117410953.79923293</v>
      </c>
      <c r="AB14" s="5">
        <f>Assumptions!AC122*Assumptions!AC9</f>
        <v>124757800.50780962</v>
      </c>
      <c r="AC14" s="5">
        <f>Assumptions!AD122*Assumptions!AD9</f>
        <v>132371081.56992488</v>
      </c>
      <c r="AD14" s="5">
        <f>Assumptions!AE122*Assumptions!AE9</f>
        <v>140258964.2233274</v>
      </c>
      <c r="AE14" s="5">
        <f>Assumptions!AF122*Assumptions!AF9</f>
        <v>148429846.10999978</v>
      </c>
      <c r="AF14" s="5">
        <f>Assumptions!AG122*Assumptions!AG9</f>
        <v>156892361.46100169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192</v>
      </c>
      <c r="C16" s="37">
        <f>Assumptions!D43</f>
        <v>1</v>
      </c>
      <c r="D16" s="37">
        <f>Assumptions!E43</f>
        <v>1</v>
      </c>
      <c r="E16" s="37">
        <f>Assumptions!F43</f>
        <v>1</v>
      </c>
      <c r="F16" s="37">
        <f>Assumptions!G43</f>
        <v>1</v>
      </c>
      <c r="G16" s="37">
        <f>Assumptions!H43</f>
        <v>0.99717015327143022</v>
      </c>
      <c r="H16" s="37">
        <f>Assumptions!I43</f>
        <v>0.99434831457536765</v>
      </c>
      <c r="I16" s="37">
        <f>Assumptions!J43</f>
        <v>0.99153446125030764</v>
      </c>
      <c r="J16" s="37">
        <f>Assumptions!K43</f>
        <v>0.98872857069887421</v>
      </c>
      <c r="K16" s="37">
        <f>Assumptions!L43</f>
        <v>0.98593062038763857</v>
      </c>
      <c r="L16" s="37">
        <f>Assumptions!M43</f>
        <v>0.98480249129795794</v>
      </c>
      <c r="M16" s="37">
        <f>Assumptions!N43</f>
        <v>0.98367565304478921</v>
      </c>
      <c r="N16" s="37">
        <f>Assumptions!O43</f>
        <v>0.98255010415112154</v>
      </c>
      <c r="O16" s="37">
        <f>Assumptions!P43</f>
        <v>0.98142584314163406</v>
      </c>
      <c r="P16" s="37">
        <f>Assumptions!Q43</f>
        <v>0.98030286854269411</v>
      </c>
      <c r="Q16" s="37">
        <f>Assumptions!R43</f>
        <v>0.97955135025744067</v>
      </c>
      <c r="R16" s="37">
        <f>Assumptions!S43</f>
        <v>0.97880040809998525</v>
      </c>
      <c r="S16" s="37">
        <f>Assumptions!T43</f>
        <v>0.97805004162865772</v>
      </c>
      <c r="T16" s="37">
        <f>Assumptions!U43</f>
        <v>0.97730025040212631</v>
      </c>
      <c r="U16" s="37">
        <f>Assumptions!V43</f>
        <v>0.97655103397939791</v>
      </c>
      <c r="V16" s="37">
        <f>Assumptions!W43</f>
        <v>0.97655103397939791</v>
      </c>
      <c r="W16" s="37">
        <f>Assumptions!X43</f>
        <v>0.97655103397939791</v>
      </c>
      <c r="X16" s="37">
        <f>Assumptions!Y43</f>
        <v>0.97655103397939791</v>
      </c>
      <c r="Y16" s="37">
        <f>Assumptions!Z43</f>
        <v>0.97655103397939791</v>
      </c>
      <c r="Z16" s="37">
        <f>Assumptions!AA43</f>
        <v>0.97655103397939791</v>
      </c>
      <c r="AA16" s="37">
        <f>Assumptions!AB43</f>
        <v>0.97655103397939791</v>
      </c>
      <c r="AB16" s="37">
        <f>Assumptions!AC43</f>
        <v>0.97655103397939791</v>
      </c>
      <c r="AC16" s="37">
        <f>Assumptions!AD43</f>
        <v>0.97655103397939791</v>
      </c>
      <c r="AD16" s="37">
        <f>Assumptions!AE43</f>
        <v>0.97655103397939791</v>
      </c>
      <c r="AE16" s="37">
        <f>Assumptions!AF43</f>
        <v>0.97655103397939791</v>
      </c>
      <c r="AF16" s="37">
        <f>Assumptions!AG43</f>
        <v>0.97655103397939791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-116374.98646923155</v>
      </c>
      <c r="H19" s="44">
        <f t="shared" si="3"/>
        <v>-239108.78296498209</v>
      </c>
      <c r="I19" s="44">
        <f t="shared" si="3"/>
        <v>-368462.22341722995</v>
      </c>
      <c r="J19" s="44">
        <f t="shared" si="3"/>
        <v>-504705.661152035</v>
      </c>
      <c r="K19" s="44">
        <f t="shared" si="3"/>
        <v>-648119.29490382969</v>
      </c>
      <c r="L19" s="44">
        <f t="shared" si="3"/>
        <v>-720233.34166839719</v>
      </c>
      <c r="M19" s="44">
        <f t="shared" si="3"/>
        <v>-795898.07900074124</v>
      </c>
      <c r="N19" s="44">
        <f t="shared" si="3"/>
        <v>-875256.40464254469</v>
      </c>
      <c r="O19" s="44">
        <f t="shared" si="3"/>
        <v>-958456.45226944983</v>
      </c>
      <c r="P19" s="44">
        <f t="shared" si="3"/>
        <v>-1045651.7731788605</v>
      </c>
      <c r="Q19" s="44">
        <f t="shared" si="3"/>
        <v>-1116784.9414199069</v>
      </c>
      <c r="R19" s="44">
        <f t="shared" si="3"/>
        <v>-1191113.7339867875</v>
      </c>
      <c r="S19" s="44">
        <f t="shared" si="3"/>
        <v>-1268762.2570643872</v>
      </c>
      <c r="T19" s="44">
        <f t="shared" si="3"/>
        <v>-1349859.0878778398</v>
      </c>
      <c r="U19" s="44">
        <f t="shared" si="3"/>
        <v>-1434537.4285329804</v>
      </c>
      <c r="V19" s="44">
        <f t="shared" si="3"/>
        <v>-1475817.6577602327</v>
      </c>
      <c r="W19" s="44">
        <f t="shared" si="3"/>
        <v>-1518285.7662934884</v>
      </c>
      <c r="X19" s="44">
        <f t="shared" si="3"/>
        <v>-1561975.9365312606</v>
      </c>
      <c r="Y19" s="44">
        <f t="shared" si="3"/>
        <v>-1606923.3345042765</v>
      </c>
      <c r="Z19" s="44">
        <f t="shared" si="3"/>
        <v>-1653164.1381804794</v>
      </c>
      <c r="AA19" s="44">
        <f t="shared" si="3"/>
        <v>-1700735.5665844977</v>
      </c>
      <c r="AB19" s="44">
        <f t="shared" si="3"/>
        <v>-1749675.9097551554</v>
      </c>
      <c r="AC19" s="44">
        <f t="shared" si="3"/>
        <v>-1800024.5595648289</v>
      </c>
      <c r="AD19" s="44">
        <f t="shared" si="3"/>
        <v>-1851822.0414259285</v>
      </c>
      <c r="AE19" s="44">
        <f t="shared" si="3"/>
        <v>-1905110.0469095558</v>
      </c>
      <c r="AF19" s="44">
        <f t="shared" si="3"/>
        <v>-1959931.4673028737</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-43572.793579718098</v>
      </c>
      <c r="H24" s="44">
        <f t="shared" si="6"/>
        <v>-106643.1075440906</v>
      </c>
      <c r="I24" s="44">
        <f t="shared" si="6"/>
        <v>-190289.44590074569</v>
      </c>
      <c r="J24" s="44">
        <f t="shared" si="6"/>
        <v>-295631.38433525339</v>
      </c>
      <c r="K24" s="44">
        <f t="shared" si="6"/>
        <v>-423830.88774526864</v>
      </c>
      <c r="L24" s="44">
        <f t="shared" si="6"/>
        <v>-519383.51198652387</v>
      </c>
      <c r="M24" s="44">
        <f t="shared" si="6"/>
        <v>-626641.42739608884</v>
      </c>
      <c r="N24" s="44">
        <f t="shared" si="6"/>
        <v>-746217.15087365359</v>
      </c>
      <c r="O24" s="44">
        <f t="shared" si="6"/>
        <v>-878747.14596426487</v>
      </c>
      <c r="P24" s="44">
        <f t="shared" si="6"/>
        <v>-1024892.628893584</v>
      </c>
      <c r="Q24" s="44">
        <f t="shared" si="6"/>
        <v>-1164290.3234111369</v>
      </c>
      <c r="R24" s="44">
        <f t="shared" si="6"/>
        <v>-1315009.632038638</v>
      </c>
      <c r="S24" s="44">
        <f t="shared" si="6"/>
        <v>-1477593.5154929832</v>
      </c>
      <c r="T24" s="44">
        <f t="shared" si="6"/>
        <v>-1652605.5563807338</v>
      </c>
      <c r="U24" s="44">
        <f t="shared" si="6"/>
        <v>-1840630.647174418</v>
      </c>
      <c r="V24" s="44">
        <f t="shared" si="6"/>
        <v>-1979157.5375351757</v>
      </c>
      <c r="W24" s="44">
        <f t="shared" si="6"/>
        <v>-2122888.7458385825</v>
      </c>
      <c r="X24" s="44">
        <f t="shared" si="6"/>
        <v>-2271986.2150591761</v>
      </c>
      <c r="Y24" s="44">
        <f t="shared" si="6"/>
        <v>-2426616.4947724789</v>
      </c>
      <c r="Z24" s="44">
        <f t="shared" si="6"/>
        <v>-2586950.8654650897</v>
      </c>
      <c r="AA24" s="44">
        <f t="shared" si="6"/>
        <v>-2753165.4660846889</v>
      </c>
      <c r="AB24" s="44">
        <f t="shared" si="6"/>
        <v>-2925441.4249126762</v>
      </c>
      <c r="AC24" s="44">
        <f t="shared" si="6"/>
        <v>-3103964.9938435107</v>
      </c>
      <c r="AD24" s="44">
        <f t="shared" si="6"/>
        <v>-3288927.6861576438</v>
      </c>
      <c r="AE24" s="44">
        <f t="shared" si="6"/>
        <v>-3480526.4178765714</v>
      </c>
      <c r="AF24" s="44">
        <f t="shared" si="6"/>
        <v>-3678963.6527910531</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39536680.272376619</v>
      </c>
      <c r="D27" s="2">
        <f t="shared" ref="D27:AF27" si="8">D12+D13+D14+D19+D20+D22+D24+D25</f>
        <v>43541606.047719024</v>
      </c>
      <c r="E27" s="2">
        <f t="shared" si="8"/>
        <v>47705298.41928564</v>
      </c>
      <c r="F27" s="2">
        <f t="shared" si="8"/>
        <v>52032853.238479413</v>
      </c>
      <c r="G27" s="2">
        <f t="shared" si="8"/>
        <v>56361763.60245762</v>
      </c>
      <c r="H27" s="2">
        <f t="shared" si="8"/>
        <v>60831023.625365555</v>
      </c>
      <c r="I27" s="2">
        <f t="shared" si="8"/>
        <v>65444332.816980004</v>
      </c>
      <c r="J27" s="2">
        <f t="shared" si="8"/>
        <v>70205479.883812681</v>
      </c>
      <c r="K27" s="2">
        <f t="shared" si="8"/>
        <v>75118344.782971114</v>
      </c>
      <c r="L27" s="2">
        <f t="shared" si="8"/>
        <v>80327492.463963449</v>
      </c>
      <c r="M27" s="2">
        <f t="shared" si="8"/>
        <v>85719660.44192943</v>
      </c>
      <c r="N27" s="2">
        <f t="shared" si="8"/>
        <v>91300201.711697936</v>
      </c>
      <c r="O27" s="2">
        <f t="shared" si="8"/>
        <v>97074613.085721239</v>
      </c>
      <c r="P27" s="2">
        <f t="shared" si="8"/>
        <v>103048538.87969406</v>
      </c>
      <c r="Q27" s="2">
        <f t="shared" si="8"/>
        <v>109270312.89765921</v>
      </c>
      <c r="R27" s="2">
        <f t="shared" si="8"/>
        <v>115709518.60695426</v>
      </c>
      <c r="S27" s="2">
        <f t="shared" si="8"/>
        <v>122372595.53001085</v>
      </c>
      <c r="T27" s="2">
        <f t="shared" si="8"/>
        <v>129266159.34707475</v>
      </c>
      <c r="U27" s="2">
        <f t="shared" si="8"/>
        <v>136397006.50247487</v>
      </c>
      <c r="V27" s="2">
        <f t="shared" si="8"/>
        <v>143885218.49426407</v>
      </c>
      <c r="W27" s="2">
        <f t="shared" si="8"/>
        <v>151639638.67736918</v>
      </c>
      <c r="X27" s="2">
        <f t="shared" si="8"/>
        <v>159668434.85056078</v>
      </c>
      <c r="Y27" s="2">
        <f t="shared" si="8"/>
        <v>167980007.62236434</v>
      </c>
      <c r="Z27" s="2">
        <f t="shared" si="8"/>
        <v>176582996.76683611</v>
      </c>
      <c r="AA27" s="2">
        <f t="shared" si="8"/>
        <v>185486287.74819356</v>
      </c>
      <c r="AB27" s="2">
        <f t="shared" si="8"/>
        <v>194699018.4187085</v>
      </c>
      <c r="AC27" s="2">
        <f t="shared" si="8"/>
        <v>204230585.8943848</v>
      </c>
      <c r="AD27" s="2">
        <f t="shared" si="8"/>
        <v>214090653.61305654</v>
      </c>
      <c r="AE27" s="2">
        <f t="shared" si="8"/>
        <v>224289158.57966742</v>
      </c>
      <c r="AF27" s="2">
        <f t="shared" si="8"/>
        <v>234836318.80360904</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3W2DU3RAJ5R2-1900874439-772</_dlc_DocId>
    <_dlc_DocIdUrl xmlns="f54e2983-00ce-40fc-8108-18f351fc47bf">
      <Url>https://dia.cohesion.net.nz/Sites/LGV/TWRP/CAE/_layouts/15/DocIdRedir.aspx?ID=3W2DU3RAJ5R2-1900874439-772</Url>
      <Description>3W2DU3RAJ5R2-1900874439-772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purl.org/dc/terms/"/>
    <ds:schemaRef ds:uri="http://schemas.microsoft.com/sharepoint/v3"/>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 ds:uri="65b6d800-2dda-48d6-88d8-9e2b35e6f7ea"/>
    <ds:schemaRef ds:uri="08a23fc5-e034-477c-ac83-93bc1440f322"/>
    <ds:schemaRef ds:uri="http://purl.org/dc/elements/1.1/"/>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4853C394-FC00-44AC-AF90-32AF0F258710}"/>
</file>

<file path=customXml/itemProps4.xml><?xml version="1.0" encoding="utf-8"?>
<ds:datastoreItem xmlns:ds="http://schemas.openxmlformats.org/officeDocument/2006/customXml" ds:itemID="{0A07B55F-A3E1-46B8-92ED-16A041F8A6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2021-07-01T15:04:47Z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6ec93afd-19b4-4fa8-9eea-bfaa1bc90e68</vt:lpwstr>
  </property>
</Properties>
</file>