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304" documentId="8_{77312D3E-AB6B-49C7-AC28-A0F7827531E5}" xr6:coauthVersionLast="47" xr6:coauthVersionMax="47" xr10:uidLastSave="{8EF6A8F2-8B4D-418A-A5E0-CB0EF55DD4CC}"/>
  <bookViews>
    <workbookView xWindow="380" yWindow="380" windowWidth="36330" windowHeight="708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c r="A9" i="19"/>
  <c r="B40" i="21"/>
  <c r="B27" i="21"/>
  <c r="A21" i="21"/>
  <c r="A34" i="21"/>
  <c r="B8" i="21"/>
  <c r="B21" i="21"/>
  <c r="B34" i="21"/>
  <c r="C83" i="2"/>
  <c r="C87" i="2"/>
  <c r="C82" i="2"/>
  <c r="C89" i="2"/>
  <c r="C94" i="2"/>
  <c r="C90" i="2"/>
  <c r="C95" i="2"/>
  <c r="C96" i="2"/>
  <c r="C102" i="2"/>
  <c r="D113" i="2"/>
  <c r="C58" i="2"/>
  <c r="C106" i="2"/>
  <c r="C63" i="2"/>
  <c r="C107" i="2"/>
  <c r="D11" i="2"/>
  <c r="C40" i="2"/>
  <c r="C41" i="2"/>
  <c r="C39" i="2"/>
  <c r="C36" i="2"/>
  <c r="C37" i="2"/>
  <c r="C35" i="2"/>
  <c r="F9" i="2"/>
  <c r="E9" i="2"/>
  <c r="D9" i="2"/>
  <c r="G11" i="2"/>
  <c r="V9" i="2"/>
  <c r="E11" i="2"/>
  <c r="F11" i="2"/>
  <c r="H11" i="2"/>
  <c r="I11" i="2"/>
  <c r="C67" i="2"/>
  <c r="C72" i="2"/>
  <c r="C5" i="3"/>
  <c r="B7" i="21"/>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F9" i="9"/>
  <c r="G9" i="9"/>
  <c r="H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C17" i="8"/>
  <c r="F45" i="2"/>
  <c r="D17" i="8"/>
  <c r="D16" i="9"/>
  <c r="G45" i="2"/>
  <c r="E17" i="8"/>
  <c r="E16" i="9"/>
  <c r="H45" i="2"/>
  <c r="F17" i="8"/>
  <c r="F16" i="9"/>
  <c r="I45" i="2"/>
  <c r="G17" i="8"/>
  <c r="G16" i="9"/>
  <c r="J45" i="2"/>
  <c r="H17" i="8"/>
  <c r="H16" i="9"/>
  <c r="K45" i="2"/>
  <c r="I17" i="8"/>
  <c r="I16" i="9"/>
  <c r="L45" i="2"/>
  <c r="J17" i="8"/>
  <c r="J16" i="9"/>
  <c r="M45" i="2"/>
  <c r="K17" i="8"/>
  <c r="K16" i="9"/>
  <c r="N45" i="2"/>
  <c r="L17" i="8"/>
  <c r="L16" i="9"/>
  <c r="O45" i="2"/>
  <c r="M17" i="8"/>
  <c r="M16" i="9"/>
  <c r="P45" i="2"/>
  <c r="N17" i="8"/>
  <c r="N16" i="9"/>
  <c r="Q45" i="2"/>
  <c r="O17" i="8"/>
  <c r="O16" i="9"/>
  <c r="R45" i="2"/>
  <c r="P17" i="8"/>
  <c r="P16" i="9"/>
  <c r="S45" i="2"/>
  <c r="Q17" i="8"/>
  <c r="Q16" i="9"/>
  <c r="T45" i="2"/>
  <c r="R17" i="8"/>
  <c r="R16" i="9"/>
  <c r="U45" i="2"/>
  <c r="S17" i="8"/>
  <c r="S16" i="9"/>
  <c r="V45" i="2"/>
  <c r="T17" i="8"/>
  <c r="T16" i="9"/>
  <c r="W45" i="2"/>
  <c r="U17" i="8"/>
  <c r="U16" i="9"/>
  <c r="X45" i="2"/>
  <c r="V17" i="8"/>
  <c r="V16" i="9"/>
  <c r="Y45" i="2"/>
  <c r="W17" i="8"/>
  <c r="W16" i="9"/>
  <c r="Z45" i="2"/>
  <c r="X17" i="8"/>
  <c r="X16" i="9"/>
  <c r="AA45" i="2"/>
  <c r="Y17" i="8"/>
  <c r="Y16" i="9"/>
  <c r="AB45" i="2"/>
  <c r="Z17" i="8"/>
  <c r="Z16" i="9"/>
  <c r="AC45" i="2"/>
  <c r="AA17" i="8"/>
  <c r="AA16" i="9"/>
  <c r="AD45" i="2"/>
  <c r="AB17" i="8"/>
  <c r="AB16" i="9"/>
  <c r="AE45" i="2"/>
  <c r="AC17" i="8"/>
  <c r="AC16" i="9"/>
  <c r="AF45" i="2"/>
  <c r="AD17" i="8"/>
  <c r="AD16" i="9"/>
  <c r="AG45" i="2"/>
  <c r="AE17" i="8"/>
  <c r="AE16" i="9"/>
  <c r="AF17" i="8"/>
  <c r="AF16" i="9"/>
  <c r="AG9" i="2"/>
  <c r="AF22" i="8"/>
  <c r="AF9" i="2"/>
  <c r="AE9" i="2"/>
  <c r="AD9" i="2"/>
  <c r="AC9" i="2"/>
  <c r="AB9" i="2"/>
  <c r="AA9" i="2"/>
  <c r="Z9" i="2"/>
  <c r="Y9" i="2"/>
  <c r="X9" i="2"/>
  <c r="W9" i="2"/>
  <c r="U9" i="2"/>
  <c r="T9" i="2"/>
  <c r="S9" i="2"/>
  <c r="R9" i="2"/>
  <c r="Q9" i="2"/>
  <c r="P9" i="2"/>
  <c r="O9" i="2"/>
  <c r="N9" i="2"/>
  <c r="M9" i="2"/>
  <c r="L22" i="8"/>
  <c r="L9" i="2"/>
  <c r="K9" i="2"/>
  <c r="J9" i="2"/>
  <c r="I9" i="2"/>
  <c r="H9" i="2"/>
  <c r="G9" i="2"/>
  <c r="AA22" i="8"/>
  <c r="AB22" i="8"/>
  <c r="M22" i="8"/>
  <c r="AC22" i="8"/>
  <c r="N22" i="8"/>
  <c r="V22" i="8"/>
  <c r="AD22" i="8"/>
  <c r="R22" i="8"/>
  <c r="K22" i="8"/>
  <c r="T22" i="8"/>
  <c r="O22" i="8"/>
  <c r="W22" i="8"/>
  <c r="AE22" i="8"/>
  <c r="Z22" i="8"/>
  <c r="J22" i="8"/>
  <c r="S22" i="8"/>
  <c r="U22" i="8"/>
  <c r="H22" i="8"/>
  <c r="P22" i="8"/>
  <c r="X22" i="8"/>
  <c r="I22" i="8"/>
  <c r="Q22" i="8"/>
  <c r="Y22" i="8"/>
  <c r="B11" i="5"/>
  <c r="C22" i="6"/>
  <c r="E113" i="2"/>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c r="V12" i="9"/>
  <c r="V21" i="9"/>
  <c r="H116" i="2"/>
  <c r="G6" i="9"/>
  <c r="G12" i="9"/>
  <c r="G21" i="9"/>
  <c r="W116" i="2"/>
  <c r="J116" i="2"/>
  <c r="O116" i="2"/>
  <c r="P116" i="2"/>
  <c r="V116" i="2"/>
  <c r="AB6" i="9"/>
  <c r="AB12" i="9"/>
  <c r="AB21" i="9"/>
  <c r="F6" i="9"/>
  <c r="F12" i="9"/>
  <c r="AE6" i="9"/>
  <c r="AE12" i="9"/>
  <c r="AE21" i="9"/>
  <c r="H6" i="9"/>
  <c r="H12" i="9"/>
  <c r="H21" i="9"/>
  <c r="L116" i="2"/>
  <c r="T6" i="9"/>
  <c r="T12" i="9"/>
  <c r="T21" i="9"/>
  <c r="Q6" i="9"/>
  <c r="Q12" i="9"/>
  <c r="Q21" i="9"/>
  <c r="S116" i="2"/>
  <c r="E116" i="2"/>
  <c r="AA6" i="9"/>
  <c r="AA12" i="9"/>
  <c r="AA21" i="9"/>
  <c r="F115" i="2"/>
  <c r="W6" i="9"/>
  <c r="W12" i="9"/>
  <c r="W21" i="9"/>
  <c r="Z6" i="9"/>
  <c r="Z12" i="9"/>
  <c r="Z21" i="9"/>
  <c r="Q116" i="2"/>
  <c r="M116" i="2"/>
  <c r="S6" i="9"/>
  <c r="S12" i="9"/>
  <c r="S21" i="9"/>
  <c r="AC6" i="9"/>
  <c r="AC12" i="9"/>
  <c r="AC21" i="9"/>
  <c r="K116" i="2"/>
  <c r="C6" i="9"/>
  <c r="C12" i="9"/>
  <c r="C21" i="9"/>
  <c r="D116" i="2"/>
  <c r="D115" i="2"/>
  <c r="X6" i="9"/>
  <c r="X12" i="9"/>
  <c r="X21" i="9"/>
  <c r="Y116" i="2"/>
  <c r="AF6" i="9"/>
  <c r="AF12" i="9"/>
  <c r="AF21" i="9"/>
  <c r="AG116" i="2"/>
  <c r="N6" i="9"/>
  <c r="N12" i="9"/>
  <c r="N21" i="9"/>
  <c r="AD6" i="9"/>
  <c r="AD12" i="9"/>
  <c r="AD21" i="9"/>
  <c r="AE116" i="2"/>
  <c r="Y6" i="9"/>
  <c r="Y12" i="9"/>
  <c r="Y21" i="9"/>
  <c r="Z116" i="2"/>
  <c r="O6" i="9"/>
  <c r="O12" i="9"/>
  <c r="O21" i="9"/>
  <c r="M6" i="9"/>
  <c r="M12" i="9"/>
  <c r="M21" i="9"/>
  <c r="N116" i="2"/>
  <c r="D118" i="2"/>
  <c r="I6" i="9"/>
  <c r="I12" i="9"/>
  <c r="I21" i="9"/>
  <c r="R6" i="9"/>
  <c r="R12" i="9"/>
  <c r="R21" i="9"/>
  <c r="K6" i="9"/>
  <c r="K12" i="9"/>
  <c r="K21" i="9"/>
  <c r="E115" i="2"/>
  <c r="E118" i="2"/>
  <c r="I116" i="2"/>
  <c r="U116" i="2"/>
  <c r="F20" i="9"/>
  <c r="F21" i="9"/>
  <c r="J6" i="9"/>
  <c r="J12" i="9"/>
  <c r="J21" i="9"/>
  <c r="G116" i="2"/>
  <c r="AA116" i="2"/>
  <c r="X116" i="2"/>
  <c r="AD116" i="2"/>
  <c r="T116" i="2"/>
  <c r="U6" i="9"/>
  <c r="U12" i="9"/>
  <c r="U21" i="9"/>
  <c r="G115" i="2"/>
  <c r="AB116" i="2"/>
  <c r="AC116" i="2"/>
  <c r="R116" i="2"/>
  <c r="P6" i="9"/>
  <c r="P12" i="9"/>
  <c r="P21" i="9"/>
  <c r="AF116" i="2"/>
  <c r="L6" i="9"/>
  <c r="L12" i="9"/>
  <c r="L21" i="9"/>
  <c r="E6" i="9"/>
  <c r="E12" i="9"/>
  <c r="F116" i="2"/>
  <c r="F118" i="2"/>
  <c r="C113" i="2"/>
  <c r="C114" i="2"/>
  <c r="D6" i="9"/>
  <c r="D12" i="9"/>
  <c r="D120" i="2"/>
  <c r="C9" i="6"/>
  <c r="C20" i="9"/>
  <c r="G118" i="2"/>
  <c r="G120" i="2"/>
  <c r="F9" i="6"/>
  <c r="D20" i="9"/>
  <c r="D21" i="9"/>
  <c r="E20" i="9"/>
  <c r="E21" i="9"/>
  <c r="E120" i="2"/>
  <c r="D9" i="6"/>
  <c r="F120" i="2"/>
  <c r="E9" i="6"/>
  <c r="D122" i="2"/>
  <c r="C7" i="9"/>
  <c r="C13" i="9"/>
  <c r="C23" i="9"/>
  <c r="F7" i="9"/>
  <c r="F13" i="9"/>
  <c r="F23" i="9"/>
  <c r="E7" i="9"/>
  <c r="E13" i="9"/>
  <c r="E23" i="9"/>
  <c r="D7" i="9"/>
  <c r="D13" i="9"/>
  <c r="D23" i="9"/>
  <c r="C129" i="2"/>
  <c r="C135" i="2"/>
  <c r="B10" i="21"/>
  <c r="B12" i="21"/>
  <c r="B16" i="21"/>
  <c r="G22" i="8"/>
  <c r="F22" i="8"/>
  <c r="C22" i="8"/>
  <c r="E22" i="8"/>
  <c r="D22" i="8"/>
  <c r="C14" i="8"/>
  <c r="E122" i="2"/>
  <c r="D14" i="8"/>
  <c r="G122" i="2"/>
  <c r="F14" i="8"/>
  <c r="F122" i="2"/>
  <c r="E14" i="8"/>
  <c r="H44" i="2"/>
  <c r="C24" i="8"/>
  <c r="C25" i="8"/>
  <c r="D24" i="8"/>
  <c r="D25" i="8"/>
  <c r="E24" i="8"/>
  <c r="E25" i="8"/>
  <c r="F24" i="8"/>
  <c r="F25" i="8"/>
  <c r="H43" i="2"/>
  <c r="H115" i="2"/>
  <c r="H118" i="2"/>
  <c r="I44" i="2"/>
  <c r="J44" i="2"/>
  <c r="G15" i="9"/>
  <c r="G20" i="9"/>
  <c r="I43" i="2"/>
  <c r="G16" i="8"/>
  <c r="D13" i="2"/>
  <c r="D135" i="2"/>
  <c r="E13" i="2"/>
  <c r="F13" i="2"/>
  <c r="C5" i="8"/>
  <c r="G13" i="2"/>
  <c r="I115" i="2"/>
  <c r="I118" i="2"/>
  <c r="I122" i="2"/>
  <c r="H14" i="8"/>
  <c r="H25" i="8"/>
  <c r="H120" i="2"/>
  <c r="H122" i="2"/>
  <c r="G14" i="8"/>
  <c r="G24" i="8"/>
  <c r="H15" i="9"/>
  <c r="H20" i="9"/>
  <c r="AF13" i="2"/>
  <c r="J43" i="2"/>
  <c r="H16" i="8"/>
  <c r="I15" i="9"/>
  <c r="I20" i="9"/>
  <c r="K44" i="2"/>
  <c r="J115" i="2"/>
  <c r="J118" i="2"/>
  <c r="G7" i="9"/>
  <c r="G13" i="9"/>
  <c r="G23" i="9"/>
  <c r="G9" i="6"/>
  <c r="I120" i="2"/>
  <c r="G25" i="8"/>
  <c r="H24" i="8"/>
  <c r="AE13" i="2"/>
  <c r="AD12" i="8"/>
  <c r="V13" i="2"/>
  <c r="U12" i="8"/>
  <c r="U13" i="2"/>
  <c r="U135" i="2"/>
  <c r="J13" i="2"/>
  <c r="J135" i="2"/>
  <c r="E135" i="2"/>
  <c r="C12" i="8"/>
  <c r="C20" i="8"/>
  <c r="O13" i="2"/>
  <c r="N12" i="8"/>
  <c r="AB13" i="2"/>
  <c r="AA12" i="8"/>
  <c r="S13" i="2"/>
  <c r="R12" i="8"/>
  <c r="Z13" i="2"/>
  <c r="Z135" i="2"/>
  <c r="AG13" i="2"/>
  <c r="AF12" i="8"/>
  <c r="AC13" i="2"/>
  <c r="AB12" i="8"/>
  <c r="AA13" i="2"/>
  <c r="AA135" i="2"/>
  <c r="Q13" i="2"/>
  <c r="P12" i="8"/>
  <c r="P13" i="2"/>
  <c r="O12" i="8"/>
  <c r="G135" i="2"/>
  <c r="E12" i="8"/>
  <c r="W13" i="2"/>
  <c r="V12" i="8"/>
  <c r="T13" i="2"/>
  <c r="T135" i="2"/>
  <c r="Y13" i="2"/>
  <c r="X12" i="8"/>
  <c r="N13" i="2"/>
  <c r="M12" i="8"/>
  <c r="L13" i="2"/>
  <c r="K12" i="8"/>
  <c r="R13" i="2"/>
  <c r="R135" i="2"/>
  <c r="I13" i="2"/>
  <c r="H12" i="8"/>
  <c r="X13" i="2"/>
  <c r="X135" i="2"/>
  <c r="AD13" i="2"/>
  <c r="AC12" i="8"/>
  <c r="K13" i="2"/>
  <c r="K135" i="2"/>
  <c r="M13" i="2"/>
  <c r="L12" i="8"/>
  <c r="H13" i="2"/>
  <c r="G12" i="8"/>
  <c r="J120" i="2"/>
  <c r="I9" i="6"/>
  <c r="J122" i="2"/>
  <c r="I14" i="8"/>
  <c r="J15" i="9"/>
  <c r="J20" i="9"/>
  <c r="L44" i="2"/>
  <c r="K115" i="2"/>
  <c r="K118" i="2"/>
  <c r="K122" i="2"/>
  <c r="J14" i="8"/>
  <c r="K43" i="2"/>
  <c r="I16" i="8"/>
  <c r="AF135" i="2"/>
  <c r="AE12" i="8"/>
  <c r="H7" i="9"/>
  <c r="H13" i="9"/>
  <c r="H23" i="9"/>
  <c r="H9" i="6"/>
  <c r="S12" i="8"/>
  <c r="S20" i="8"/>
  <c r="Y135" i="2"/>
  <c r="AB135" i="2"/>
  <c r="I135" i="2"/>
  <c r="O135" i="2"/>
  <c r="Q135" i="2"/>
  <c r="AE135" i="2"/>
  <c r="N135" i="2"/>
  <c r="C19" i="8"/>
  <c r="P135" i="2"/>
  <c r="V135" i="2"/>
  <c r="W12" i="8"/>
  <c r="W20" i="8"/>
  <c r="Z12" i="8"/>
  <c r="Z20" i="8"/>
  <c r="E6" i="7"/>
  <c r="D5" i="8"/>
  <c r="E5" i="8"/>
  <c r="F5" i="8"/>
  <c r="G5" i="8"/>
  <c r="H5" i="8"/>
  <c r="I5" i="8"/>
  <c r="J5" i="8"/>
  <c r="K5" i="8"/>
  <c r="L5" i="8"/>
  <c r="B20" i="21"/>
  <c r="I12" i="8"/>
  <c r="I20" i="8"/>
  <c r="S135" i="2"/>
  <c r="D12" i="8"/>
  <c r="D19" i="8"/>
  <c r="L135" i="2"/>
  <c r="Y12" i="8"/>
  <c r="Y20" i="8"/>
  <c r="Q12" i="8"/>
  <c r="Q20" i="8"/>
  <c r="H135" i="2"/>
  <c r="AG135" i="2"/>
  <c r="B36" i="21"/>
  <c r="J12" i="8"/>
  <c r="J20" i="8"/>
  <c r="AD135" i="2"/>
  <c r="F12" i="8"/>
  <c r="F20" i="8"/>
  <c r="AC135" i="2"/>
  <c r="M135" i="2"/>
  <c r="B23" i="21"/>
  <c r="W135" i="2"/>
  <c r="T12" i="8"/>
  <c r="T20" i="8"/>
  <c r="F135" i="2"/>
  <c r="J25" i="8"/>
  <c r="L43" i="2"/>
  <c r="J16" i="8"/>
  <c r="J24" i="8"/>
  <c r="K120" i="2"/>
  <c r="J9" i="6"/>
  <c r="I25" i="8"/>
  <c r="I24" i="8"/>
  <c r="K15" i="9"/>
  <c r="K20" i="9"/>
  <c r="M44" i="2"/>
  <c r="L115" i="2"/>
  <c r="L118" i="2"/>
  <c r="L120" i="2"/>
  <c r="K9" i="6"/>
  <c r="I7" i="9"/>
  <c r="I13" i="9"/>
  <c r="I23" i="9"/>
  <c r="P20" i="8"/>
  <c r="U20" i="8"/>
  <c r="AA20" i="8"/>
  <c r="AB20" i="8"/>
  <c r="G20" i="8"/>
  <c r="G19" i="8"/>
  <c r="AD20" i="8"/>
  <c r="L20" i="8"/>
  <c r="V20" i="8"/>
  <c r="AF20" i="8"/>
  <c r="K20" i="8"/>
  <c r="E19" i="8"/>
  <c r="E20" i="8"/>
  <c r="R20" i="8"/>
  <c r="O20" i="8"/>
  <c r="N20" i="8"/>
  <c r="M20" i="8"/>
  <c r="AE20" i="8"/>
  <c r="AC20" i="8"/>
  <c r="X20" i="8"/>
  <c r="H19" i="8"/>
  <c r="H20" i="8"/>
  <c r="C17" i="2"/>
  <c r="B25" i="21"/>
  <c r="B29" i="21"/>
  <c r="C66" i="2"/>
  <c r="C68" i="2"/>
  <c r="C71" i="2"/>
  <c r="C73" i="2"/>
  <c r="C75" i="2"/>
  <c r="C27" i="8"/>
  <c r="C6" i="8"/>
  <c r="I19" i="8"/>
  <c r="I27" i="8"/>
  <c r="I6" i="8"/>
  <c r="M5" i="8"/>
  <c r="N5" i="8"/>
  <c r="O5" i="8"/>
  <c r="P5" i="8"/>
  <c r="Q5" i="8"/>
  <c r="R5" i="8"/>
  <c r="S5" i="8"/>
  <c r="T5" i="8"/>
  <c r="U5" i="8"/>
  <c r="V5" i="8"/>
  <c r="W5" i="8"/>
  <c r="X5" i="8"/>
  <c r="Y5" i="8"/>
  <c r="Z5" i="8"/>
  <c r="AA5" i="8"/>
  <c r="AB5" i="8"/>
  <c r="AC5" i="8"/>
  <c r="AD5" i="8"/>
  <c r="AE5" i="8"/>
  <c r="AF5" i="8"/>
  <c r="B33" i="21"/>
  <c r="B38" i="21"/>
  <c r="B42" i="21"/>
  <c r="F19" i="8"/>
  <c r="F27" i="8"/>
  <c r="F6" i="8"/>
  <c r="D20" i="8"/>
  <c r="D27" i="8"/>
  <c r="D6" i="8"/>
  <c r="L122" i="2"/>
  <c r="K14" i="8"/>
  <c r="K25" i="8"/>
  <c r="J19" i="8"/>
  <c r="J27" i="8"/>
  <c r="J6" i="8"/>
  <c r="L15" i="9"/>
  <c r="L20" i="9"/>
  <c r="N44" i="2"/>
  <c r="M115" i="2"/>
  <c r="M118" i="2"/>
  <c r="M120" i="2"/>
  <c r="L9" i="6"/>
  <c r="K16" i="8"/>
  <c r="K19" i="8"/>
  <c r="M43" i="2"/>
  <c r="J7" i="9"/>
  <c r="J13" i="9"/>
  <c r="J23" i="9"/>
  <c r="K7" i="9"/>
  <c r="K13" i="9"/>
  <c r="K23" i="9"/>
  <c r="H27" i="8"/>
  <c r="H6" i="8"/>
  <c r="G27" i="8"/>
  <c r="G6" i="8"/>
  <c r="E27" i="8"/>
  <c r="E6" i="8"/>
  <c r="D111" i="2"/>
  <c r="C18" i="2"/>
  <c r="C7" i="6"/>
  <c r="B6" i="5"/>
  <c r="K24" i="8"/>
  <c r="K27" i="8"/>
  <c r="K6" i="8"/>
  <c r="M122" i="2"/>
  <c r="L14" i="8"/>
  <c r="L7" i="9"/>
  <c r="L13" i="9"/>
  <c r="L23" i="9"/>
  <c r="M15" i="9"/>
  <c r="M20" i="9"/>
  <c r="O44" i="2"/>
  <c r="N115" i="2"/>
  <c r="N118" i="2"/>
  <c r="N43" i="2"/>
  <c r="L16" i="8"/>
  <c r="L19" i="8"/>
  <c r="I111" i="2"/>
  <c r="H5" i="9"/>
  <c r="H11" i="9"/>
  <c r="H18" i="9"/>
  <c r="H25" i="9"/>
  <c r="H18" i="6"/>
  <c r="C5" i="9"/>
  <c r="C11" i="9"/>
  <c r="C6" i="6"/>
  <c r="AB111" i="2"/>
  <c r="AA8" i="6"/>
  <c r="AG111" i="2"/>
  <c r="AF5" i="9"/>
  <c r="AF11" i="9"/>
  <c r="AF18" i="9"/>
  <c r="M111" i="2"/>
  <c r="L8" i="6"/>
  <c r="K111" i="2"/>
  <c r="J5" i="9"/>
  <c r="J11" i="9"/>
  <c r="AE111" i="2"/>
  <c r="AD5" i="9"/>
  <c r="AD11" i="9"/>
  <c r="AF111" i="2"/>
  <c r="AE5" i="9"/>
  <c r="AE11" i="9"/>
  <c r="AE18" i="9"/>
  <c r="Z111" i="2"/>
  <c r="Y8" i="6"/>
  <c r="J111" i="2"/>
  <c r="I5" i="9"/>
  <c r="I11" i="9"/>
  <c r="I18" i="9"/>
  <c r="I25" i="9"/>
  <c r="I18" i="6"/>
  <c r="F111" i="2"/>
  <c r="E5" i="9"/>
  <c r="E11" i="9"/>
  <c r="G111" i="2"/>
  <c r="F8" i="6"/>
  <c r="N111" i="2"/>
  <c r="M5" i="9"/>
  <c r="M11" i="9"/>
  <c r="M18" i="9"/>
  <c r="T111" i="2"/>
  <c r="S5" i="9"/>
  <c r="S11" i="9"/>
  <c r="S18" i="9"/>
  <c r="X111" i="2"/>
  <c r="W8" i="6"/>
  <c r="AC111" i="2"/>
  <c r="AB5" i="9"/>
  <c r="AB11" i="9"/>
  <c r="Y111" i="2"/>
  <c r="X5" i="9"/>
  <c r="X11" i="9"/>
  <c r="S111" i="2"/>
  <c r="R5" i="9"/>
  <c r="R11" i="9"/>
  <c r="R18" i="9"/>
  <c r="W111" i="2"/>
  <c r="V5" i="9"/>
  <c r="V11" i="9"/>
  <c r="V18" i="9"/>
  <c r="O111" i="2"/>
  <c r="N8" i="6"/>
  <c r="P111" i="2"/>
  <c r="O5" i="9"/>
  <c r="O11" i="9"/>
  <c r="O18" i="9"/>
  <c r="H111" i="2"/>
  <c r="G8" i="6"/>
  <c r="R111" i="2"/>
  <c r="Q5" i="9"/>
  <c r="Q11" i="9"/>
  <c r="Q18" i="9"/>
  <c r="E111" i="2"/>
  <c r="D8" i="6"/>
  <c r="AD111" i="2"/>
  <c r="AC5" i="9"/>
  <c r="AC11" i="9"/>
  <c r="AC18" i="9"/>
  <c r="L111" i="2"/>
  <c r="K5" i="9"/>
  <c r="K11" i="9"/>
  <c r="K18" i="9"/>
  <c r="K25" i="9"/>
  <c r="K18" i="6"/>
  <c r="V111" i="2"/>
  <c r="U5" i="9"/>
  <c r="U11" i="9"/>
  <c r="AA111" i="2"/>
  <c r="Z5" i="9"/>
  <c r="Z11" i="9"/>
  <c r="Z18" i="9"/>
  <c r="Q111" i="2"/>
  <c r="P5" i="9"/>
  <c r="P11" i="9"/>
  <c r="U111" i="2"/>
  <c r="T5" i="9"/>
  <c r="T11" i="9"/>
  <c r="C18" i="9"/>
  <c r="C25" i="9"/>
  <c r="C10" i="4"/>
  <c r="H8" i="6"/>
  <c r="H7" i="8"/>
  <c r="N122" i="2"/>
  <c r="M14" i="8"/>
  <c r="L24" i="8"/>
  <c r="L25" i="8"/>
  <c r="N15" i="9"/>
  <c r="N20" i="9"/>
  <c r="P44" i="2"/>
  <c r="O115" i="2"/>
  <c r="O118" i="2"/>
  <c r="O122" i="2"/>
  <c r="N14" i="8"/>
  <c r="O43" i="2"/>
  <c r="M16" i="8"/>
  <c r="M19" i="8"/>
  <c r="N120" i="2"/>
  <c r="M9" i="6"/>
  <c r="AB8" i="6"/>
  <c r="W5" i="9"/>
  <c r="W11" i="9"/>
  <c r="W18" i="9"/>
  <c r="I8" i="6"/>
  <c r="I7" i="8"/>
  <c r="O8" i="6"/>
  <c r="L5" i="9"/>
  <c r="L11" i="9"/>
  <c r="L18" i="9"/>
  <c r="L25" i="9"/>
  <c r="L18" i="6"/>
  <c r="AC8" i="6"/>
  <c r="AF8" i="6"/>
  <c r="N5" i="9"/>
  <c r="N11" i="9"/>
  <c r="N18" i="9"/>
  <c r="M8" i="6"/>
  <c r="AA5" i="9"/>
  <c r="AA11" i="9"/>
  <c r="AA18" i="9"/>
  <c r="Z8" i="6"/>
  <c r="P8" i="6"/>
  <c r="K8" i="6"/>
  <c r="K7" i="8"/>
  <c r="U8" i="6"/>
  <c r="Y5" i="9"/>
  <c r="Y11" i="9"/>
  <c r="Y18" i="9"/>
  <c r="S8" i="6"/>
  <c r="AD8" i="6"/>
  <c r="V8" i="6"/>
  <c r="X8" i="6"/>
  <c r="D5" i="9"/>
  <c r="D11" i="9"/>
  <c r="D18" i="9"/>
  <c r="D25" i="9"/>
  <c r="D18" i="6"/>
  <c r="C8" i="6"/>
  <c r="C12" i="6"/>
  <c r="D7" i="6"/>
  <c r="D12" i="6"/>
  <c r="G5" i="9"/>
  <c r="G11" i="9"/>
  <c r="G18" i="9"/>
  <c r="G25" i="9"/>
  <c r="G18" i="6"/>
  <c r="F5" i="9"/>
  <c r="F11" i="9"/>
  <c r="F18" i="9"/>
  <c r="F25" i="9"/>
  <c r="F18" i="6"/>
  <c r="J8" i="6"/>
  <c r="J7" i="8"/>
  <c r="Q8" i="6"/>
  <c r="R8" i="6"/>
  <c r="E8" i="6"/>
  <c r="E6" i="4"/>
  <c r="T8" i="6"/>
  <c r="AE8" i="6"/>
  <c r="H10" i="4"/>
  <c r="D6" i="4"/>
  <c r="D7" i="8"/>
  <c r="AB18" i="9"/>
  <c r="T18" i="9"/>
  <c r="U18" i="9"/>
  <c r="I10" i="4"/>
  <c r="E18" i="9"/>
  <c r="E25" i="9"/>
  <c r="E18" i="6"/>
  <c r="L7" i="8"/>
  <c r="L6" i="4"/>
  <c r="K10" i="4"/>
  <c r="AD18" i="9"/>
  <c r="P18" i="9"/>
  <c r="G6" i="4"/>
  <c r="G7" i="8"/>
  <c r="X18" i="9"/>
  <c r="F6" i="4"/>
  <c r="F7" i="8"/>
  <c r="J18" i="9"/>
  <c r="J25" i="9"/>
  <c r="J18" i="6"/>
  <c r="C18" i="6"/>
  <c r="C19" i="6"/>
  <c r="C20" i="6"/>
  <c r="C23" i="6"/>
  <c r="L27" i="8"/>
  <c r="L6" i="8"/>
  <c r="H6" i="4"/>
  <c r="O120" i="2"/>
  <c r="N9" i="6"/>
  <c r="O15" i="9"/>
  <c r="O20" i="9"/>
  <c r="Q44" i="2"/>
  <c r="P115" i="2"/>
  <c r="P118" i="2"/>
  <c r="M7" i="9"/>
  <c r="M13" i="9"/>
  <c r="M7" i="8"/>
  <c r="M24" i="8"/>
  <c r="M25" i="8"/>
  <c r="P43" i="2"/>
  <c r="N16" i="8"/>
  <c r="N19" i="8"/>
  <c r="N25" i="8"/>
  <c r="I6" i="4"/>
  <c r="L10" i="4"/>
  <c r="J6" i="4"/>
  <c r="K6" i="4"/>
  <c r="E7" i="8"/>
  <c r="D10" i="4"/>
  <c r="F10" i="4"/>
  <c r="H10" i="6"/>
  <c r="G10" i="6"/>
  <c r="C6" i="4"/>
  <c r="K10" i="6"/>
  <c r="B7" i="5"/>
  <c r="B8" i="5"/>
  <c r="B10" i="5"/>
  <c r="J10" i="6"/>
  <c r="C10" i="6"/>
  <c r="L10" i="6"/>
  <c r="I10" i="6"/>
  <c r="C7" i="8"/>
  <c r="D10" i="6"/>
  <c r="F10" i="6"/>
  <c r="E10" i="6"/>
  <c r="J10" i="4"/>
  <c r="C7" i="5"/>
  <c r="E7" i="6"/>
  <c r="E12" i="6"/>
  <c r="G10" i="4"/>
  <c r="E10" i="4"/>
  <c r="D19" i="6"/>
  <c r="D20" i="6"/>
  <c r="N7" i="9"/>
  <c r="N13" i="9"/>
  <c r="N23" i="9"/>
  <c r="M10" i="6"/>
  <c r="N10" i="6"/>
  <c r="M6" i="4"/>
  <c r="N24" i="8"/>
  <c r="N27" i="8"/>
  <c r="N6" i="8"/>
  <c r="M27" i="8"/>
  <c r="M6" i="8"/>
  <c r="Q43" i="2"/>
  <c r="O16" i="8"/>
  <c r="O19" i="8"/>
  <c r="N6" i="4"/>
  <c r="N7" i="8"/>
  <c r="P122" i="2"/>
  <c r="O14" i="8"/>
  <c r="P120" i="2"/>
  <c r="O9" i="6"/>
  <c r="M23" i="9"/>
  <c r="M25" i="9"/>
  <c r="M18" i="6"/>
  <c r="P15" i="9"/>
  <c r="P20" i="9"/>
  <c r="R44" i="2"/>
  <c r="Q115" i="2"/>
  <c r="Q118" i="2"/>
  <c r="E8" i="7"/>
  <c r="D7" i="5"/>
  <c r="F7" i="6"/>
  <c r="F12" i="6"/>
  <c r="E19" i="6"/>
  <c r="E20" i="6"/>
  <c r="F19" i="6"/>
  <c r="F20" i="6"/>
  <c r="G19" i="6"/>
  <c r="G20" i="6"/>
  <c r="H19" i="6"/>
  <c r="H20" i="6"/>
  <c r="I19" i="6"/>
  <c r="I20" i="6"/>
  <c r="J19" i="6"/>
  <c r="J20" i="6"/>
  <c r="K19" i="6"/>
  <c r="K20" i="6"/>
  <c r="L19" i="6"/>
  <c r="L20" i="6"/>
  <c r="M19" i="6"/>
  <c r="M20" i="6"/>
  <c r="N25" i="9"/>
  <c r="N18" i="6"/>
  <c r="Q15" i="9"/>
  <c r="Q20" i="9"/>
  <c r="S44" i="2"/>
  <c r="R115" i="2"/>
  <c r="R118" i="2"/>
  <c r="P16" i="8"/>
  <c r="P19" i="8"/>
  <c r="R43" i="2"/>
  <c r="M10" i="4"/>
  <c r="O7" i="9"/>
  <c r="O13" i="9"/>
  <c r="O25" i="8"/>
  <c r="O24" i="8"/>
  <c r="Q122" i="2"/>
  <c r="P14" i="8"/>
  <c r="Q120" i="2"/>
  <c r="P9" i="6"/>
  <c r="E7" i="5"/>
  <c r="G7" i="6"/>
  <c r="G12" i="6"/>
  <c r="N19" i="6"/>
  <c r="N20" i="6"/>
  <c r="N10" i="4"/>
  <c r="O27" i="8"/>
  <c r="O6" i="8"/>
  <c r="O7" i="8"/>
  <c r="O6" i="4"/>
  <c r="O10" i="6"/>
  <c r="O23" i="9"/>
  <c r="O25" i="9"/>
  <c r="O18" i="6"/>
  <c r="P25" i="8"/>
  <c r="P24" i="8"/>
  <c r="R15" i="9"/>
  <c r="R20" i="9"/>
  <c r="T44" i="2"/>
  <c r="S115" i="2"/>
  <c r="S118" i="2"/>
  <c r="P7" i="9"/>
  <c r="P13" i="9"/>
  <c r="S43" i="2"/>
  <c r="Q16" i="8"/>
  <c r="Q19" i="8"/>
  <c r="R122" i="2"/>
  <c r="Q14" i="8"/>
  <c r="R120" i="2"/>
  <c r="Q9" i="6"/>
  <c r="F7" i="5"/>
  <c r="H7" i="6"/>
  <c r="H12" i="6"/>
  <c r="O19" i="6"/>
  <c r="O20" i="6"/>
  <c r="P27" i="8"/>
  <c r="P6" i="8"/>
  <c r="O10" i="4"/>
  <c r="P23" i="9"/>
  <c r="P25" i="9"/>
  <c r="P18" i="6"/>
  <c r="S120" i="2"/>
  <c r="R9" i="6"/>
  <c r="S122" i="2"/>
  <c r="R14" i="8"/>
  <c r="S15" i="9"/>
  <c r="S20" i="9"/>
  <c r="U44" i="2"/>
  <c r="T115" i="2"/>
  <c r="T118" i="2"/>
  <c r="Q25" i="8"/>
  <c r="Q24" i="8"/>
  <c r="P7" i="8"/>
  <c r="P6" i="4"/>
  <c r="Q7" i="9"/>
  <c r="Q13" i="9"/>
  <c r="Q10" i="6"/>
  <c r="P10" i="6"/>
  <c r="T43" i="2"/>
  <c r="R16" i="8"/>
  <c r="R19" i="8"/>
  <c r="G7" i="5"/>
  <c r="I7" i="6"/>
  <c r="I12" i="6"/>
  <c r="P19" i="6"/>
  <c r="P20" i="6"/>
  <c r="Q27" i="8"/>
  <c r="Q6" i="8"/>
  <c r="U43" i="2"/>
  <c r="S16" i="8"/>
  <c r="S19" i="8"/>
  <c r="Q6" i="4"/>
  <c r="Q7" i="8"/>
  <c r="P10" i="4"/>
  <c r="Q23" i="9"/>
  <c r="Q25" i="9"/>
  <c r="Q18" i="6"/>
  <c r="T122" i="2"/>
  <c r="S14" i="8"/>
  <c r="T120" i="2"/>
  <c r="S9" i="6"/>
  <c r="R25" i="8"/>
  <c r="R24" i="8"/>
  <c r="R7" i="9"/>
  <c r="R13" i="9"/>
  <c r="T15" i="9"/>
  <c r="T20" i="9"/>
  <c r="V44" i="2"/>
  <c r="U115" i="2"/>
  <c r="U118" i="2"/>
  <c r="J7" i="6"/>
  <c r="J12" i="6"/>
  <c r="H7" i="5"/>
  <c r="Q19" i="6"/>
  <c r="Q20" i="6"/>
  <c r="R27" i="8"/>
  <c r="R6" i="8"/>
  <c r="U120" i="2"/>
  <c r="T9" i="6"/>
  <c r="U122" i="2"/>
  <c r="T14" i="8"/>
  <c r="S24" i="8"/>
  <c r="S25" i="8"/>
  <c r="T16" i="8"/>
  <c r="T19" i="8"/>
  <c r="V43" i="2"/>
  <c r="U15" i="9"/>
  <c r="U20" i="9"/>
  <c r="W44" i="2"/>
  <c r="V115" i="2"/>
  <c r="V118" i="2"/>
  <c r="Q10" i="4"/>
  <c r="R23" i="9"/>
  <c r="R25" i="9"/>
  <c r="R18" i="6"/>
  <c r="R6" i="4"/>
  <c r="R7" i="8"/>
  <c r="S7" i="9"/>
  <c r="S13" i="9"/>
  <c r="S10" i="6"/>
  <c r="R10" i="6"/>
  <c r="I7" i="5"/>
  <c r="K7" i="6"/>
  <c r="K12" i="6"/>
  <c r="R19" i="6"/>
  <c r="R20" i="6"/>
  <c r="S27" i="8"/>
  <c r="S6" i="8"/>
  <c r="V15" i="9"/>
  <c r="V20" i="9"/>
  <c r="X44" i="2"/>
  <c r="W115" i="2"/>
  <c r="W118" i="2"/>
  <c r="S7" i="8"/>
  <c r="S6" i="4"/>
  <c r="S23" i="9"/>
  <c r="S25" i="9"/>
  <c r="S18" i="6"/>
  <c r="R10" i="4"/>
  <c r="V120" i="2"/>
  <c r="U9" i="6"/>
  <c r="V122" i="2"/>
  <c r="U14" i="8"/>
  <c r="T25" i="8"/>
  <c r="T24" i="8"/>
  <c r="T7" i="9"/>
  <c r="T13" i="9"/>
  <c r="W43" i="2"/>
  <c r="U16" i="8"/>
  <c r="U19" i="8"/>
  <c r="J7" i="5"/>
  <c r="L7" i="6"/>
  <c r="L12" i="6"/>
  <c r="S19" i="6"/>
  <c r="S20" i="6"/>
  <c r="T27" i="8"/>
  <c r="T6" i="8"/>
  <c r="S10" i="4"/>
  <c r="U7" i="9"/>
  <c r="U13" i="9"/>
  <c r="W15" i="9"/>
  <c r="W20" i="9"/>
  <c r="Y44" i="2"/>
  <c r="X115" i="2"/>
  <c r="X118" i="2"/>
  <c r="X43" i="2"/>
  <c r="V16" i="8"/>
  <c r="V19" i="8"/>
  <c r="T23" i="9"/>
  <c r="T25" i="9"/>
  <c r="T18" i="6"/>
  <c r="U24" i="8"/>
  <c r="U25" i="8"/>
  <c r="W120" i="2"/>
  <c r="V9" i="6"/>
  <c r="W122" i="2"/>
  <c r="V14" i="8"/>
  <c r="T6" i="4"/>
  <c r="T7" i="8"/>
  <c r="T10" i="6"/>
  <c r="M7" i="6"/>
  <c r="M12" i="6"/>
  <c r="K7" i="5"/>
  <c r="T19" i="6"/>
  <c r="T20" i="6"/>
  <c r="U27" i="8"/>
  <c r="U6" i="8"/>
  <c r="V24" i="8"/>
  <c r="V25" i="8"/>
  <c r="Y43" i="2"/>
  <c r="W16" i="8"/>
  <c r="W19" i="8"/>
  <c r="V7" i="9"/>
  <c r="V13" i="9"/>
  <c r="X122" i="2"/>
  <c r="W14" i="8"/>
  <c r="X120" i="2"/>
  <c r="W9" i="6"/>
  <c r="X15" i="9"/>
  <c r="X20" i="9"/>
  <c r="Z44" i="2"/>
  <c r="Y115" i="2"/>
  <c r="Y118" i="2"/>
  <c r="U6" i="4"/>
  <c r="U7" i="8"/>
  <c r="U10" i="6"/>
  <c r="T10" i="4"/>
  <c r="U23" i="9"/>
  <c r="U25" i="9"/>
  <c r="U18" i="6"/>
  <c r="U19" i="6"/>
  <c r="U20" i="6"/>
  <c r="L7" i="5"/>
  <c r="N7" i="6"/>
  <c r="N12" i="6"/>
  <c r="V27" i="8"/>
  <c r="V6" i="8"/>
  <c r="U10" i="4"/>
  <c r="V23" i="9"/>
  <c r="V25" i="9"/>
  <c r="V18" i="6"/>
  <c r="V19" i="6"/>
  <c r="V20" i="6"/>
  <c r="V7" i="8"/>
  <c r="V6" i="4"/>
  <c r="Y122" i="2"/>
  <c r="X14" i="8"/>
  <c r="Y120" i="2"/>
  <c r="X9" i="6"/>
  <c r="Y15" i="9"/>
  <c r="Y20" i="9"/>
  <c r="AA44" i="2"/>
  <c r="Z115" i="2"/>
  <c r="Z118" i="2"/>
  <c r="Z43" i="2"/>
  <c r="X16" i="8"/>
  <c r="X19" i="8"/>
  <c r="V10" i="6"/>
  <c r="W7" i="9"/>
  <c r="W13" i="9"/>
  <c r="W10" i="6"/>
  <c r="W24" i="8"/>
  <c r="W25" i="8"/>
  <c r="M7" i="5"/>
  <c r="O7" i="6"/>
  <c r="O12" i="6"/>
  <c r="W27" i="8"/>
  <c r="W6" i="8"/>
  <c r="Z15" i="9"/>
  <c r="Z20" i="9"/>
  <c r="AB44" i="2"/>
  <c r="AA115" i="2"/>
  <c r="AA118" i="2"/>
  <c r="AA43" i="2"/>
  <c r="Y16" i="8"/>
  <c r="Y19" i="8"/>
  <c r="V10" i="4"/>
  <c r="Z120" i="2"/>
  <c r="Y9" i="6"/>
  <c r="Z122" i="2"/>
  <c r="Y14" i="8"/>
  <c r="X7" i="9"/>
  <c r="X13" i="9"/>
  <c r="W23" i="9"/>
  <c r="W25" i="9"/>
  <c r="W18" i="6"/>
  <c r="W19" i="6"/>
  <c r="W20" i="6"/>
  <c r="W7" i="8"/>
  <c r="W6" i="4"/>
  <c r="X24" i="8"/>
  <c r="X25" i="8"/>
  <c r="N7" i="5"/>
  <c r="P7" i="6"/>
  <c r="P12" i="6"/>
  <c r="X27" i="8"/>
  <c r="X6" i="8"/>
  <c r="W10" i="4"/>
  <c r="X6" i="4"/>
  <c r="X7" i="8"/>
  <c r="X10" i="6"/>
  <c r="AA120" i="2"/>
  <c r="Z9" i="6"/>
  <c r="AA122" i="2"/>
  <c r="Z14" i="8"/>
  <c r="X23" i="9"/>
  <c r="X25" i="9"/>
  <c r="X18" i="6"/>
  <c r="X19" i="6"/>
  <c r="X20" i="6"/>
  <c r="Z16" i="8"/>
  <c r="Z19" i="8"/>
  <c r="AB43" i="2"/>
  <c r="Y24" i="8"/>
  <c r="Y25" i="8"/>
  <c r="AA15" i="9"/>
  <c r="AA20" i="9"/>
  <c r="AC44" i="2"/>
  <c r="AB115" i="2"/>
  <c r="AB118" i="2"/>
  <c r="Y7" i="9"/>
  <c r="Y13" i="9"/>
  <c r="O7" i="5"/>
  <c r="Q7" i="6"/>
  <c r="Q12" i="6"/>
  <c r="Y27" i="8"/>
  <c r="Y6" i="8"/>
  <c r="Y7" i="8"/>
  <c r="Y6" i="4"/>
  <c r="Y10" i="6"/>
  <c r="AC43" i="2"/>
  <c r="AA16" i="8"/>
  <c r="AA19" i="8"/>
  <c r="AB120" i="2"/>
  <c r="AA9" i="6"/>
  <c r="AB122" i="2"/>
  <c r="AA14" i="8"/>
  <c r="X10" i="4"/>
  <c r="AB15" i="9"/>
  <c r="AB20" i="9"/>
  <c r="AD44" i="2"/>
  <c r="AC115" i="2"/>
  <c r="AC118" i="2"/>
  <c r="Z7" i="9"/>
  <c r="Z13" i="9"/>
  <c r="Y23" i="9"/>
  <c r="Y25" i="9"/>
  <c r="Y18" i="6"/>
  <c r="Y19" i="6"/>
  <c r="Y20" i="6"/>
  <c r="Z25" i="8"/>
  <c r="Z24" i="8"/>
  <c r="P7" i="5"/>
  <c r="R7" i="6"/>
  <c r="R12" i="6"/>
  <c r="Z27" i="8"/>
  <c r="Z6" i="8"/>
  <c r="AA7" i="9"/>
  <c r="AA13" i="9"/>
  <c r="Z6" i="4"/>
  <c r="Z7" i="8"/>
  <c r="Z10" i="6"/>
  <c r="Z23" i="9"/>
  <c r="Z25" i="9"/>
  <c r="Z18" i="6"/>
  <c r="Z19" i="6"/>
  <c r="Z20" i="6"/>
  <c r="AD43" i="2"/>
  <c r="AB16" i="8"/>
  <c r="AB19" i="8"/>
  <c r="AA25" i="8"/>
  <c r="AA24" i="8"/>
  <c r="AC15" i="9"/>
  <c r="AC20" i="9"/>
  <c r="AE44" i="2"/>
  <c r="AD115" i="2"/>
  <c r="AD118" i="2"/>
  <c r="AC120" i="2"/>
  <c r="AB9" i="6"/>
  <c r="AC122" i="2"/>
  <c r="AB14" i="8"/>
  <c r="Y10" i="4"/>
  <c r="Q7" i="5"/>
  <c r="S7" i="6"/>
  <c r="S12" i="6"/>
  <c r="AA27" i="8"/>
  <c r="AA6" i="8"/>
  <c r="AD120" i="2"/>
  <c r="AC9" i="6"/>
  <c r="AD122" i="2"/>
  <c r="AC14" i="8"/>
  <c r="AD15" i="9"/>
  <c r="AD20" i="9"/>
  <c r="AF44" i="2"/>
  <c r="AE115" i="2"/>
  <c r="AE118" i="2"/>
  <c r="AA6" i="4"/>
  <c r="AA7" i="8"/>
  <c r="AA10" i="6"/>
  <c r="AA23" i="9"/>
  <c r="AA25" i="9"/>
  <c r="AA18" i="6"/>
  <c r="AA19" i="6"/>
  <c r="AA20" i="6"/>
  <c r="Z10" i="4"/>
  <c r="AB24" i="8"/>
  <c r="AB25" i="8"/>
  <c r="AB7" i="9"/>
  <c r="AB13" i="9"/>
  <c r="AE43" i="2"/>
  <c r="AC16" i="8"/>
  <c r="AC19" i="8"/>
  <c r="R7" i="5"/>
  <c r="T7" i="6"/>
  <c r="T12" i="6"/>
  <c r="AB27" i="8"/>
  <c r="AB6" i="8"/>
  <c r="AE15" i="9"/>
  <c r="AE20" i="9"/>
  <c r="AG44" i="2"/>
  <c r="AF115" i="2"/>
  <c r="AF118" i="2"/>
  <c r="AE120" i="2"/>
  <c r="AD9" i="6"/>
  <c r="AE122" i="2"/>
  <c r="AD14" i="8"/>
  <c r="AC24" i="8"/>
  <c r="AC25" i="8"/>
  <c r="AA10" i="4"/>
  <c r="AC7" i="9"/>
  <c r="AC13" i="9"/>
  <c r="AD16" i="8"/>
  <c r="AD19" i="8"/>
  <c r="AF43" i="2"/>
  <c r="AB6" i="4"/>
  <c r="AB7" i="8"/>
  <c r="AB10" i="6"/>
  <c r="AB23" i="9"/>
  <c r="AB25" i="9"/>
  <c r="AB18" i="6"/>
  <c r="AB19" i="6"/>
  <c r="AB20" i="6"/>
  <c r="U7" i="6"/>
  <c r="U12" i="6"/>
  <c r="S7" i="5"/>
  <c r="AC27" i="8"/>
  <c r="AC6" i="8"/>
  <c r="AC23" i="9"/>
  <c r="AC25" i="9"/>
  <c r="AC18" i="6"/>
  <c r="AC19" i="6"/>
  <c r="AC20" i="6"/>
  <c r="AC6" i="4"/>
  <c r="AC7" i="8"/>
  <c r="AC10" i="6"/>
  <c r="AD24" i="8"/>
  <c r="AD25" i="8"/>
  <c r="AF15" i="9"/>
  <c r="AF20" i="9"/>
  <c r="AG115" i="2"/>
  <c r="AG118" i="2"/>
  <c r="AD7" i="9"/>
  <c r="AD13" i="9"/>
  <c r="AF122" i="2"/>
  <c r="AE14" i="8"/>
  <c r="AF120" i="2"/>
  <c r="AE9" i="6"/>
  <c r="AG43" i="2"/>
  <c r="AE16" i="8"/>
  <c r="AE19" i="8"/>
  <c r="AB10" i="4"/>
  <c r="V7" i="6"/>
  <c r="V12" i="6"/>
  <c r="T7" i="5"/>
  <c r="AD27" i="8"/>
  <c r="AD6" i="8"/>
  <c r="AC10" i="4"/>
  <c r="AD6" i="4"/>
  <c r="AD7" i="8"/>
  <c r="AD10" i="6"/>
  <c r="AD23" i="9"/>
  <c r="AD25" i="9"/>
  <c r="AD18" i="6"/>
  <c r="AD19" i="6"/>
  <c r="AD20" i="6"/>
  <c r="AG120" i="2"/>
  <c r="AF9" i="6"/>
  <c r="AG122" i="2"/>
  <c r="AF14" i="8"/>
  <c r="AE7" i="9"/>
  <c r="AE13" i="9"/>
  <c r="AE24" i="8"/>
  <c r="AE25" i="8"/>
  <c r="AF16" i="8"/>
  <c r="AF19" i="8"/>
  <c r="W7" i="6"/>
  <c r="W12" i="6"/>
  <c r="U7" i="5"/>
  <c r="AE27" i="8"/>
  <c r="AE6" i="8"/>
  <c r="AD10" i="4"/>
  <c r="AE7" i="8"/>
  <c r="AE6" i="4"/>
  <c r="AE10" i="6"/>
  <c r="AF7" i="9"/>
  <c r="AF13" i="9"/>
  <c r="AE23" i="9"/>
  <c r="AE25" i="9"/>
  <c r="AE18" i="6"/>
  <c r="AE19" i="6"/>
  <c r="AE20" i="6"/>
  <c r="AF25" i="8"/>
  <c r="AF24" i="8"/>
  <c r="V7" i="5"/>
  <c r="X7" i="6"/>
  <c r="X12" i="6"/>
  <c r="AF27" i="8"/>
  <c r="AF6" i="8"/>
  <c r="AF7" i="8"/>
  <c r="AF6" i="4"/>
  <c r="AF10" i="6"/>
  <c r="AE10" i="4"/>
  <c r="AF23" i="9"/>
  <c r="AF25" i="9"/>
  <c r="AF18" i="6"/>
  <c r="AF19" i="6"/>
  <c r="AF20" i="6"/>
  <c r="Y7" i="6"/>
  <c r="Y12" i="6"/>
  <c r="W7" i="5"/>
  <c r="AF10" i="4"/>
  <c r="X7" i="5"/>
  <c r="Z7" i="6"/>
  <c r="Z12" i="6"/>
  <c r="Y7" i="5"/>
  <c r="AA7" i="6"/>
  <c r="AA12" i="6"/>
  <c r="Z7" i="5"/>
  <c r="AB7" i="6"/>
  <c r="AB12" i="6"/>
  <c r="AA7" i="5"/>
  <c r="AC7" i="6"/>
  <c r="AC12" i="6"/>
  <c r="AB7" i="5"/>
  <c r="AD7" i="6"/>
  <c r="AD12" i="6"/>
  <c r="AC7" i="5"/>
  <c r="AE7" i="6"/>
  <c r="AE12" i="6"/>
  <c r="AD7" i="5"/>
  <c r="AF7" i="6"/>
  <c r="AF12" i="6"/>
  <c r="AE7" i="5"/>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<sst xmlns="http://schemas.openxmlformats.org/spreadsheetml/2006/main" count="277" uniqueCount="205">
  <si>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</si>
  <si>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</si>
  <si>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</si>
  <si>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</si>
  <si>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</si>
  <si>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</si>
  <si>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</si>
  <si>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</si>
  <si>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</si>
  <si>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</si>
  <si>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</si>
  <si>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</si>
  <si>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</si>
  <si>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</si>
  <si>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</si>
  <si>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</si>
  <si>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</si>
  <si>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</si>
  <si>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</si>
  <si>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</si>
  <si>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</si>
  <si>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</si>
  <si>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</si>
  <si>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</si>
  <si>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</si>
  <si>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Growth in debt</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</si>
  <si>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</si>
  <si>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</si>
  <si>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</si>
  <si>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</si>
  <si>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</si>
  <si>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</si>
  <si>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</si>
  <si>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</si>
  <si>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</si>
  <si>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</si>
  <si>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</si>
  <si>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</si>
  <si>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</si>
  <si>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</si>
  <si>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</si>
  <si>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</si>
  <si>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</si>
  <si>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</si>
  <si>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</si>
  <si>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</si>
  <si>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</si>
  <si>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</si>
  <si>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</si>
  <si>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</si>
  <si>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</si>
  <si>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</si>
  <si>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</si>
  <si>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</si>
  <si>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</si>
  <si>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</si>
  <si>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</si>
  <si>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</si>
  <si>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</si>
  <si>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</si>
  <si>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</si>
  <si>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</si>
  <si>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</si>
  <si>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</si>
  <si>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</si>
  <si>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</si>
  <si>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</si>
  <si>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</si>
  <si>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</si>
  <si>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</si>
  <si>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</si>
  <si>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</si>
  <si>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</si>
  <si>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</si>
  <si>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</si>
  <si>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</si>
  <si>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</si>
  <si>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</si>
  <si>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</si>
  <si>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</si>
  <si>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</si>
  <si>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</si>
  <si>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</si>
  <si>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</si>
  <si>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</si>
  <si>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</si>
  <si>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</si>
  <si>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</si>
  <si>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</si>
  <si>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</si>
  <si>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</si>
  <si>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</si>
  <si>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</si>
  <si>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</si>
  <si>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</si>
  <si>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</si>
  <si>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</si>
  <si>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</si>
  <si>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</si>
  <si>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</si>
  <si>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</si>
  <si>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</si>
  <si>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</si>
  <si>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</si>
  <si>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</si>
  <si>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</si>
  <si>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</si>
  <si>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</si>
  <si>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</si>
  <si>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</si>
  <si>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</si>
  <si>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</si>
  <si>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</si>
  <si>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</si>
  <si>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</si>
  <si>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Source</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</si>
  <si>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</si>
  <si>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</si>
  <si>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</si>
  <si>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</si>
  <si>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</si>
  <si>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</si>
  <si>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</si>
  <si>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</si>
  <si>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</si>
  <si>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</si>
  <si>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</si>
  <si>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</si>
  <si>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</si>
  <si>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</si>
  <si>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</si>
  <si>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Based on observed experience from GB for entities of such a scale</t>
  </si>
  <si>
    <t xml:space="preserve">Optimised replacement cost </t>
  </si>
  <si>
    <t>RFI Table A1; Line A1.47</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</si>
  <si>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</si>
  <si>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</si>
  <si>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</si>
  <si>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</si>
  <si>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</si>
  <si>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</si>
  <si>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</si>
  <si>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</si>
  <si>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</si>
  <si>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</si>
  <si>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</si>
  <si>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</si>
  <si>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</si>
  <si>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</si>
  <si>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</si>
  <si>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</si>
  <si>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</si>
  <si>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</si>
  <si>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</si>
  <si>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</si>
  <si>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</si>
  <si>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</si>
  <si>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</si>
  <si>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</si>
  <si>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</si>
  <si>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</si>
  <si>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</si>
  <si>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</si>
  <si>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</si>
  <si>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</si>
  <si>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</si>
  <si>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</si>
  <si>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</si>
  <si>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</si>
  <si>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</si>
  <si>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</si>
  <si>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</si>
  <si>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</si>
  <si>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</si>
  <si>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</si>
  <si>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</si>
  <si>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</si>
  <si>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</si>
  <si>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</si>
  <si>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</si>
  <si>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</si>
  <si>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</si>
  <si>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</si>
  <si>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</si>
  <si>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</si>
  <si>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</si>
  <si>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</si>
  <si>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</si>
  <si>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</si>
  <si>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</si>
  <si>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</si>
  <si>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</si>
  <si>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</si>
  <si>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</si>
  <si>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</si>
  <si>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</si>
  <si>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</si>
  <si>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</si>
  <si>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Clutha District Council Stand-alone Council</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</si>
  <si>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</si>
  <si>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</si>
  <si>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</si>
  <si>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</si>
  <si>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</si>
  <si>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Consistent with reaching a percentage split of 30% for short-medium life assets by 2051. This split is in line with international experience</t>
  </si>
  <si>
    <t>Consistent with reaching a percentage split of 70% for long life assets by 2051. This split is in line with international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</si>
</sst>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2">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8" fillId="0" borderId="0" xfId="0" applyFont="1" applyAlignment="1">
      <alignment horizontal="left" vertical="center" wrapText="1"/>
    </xf>
    <xf numFmtId="0" fontId="0" fillId="0" borderId="0" xfId="0" applyAlignment="1">
      <alignment vertical="center"/>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80" zoomScaleNormal="8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95</v>
      </c>
      <c r="D1" s="61"/>
      <c r="E1" s="61"/>
      <c r="F1" s="61"/>
    </row>
    <row r="2" spans="1:6" x14ac:dyDescent="0.35">
      <c r="A2" s="63" t="s">
        <v>96</v>
      </c>
      <c r="B2" s="60" t="s">
        <v>197</v>
      </c>
      <c r="C2" s="171"/>
      <c r="D2" s="60"/>
      <c r="E2" s="14"/>
      <c r="F2" s="60"/>
    </row>
    <row r="3" spans="1:6" x14ac:dyDescent="0.35">
      <c r="C3" s="14"/>
      <c r="D3" s="14"/>
    </row>
    <row r="4" spans="1:6" x14ac:dyDescent="0.35">
      <c r="A4" s="14" t="s">
        <v>159</v>
      </c>
      <c r="B4" s="14"/>
      <c r="D4" s="14"/>
    </row>
    <row r="6" spans="1:6" ht="21" x14ac:dyDescent="0.5">
      <c r="A6" s="15" t="s">
        <v>168</v>
      </c>
    </row>
    <row r="7" spans="1:6" ht="241" customHeight="1" x14ac:dyDescent="0.35">
      <c r="A7" s="107">
        <v>1</v>
      </c>
      <c r="B7" s="104" t="s">
        <v>169</v>
      </c>
    </row>
    <row r="8" spans="1:6" ht="408" customHeight="1" x14ac:dyDescent="0.35">
      <c r="A8" s="107">
        <v>2</v>
      </c>
      <c r="B8" s="104" t="s">
        <v>190</v>
      </c>
    </row>
    <row r="9" spans="1:6" ht="195.5" customHeight="1" x14ac:dyDescent="0.35">
      <c r="A9" s="107">
        <f>A8+1</f>
        <v>3</v>
      </c>
      <c r="B9" s="105" t="s">
        <v>173</v>
      </c>
    </row>
    <row r="10" spans="1:6" ht="236" customHeight="1" x14ac:dyDescent="0.35">
      <c r="A10" s="107">
        <v>4</v>
      </c>
      <c r="B10" s="105" t="s">
        <v>174</v>
      </c>
    </row>
    <row r="11" spans="1:6" ht="21" x14ac:dyDescent="0.35">
      <c r="A11" s="107">
        <f>A10+1</f>
        <v>5</v>
      </c>
      <c r="B11" s="63" t="s">
        <v>188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165</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191</v>
      </c>
      <c r="B6" s="1">
        <f>Assumptions!C17</f>
        <v>376395105.67500001</v>
      </c>
      <c r="C6" s="12">
        <f ca="1">B6+Depreciation!C18+'Cash Flow'!C13</f>
        <v>380077075.06862664</v>
      </c>
      <c r="D6" s="1">
        <f ca="1">C6+Depreciation!D18</f>
        <v>419320720.76908576</v>
      </c>
      <c r="E6" s="1">
        <f ca="1">D6+Depreciation!E18</f>
        <v>460601784.89309418</v>
      </c>
      <c r="F6" s="1">
        <f ca="1">E6+Depreciation!F18</f>
        <v>504010476.72656178</v>
      </c>
      <c r="G6" s="1">
        <f ca="1">F6+Depreciation!G18</f>
        <v>549640692.63323092</v>
      </c>
      <c r="H6" s="1">
        <f ca="1">G6+Depreciation!H18</f>
        <v>597590159.65334904</v>
      </c>
      <c r="I6" s="1">
        <f ca="1">H6+Depreciation!I18</f>
        <v>647960584.51708853</v>
      </c>
      <c r="J6" s="1">
        <f ca="1">I6+Depreciation!J18</f>
        <v>700857808.27221251</v>
      </c>
      <c r="K6" s="1">
        <f ca="1">J6+Depreciation!K18</f>
        <v>756391966.73270905</v>
      </c>
      <c r="L6" s="1">
        <f ca="1">K6+Depreciation!L18</f>
        <v>814677656.96259677</v>
      </c>
      <c r="M6" s="1">
        <f ca="1">L6+Depreciation!M18</f>
        <v>875834110.01685321</v>
      </c>
      <c r="N6" s="1">
        <f ca="1">M6+Depreciation!N18</f>
        <v>939985370.16944253</v>
      </c>
      <c r="O6" s="1">
        <f ca="1">N6+Depreciation!O18</f>
        <v>1007260480.8667305</v>
      </c>
      <c r="P6" s="1">
        <f ca="1">O6+Depreciation!P18</f>
        <v>1077793677.6531816</v>
      </c>
      <c r="Q6" s="1">
        <f ca="1">P6+Depreciation!Q18</f>
        <v>1151724588.3251481</v>
      </c>
      <c r="R6" s="1">
        <f ca="1">Q6+Depreciation!R18</f>
        <v>1229198440.5777938</v>
      </c>
      <c r="S6" s="1">
        <f ca="1">R6+Depreciation!S18</f>
        <v>1310366277.419754</v>
      </c>
      <c r="T6" s="1">
        <f ca="1">S6+Depreciation!T18</f>
        <v>1395385180.6400383</v>
      </c>
      <c r="U6" s="1">
        <f ca="1">T6+Depreciation!U18</f>
        <v>1484418502.621933</v>
      </c>
      <c r="V6" s="1">
        <f ca="1">U6+Depreciation!V18</f>
        <v>1577636106.8092837</v>
      </c>
      <c r="W6" s="1">
        <f ca="1">V6+Depreciation!W18</f>
        <v>1675214617.1415303</v>
      </c>
      <c r="X6" s="1">
        <f ca="1">W6+Depreciation!X18</f>
        <v>1777337676.7852581</v>
      </c>
      <c r="Y6" s="1">
        <f ca="1">X6+Depreciation!Y18</f>
        <v>1884196216.5018218</v>
      </c>
      <c r="Z6" s="1">
        <f ca="1">Y6+Depreciation!Z18</f>
        <v>1995988733.0028076</v>
      </c>
      <c r="AA6" s="1">
        <f ca="1">Z6+Depreciation!AA18</f>
        <v>2112921577.6577489</v>
      </c>
      <c r="AB6" s="1">
        <f ca="1">AA6+Depreciation!AB18</f>
        <v>2235209255.9316015</v>
      </c>
      <c r="AC6" s="1">
        <f ca="1">AB6+Depreciation!AC18</f>
        <v>2363074737.9430494</v>
      </c>
      <c r="AD6" s="1">
        <f ca="1">AC6+Depreciation!AD18</f>
        <v>2496749780.5487461</v>
      </c>
      <c r="AE6" s="1">
        <f ca="1">AD6+Depreciation!AE18</f>
        <v>2636475261.3731441</v>
      </c>
      <c r="AF6" s="1"/>
      <c r="AG6" s="1"/>
      <c r="AH6" s="1"/>
      <c r="AI6" s="1"/>
      <c r="AJ6" s="1"/>
      <c r="AK6" s="1"/>
      <c r="AL6" s="1"/>
      <c r="AM6" s="1"/>
      <c r="AN6" s="1"/>
      <c r="AO6" s="1"/>
      <c r="AP6" s="1"/>
    </row>
    <row r="7" spans="1:42" x14ac:dyDescent="0.35">
      <c r="A7" t="s">
        <v>12</v>
      </c>
      <c r="B7" s="1">
        <f>Depreciation!C12</f>
        <v>194911248.69893718</v>
      </c>
      <c r="C7" s="1">
        <f>Depreciation!D12</f>
        <v>202597168.25539634</v>
      </c>
      <c r="D7" s="1">
        <f>Depreciation!E12</f>
        <v>211310658.99879676</v>
      </c>
      <c r="E7" s="1">
        <f>Depreciation!F12</f>
        <v>221109615.10347691</v>
      </c>
      <c r="F7" s="1">
        <f>Depreciation!G12</f>
        <v>232054583.73803744</v>
      </c>
      <c r="G7" s="1">
        <f>Depreciation!H12</f>
        <v>244208875.57333946</v>
      </c>
      <c r="H7" s="1">
        <f>Depreciation!I12</f>
        <v>257638679.64634869</v>
      </c>
      <c r="I7" s="1">
        <f>Depreciation!J12</f>
        <v>272413182.74543905</v>
      </c>
      <c r="J7" s="1">
        <f>Depreciation!K12</f>
        <v>288604693.48890889</v>
      </c>
      <c r="K7" s="1">
        <f>Depreciation!L12</f>
        <v>306288771.2748251</v>
      </c>
      <c r="L7" s="1">
        <f>Depreciation!M12</f>
        <v>325544360.2869029</v>
      </c>
      <c r="M7" s="1">
        <f>Depreciation!N12</f>
        <v>346453928.74796391</v>
      </c>
      <c r="N7" s="1">
        <f>Depreciation!O12</f>
        <v>369103613.61959457</v>
      </c>
      <c r="O7" s="1">
        <f>Depreciation!P12</f>
        <v>393583370.95396733</v>
      </c>
      <c r="P7" s="1">
        <f>Depreciation!Q12</f>
        <v>419987132.1113891</v>
      </c>
      <c r="Q7" s="1">
        <f>Depreciation!R12</f>
        <v>448412966.06502461</v>
      </c>
      <c r="R7" s="1">
        <f>Depreciation!S12</f>
        <v>478963248.02240634</v>
      </c>
      <c r="S7" s="1">
        <f>Depreciation!T12</f>
        <v>511744834.60180551</v>
      </c>
      <c r="T7" s="1">
        <f>Depreciation!U12</f>
        <v>546869245.81030691</v>
      </c>
      <c r="U7" s="1">
        <f>Depreciation!V12</f>
        <v>584452854.07951581</v>
      </c>
      <c r="V7" s="1">
        <f>Depreciation!W12</f>
        <v>624617080.62423992</v>
      </c>
      <c r="W7" s="1">
        <f>Depreciation!X12</f>
        <v>667488599.39924455</v>
      </c>
      <c r="X7" s="1">
        <f>Depreciation!Y12</f>
        <v>713199548.93928576</v>
      </c>
      <c r="Y7" s="1">
        <f>Depreciation!Z12</f>
        <v>761887752.37810051</v>
      </c>
      <c r="Z7" s="1">
        <f>Depreciation!AA12</f>
        <v>813696945.9528811</v>
      </c>
      <c r="AA7" s="1">
        <f>Depreciation!AB12</f>
        <v>868777016.31200814</v>
      </c>
      <c r="AB7" s="1">
        <f>Depreciation!AC12</f>
        <v>927284246.95545912</v>
      </c>
      <c r="AC7" s="1">
        <f>Depreciation!AD12</f>
        <v>989381574.14938319</v>
      </c>
      <c r="AD7" s="1">
        <f>Depreciation!AE12</f>
        <v>1055238852.6688316</v>
      </c>
      <c r="AE7" s="1">
        <f>Depreciation!AF12</f>
        <v>1125033131.7355914</v>
      </c>
      <c r="AF7" s="1"/>
      <c r="AG7" s="1"/>
      <c r="AH7" s="1"/>
      <c r="AI7" s="1"/>
      <c r="AJ7" s="1"/>
      <c r="AK7" s="1"/>
      <c r="AL7" s="1"/>
      <c r="AM7" s="1"/>
      <c r="AN7" s="1"/>
      <c r="AO7" s="1"/>
      <c r="AP7" s="1"/>
    </row>
    <row r="8" spans="1:42" x14ac:dyDescent="0.35">
      <c r="A8" t="s">
        <v>192</v>
      </c>
      <c r="B8" s="1">
        <f t="shared" ref="B8:AE8" si="1">B6-B7</f>
        <v>181483856.97606283</v>
      </c>
      <c r="C8" s="1">
        <f t="shared" ca="1" si="1"/>
        <v>177479906.81323031</v>
      </c>
      <c r="D8" s="1">
        <f ca="1">D6-D7</f>
        <v>208010061.770289</v>
      </c>
      <c r="E8" s="1">
        <f t="shared" ca="1" si="1"/>
        <v>239492169.78961727</v>
      </c>
      <c r="F8" s="1">
        <f t="shared" ca="1" si="1"/>
        <v>271955892.98852432</v>
      </c>
      <c r="G8" s="1">
        <f t="shared" ca="1" si="1"/>
        <v>305431817.05989146</v>
      </c>
      <c r="H8" s="1">
        <f t="shared" ca="1" si="1"/>
        <v>339951480.00700033</v>
      </c>
      <c r="I8" s="1">
        <f t="shared" ca="1" si="1"/>
        <v>375547401.77164948</v>
      </c>
      <c r="J8" s="1">
        <f t="shared" ca="1" si="1"/>
        <v>412253114.78330362</v>
      </c>
      <c r="K8" s="1">
        <f t="shared" ca="1" si="1"/>
        <v>450103195.45788395</v>
      </c>
      <c r="L8" s="1">
        <f t="shared" ca="1" si="1"/>
        <v>489133296.67569387</v>
      </c>
      <c r="M8" s="1">
        <f t="shared" ca="1" si="1"/>
        <v>529380181.26888931</v>
      </c>
      <c r="N8" s="1">
        <f t="shared" ca="1" si="1"/>
        <v>570881756.54984796</v>
      </c>
      <c r="O8" s="1">
        <f t="shared" ca="1" si="1"/>
        <v>613677109.91276312</v>
      </c>
      <c r="P8" s="1">
        <f t="shared" ca="1" si="1"/>
        <v>657806545.54179239</v>
      </c>
      <c r="Q8" s="1">
        <f t="shared" ca="1" si="1"/>
        <v>703311622.26012349</v>
      </c>
      <c r="R8" s="1">
        <f t="shared" ca="1" si="1"/>
        <v>750235192.5553875</v>
      </c>
      <c r="S8" s="1">
        <f t="shared" ca="1" si="1"/>
        <v>798621442.81794858</v>
      </c>
      <c r="T8" s="1">
        <f t="shared" ca="1" si="1"/>
        <v>848515934.82973135</v>
      </c>
      <c r="U8" s="1">
        <f t="shared" ca="1" si="1"/>
        <v>899965648.54241717</v>
      </c>
      <c r="V8" s="1">
        <f t="shared" ca="1" si="1"/>
        <v>953019026.18504381</v>
      </c>
      <c r="W8" s="1">
        <f t="shared" ca="1" si="1"/>
        <v>1007726017.7422857</v>
      </c>
      <c r="X8" s="1">
        <f t="shared" ca="1" si="1"/>
        <v>1064138127.8459723</v>
      </c>
      <c r="Y8" s="1">
        <f t="shared" ca="1" si="1"/>
        <v>1122308464.1237211</v>
      </c>
      <c r="Z8" s="1">
        <f t="shared" ca="1" si="1"/>
        <v>1182291787.0499265</v>
      </c>
      <c r="AA8" s="1">
        <f t="shared" ca="1" si="1"/>
        <v>1244144561.3457408</v>
      </c>
      <c r="AB8" s="1">
        <f t="shared" ca="1" si="1"/>
        <v>1307925008.9761424</v>
      </c>
      <c r="AC8" s="1">
        <f t="shared" ca="1" si="1"/>
        <v>1373693163.7936664</v>
      </c>
      <c r="AD8" s="1">
        <f t="shared" ca="1" si="1"/>
        <v>1441510927.8799145</v>
      </c>
      <c r="AE8" s="1">
        <f t="shared" ca="1" si="1"/>
        <v>1511442129.6375527</v>
      </c>
      <c r="AF8" s="1"/>
      <c r="AG8" s="1"/>
      <c r="AH8" s="1"/>
      <c r="AI8" s="1"/>
      <c r="AJ8" s="1"/>
      <c r="AK8" s="1"/>
      <c r="AL8" s="1"/>
      <c r="AM8" s="1"/>
      <c r="AN8" s="1"/>
      <c r="AO8" s="1"/>
      <c r="AP8" s="1"/>
    </row>
    <row r="10" spans="1:42" x14ac:dyDescent="0.35">
      <c r="A10" t="s">
        <v>17</v>
      </c>
      <c r="B10" s="1">
        <f>B8-B11</f>
        <v>170105856.97606283</v>
      </c>
      <c r="C10" s="1">
        <f ca="1">C8-C11</f>
        <v>132490988.34541978</v>
      </c>
      <c r="D10" s="1">
        <f ca="1">D8-D11</f>
        <v>131427688.50965723</v>
      </c>
      <c r="E10" s="1">
        <f t="shared" ref="E10:AE10" ca="1" si="2">E8-E11</f>
        <v>135851816.17595083</v>
      </c>
      <c r="F10" s="1">
        <f t="shared" ca="1" si="2"/>
        <v>147848475.60126859</v>
      </c>
      <c r="G10" s="1">
        <f ca="1">G8-G11</f>
        <v>165008916.74878198</v>
      </c>
      <c r="H10" s="1">
        <f t="shared" ca="1" si="2"/>
        <v>186507761.66090643</v>
      </c>
      <c r="I10" s="1">
        <f t="shared" ca="1" si="2"/>
        <v>210544314.32960793</v>
      </c>
      <c r="J10" s="1">
        <f t="shared" ca="1" si="2"/>
        <v>236332772.4364467</v>
      </c>
      <c r="K10" s="1">
        <f t="shared" ca="1" si="2"/>
        <v>263474403.02826345</v>
      </c>
      <c r="L10" s="1">
        <f t="shared" ca="1" si="2"/>
        <v>291428592.07336146</v>
      </c>
      <c r="M10" s="1">
        <f t="shared" ca="1" si="2"/>
        <v>320304007.63227713</v>
      </c>
      <c r="N10" s="1">
        <f t="shared" ca="1" si="2"/>
        <v>350222369.00080717</v>
      </c>
      <c r="O10" s="1">
        <f t="shared" ca="1" si="2"/>
        <v>381319638.42527592</v>
      </c>
      <c r="P10" s="1">
        <f t="shared" ca="1" si="2"/>
        <v>413747305.42657101</v>
      </c>
      <c r="Q10" s="1">
        <f t="shared" ca="1" si="2"/>
        <v>447673770.27801609</v>
      </c>
      <c r="R10" s="1">
        <f t="shared" ca="1" si="2"/>
        <v>483285833.6185236</v>
      </c>
      <c r="S10" s="1">
        <f t="shared" ca="1" si="2"/>
        <v>520790299.64687645</v>
      </c>
      <c r="T10" s="1">
        <f t="shared" ca="1" si="2"/>
        <v>559221773.84932458</v>
      </c>
      <c r="U10" s="1">
        <f t="shared" ca="1" si="2"/>
        <v>598657736.65787911</v>
      </c>
      <c r="V10" s="1">
        <f t="shared" ca="1" si="2"/>
        <v>639184046.54939866</v>
      </c>
      <c r="W10" s="1">
        <f t="shared" ca="1" si="2"/>
        <v>680895657.48385453</v>
      </c>
      <c r="X10" s="1">
        <f t="shared" ca="1" si="2"/>
        <v>723897388.01964498</v>
      </c>
      <c r="Y10" s="1">
        <f t="shared" ca="1" si="2"/>
        <v>768304745.44023657</v>
      </c>
      <c r="Z10" s="1">
        <f t="shared" ca="1" si="2"/>
        <v>814244808.42656243</v>
      </c>
      <c r="AA10" s="1">
        <f t="shared" ca="1" si="2"/>
        <v>861857172.02118981</v>
      </c>
      <c r="AB10" s="1">
        <f t="shared" ca="1" si="2"/>
        <v>909530984.92621255</v>
      </c>
      <c r="AC10" s="1">
        <f t="shared" ca="1" si="2"/>
        <v>953909083.87663388</v>
      </c>
      <c r="AD10" s="1">
        <f t="shared" ca="1" si="2"/>
        <v>994608890.64710701</v>
      </c>
      <c r="AE10" s="1">
        <f t="shared" ca="1" si="2"/>
        <v>1031223099.1666692</v>
      </c>
      <c r="AF10" s="1"/>
      <c r="AG10" s="1"/>
      <c r="AH10" s="1"/>
      <c r="AI10" s="1"/>
      <c r="AJ10" s="1"/>
      <c r="AK10" s="1"/>
      <c r="AL10" s="1"/>
      <c r="AM10" s="1"/>
      <c r="AN10" s="1"/>
      <c r="AO10" s="1"/>
    </row>
    <row r="11" spans="1:42" x14ac:dyDescent="0.35">
      <c r="A11" t="s">
        <v>9</v>
      </c>
      <c r="B11" s="1">
        <f>Assumptions!$C$20</f>
        <v>11378000</v>
      </c>
      <c r="C11" s="1">
        <f ca="1">'Debt worksheet'!D5</f>
        <v>44988918.467810526</v>
      </c>
      <c r="D11" s="1">
        <f ca="1">'Debt worksheet'!E5</f>
        <v>76582373.26063177</v>
      </c>
      <c r="E11" s="1">
        <f ca="1">'Debt worksheet'!F5</f>
        <v>103640353.61366645</v>
      </c>
      <c r="F11" s="1">
        <f ca="1">'Debt worksheet'!G5</f>
        <v>124107417.38725571</v>
      </c>
      <c r="G11" s="1">
        <f ca="1">'Debt worksheet'!H5</f>
        <v>140422900.31110948</v>
      </c>
      <c r="H11" s="1">
        <f ca="1">'Debt worksheet'!I5</f>
        <v>153443718.34609389</v>
      </c>
      <c r="I11" s="1">
        <f ca="1">'Debt worksheet'!J5</f>
        <v>165003087.44204155</v>
      </c>
      <c r="J11" s="1">
        <f ca="1">'Debt worksheet'!K5</f>
        <v>175920342.34685692</v>
      </c>
      <c r="K11" s="1">
        <f ca="1">'Debt worksheet'!L5</f>
        <v>186628792.4296205</v>
      </c>
      <c r="L11" s="1">
        <f ca="1">'Debt worksheet'!M5</f>
        <v>197704704.60233241</v>
      </c>
      <c r="M11" s="1">
        <f ca="1">'Debt worksheet'!N5</f>
        <v>209076173.63661218</v>
      </c>
      <c r="N11" s="1">
        <f ca="1">'Debt worksheet'!O5</f>
        <v>220659387.54904076</v>
      </c>
      <c r="O11" s="1">
        <f ca="1">'Debt worksheet'!P5</f>
        <v>232357471.48748717</v>
      </c>
      <c r="P11" s="1">
        <f ca="1">'Debt worksheet'!Q5</f>
        <v>244059240.11522141</v>
      </c>
      <c r="Q11" s="1">
        <f ca="1">'Debt worksheet'!R5</f>
        <v>255637851.98210737</v>
      </c>
      <c r="R11" s="1">
        <f ca="1">'Debt worksheet'!S5</f>
        <v>266949358.9368639</v>
      </c>
      <c r="S11" s="1">
        <f ca="1">'Debt worksheet'!T5</f>
        <v>277831143.17107213</v>
      </c>
      <c r="T11" s="1">
        <f ca="1">'Debt worksheet'!U5</f>
        <v>289294160.98040676</v>
      </c>
      <c r="U11" s="1">
        <f ca="1">'Debt worksheet'!V5</f>
        <v>301307911.88453805</v>
      </c>
      <c r="V11" s="1">
        <f ca="1">'Debt worksheet'!W5</f>
        <v>313834979.63564515</v>
      </c>
      <c r="W11" s="1">
        <f ca="1">'Debt worksheet'!X5</f>
        <v>326830360.2584312</v>
      </c>
      <c r="X11" s="1">
        <f ca="1">'Debt worksheet'!Y5</f>
        <v>340240739.82632726</v>
      </c>
      <c r="Y11" s="1">
        <f ca="1">'Debt worksheet'!Z5</f>
        <v>354003718.68348455</v>
      </c>
      <c r="Z11" s="1">
        <f ca="1">'Debt worksheet'!AA5</f>
        <v>368046978.62336409</v>
      </c>
      <c r="AA11" s="1">
        <f ca="1">'Debt worksheet'!AB5</f>
        <v>382287389.32455099</v>
      </c>
      <c r="AB11" s="1">
        <f ca="1">'Debt worksheet'!AC5</f>
        <v>398394024.04992986</v>
      </c>
      <c r="AC11" s="1">
        <f ca="1">'Debt worksheet'!AD5</f>
        <v>419784079.91703254</v>
      </c>
      <c r="AD11" s="1">
        <f ca="1">'Debt worksheet'!AE5</f>
        <v>446902037.23280752</v>
      </c>
      <c r="AE11" s="1">
        <f ca="1">'Debt worksheet'!AF5</f>
        <v>480219030.47088349</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80" zoomScaleNormal="8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166</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-3031726.4678105237</v>
      </c>
      <c r="D5" s="4">
        <f ca="1">'Profit and Loss'!D9</f>
        <v>-35728.648821254726</v>
      </c>
      <c r="E5" s="4">
        <f ca="1">'Profit and Loss'!E9</f>
        <v>5509593.027573321</v>
      </c>
      <c r="F5" s="4">
        <f ca="1">'Profit and Loss'!F9</f>
        <v>13142671.955198187</v>
      </c>
      <c r="G5" s="4">
        <f ca="1">'Profit and Loss'!G9</f>
        <v>18369764.348254886</v>
      </c>
      <c r="H5" s="4">
        <f ca="1">'Profit and Loss'!H9</f>
        <v>22774357.149831716</v>
      </c>
      <c r="I5" s="4">
        <f ca="1">'Profit and Loss'!I9</f>
        <v>25381251.694782577</v>
      </c>
      <c r="J5" s="4">
        <f ca="1">'Profit and Loss'!J9</f>
        <v>27205465.751218241</v>
      </c>
      <c r="K5" s="4">
        <f ca="1">'Profit and Loss'!K9</f>
        <v>28634197.634263087</v>
      </c>
      <c r="L5" s="4">
        <f ca="1">'Profit and Loss'!L9</f>
        <v>29525700.271259643</v>
      </c>
      <c r="M5" s="4">
        <f ca="1">'Profit and Loss'!M9</f>
        <v>30529395.007898856</v>
      </c>
      <c r="N5" s="4">
        <f ca="1">'Profit and Loss'!N9</f>
        <v>31658477.77909977</v>
      </c>
      <c r="O5" s="4">
        <f ca="1">'Profit and Loss'!O9</f>
        <v>32927341.887210853</v>
      </c>
      <c r="P5" s="4">
        <f ca="1">'Profit and Loss'!P9</f>
        <v>34351670.824344039</v>
      </c>
      <c r="Q5" s="4">
        <f ca="1">'Profit and Loss'!Q9</f>
        <v>35948537.647658825</v>
      </c>
      <c r="R5" s="4">
        <f ca="1">'Profit and Loss'!R9</f>
        <v>37736511.344253697</v>
      </c>
      <c r="S5" s="4">
        <f ca="1">'Profit and Loss'!S9</f>
        <v>39735770.650370307</v>
      </c>
      <c r="T5" s="4">
        <f ca="1">'Profit and Loss'!T9</f>
        <v>40774298.831550449</v>
      </c>
      <c r="U5" s="4">
        <f ca="1">'Profit and Loss'!U9</f>
        <v>41895159.869262114</v>
      </c>
      <c r="V5" s="4">
        <f ca="1">'Profit and Loss'!V9</f>
        <v>43106928.167034894</v>
      </c>
      <c r="W5" s="4">
        <f ca="1">'Profit and Loss'!W9</f>
        <v>44418903.164736502</v>
      </c>
      <c r="X5" s="4">
        <f ca="1">'Profit and Loss'!X9</f>
        <v>45841161.300827153</v>
      </c>
      <c r="Y5" s="4">
        <f ca="1">'Profit and Loss'!Y9</f>
        <v>47384611.319365077</v>
      </c>
      <c r="Z5" s="4">
        <f ca="1">'Profit and Loss'!Z9</f>
        <v>49061053.122291505</v>
      </c>
      <c r="AA5" s="4">
        <f ca="1">'Profit and Loss'!AA9</f>
        <v>50883240.378973648</v>
      </c>
      <c r="AB5" s="4">
        <f ca="1">'Profit and Loss'!AB9</f>
        <v>51100973.189346828</v>
      </c>
      <c r="AC5" s="4">
        <f ca="1">'Profit and Loss'!AC9</f>
        <v>47968195.500894211</v>
      </c>
      <c r="AD5" s="4">
        <f ca="1">'Profit and Loss'!AD9</f>
        <v>44459758.095997863</v>
      </c>
      <c r="AE5" s="4">
        <f ca="1">'Profit and Loss'!AE9</f>
        <v>40551209.06687361</v>
      </c>
      <c r="AF5" s="4">
        <f ca="1">'Profit and Loss'!AF9</f>
        <v>36216799.826816037</v>
      </c>
      <c r="AG5" s="4"/>
      <c r="AH5" s="4"/>
      <c r="AI5" s="4"/>
      <c r="AJ5" s="4"/>
      <c r="AK5" s="4"/>
      <c r="AL5" s="4"/>
      <c r="AM5" s="4"/>
      <c r="AN5" s="4"/>
      <c r="AO5" s="4"/>
      <c r="AP5" s="4"/>
    </row>
    <row r="6" spans="1:42" x14ac:dyDescent="0.35">
      <c r="A6" t="s">
        <v>21</v>
      </c>
      <c r="C6" s="4">
        <f>Depreciation!C8+Depreciation!C9</f>
        <v>6713695.8614371521</v>
      </c>
      <c r="D6" s="4">
        <f>Depreciation!D8+Depreciation!D9</f>
        <v>7685919.55645914</v>
      </c>
      <c r="E6" s="4">
        <f>Depreciation!E8+Depreciation!E9</f>
        <v>8713490.7434004247</v>
      </c>
      <c r="F6" s="4">
        <f>Depreciation!F8+Depreciation!F9</f>
        <v>9798956.1046801358</v>
      </c>
      <c r="G6" s="4">
        <f>Depreciation!G8+Depreciation!G9</f>
        <v>10944968.634560511</v>
      </c>
      <c r="H6" s="4">
        <f>Depreciation!H8+Depreciation!H9</f>
        <v>12154291.835302033</v>
      </c>
      <c r="I6" s="4">
        <f>Depreciation!I8+Depreciation!I9</f>
        <v>13429804.073009223</v>
      </c>
      <c r="J6" s="4">
        <f>Depreciation!J8+Depreciation!J9</f>
        <v>14774503.099090325</v>
      </c>
      <c r="K6" s="4">
        <f>Depreciation!K8+Depreciation!K9</f>
        <v>16191510.743469857</v>
      </c>
      <c r="L6" s="4">
        <f>Depreciation!L8+Depreciation!L9</f>
        <v>17684077.785916209</v>
      </c>
      <c r="M6" s="4">
        <f>Depreciation!M8+Depreciation!M9</f>
        <v>19255589.012077812</v>
      </c>
      <c r="N6" s="4">
        <f>Depreciation!N8+Depreciation!N9</f>
        <v>20909568.461060986</v>
      </c>
      <c r="O6" s="4">
        <f>Depreciation!O8+Depreciation!O9</f>
        <v>22649684.871630713</v>
      </c>
      <c r="P6" s="4">
        <f>Depreciation!P8+Depreciation!P9</f>
        <v>24479757.33437277</v>
      </c>
      <c r="Q6" s="4">
        <f>Depreciation!Q8+Depreciation!Q9</f>
        <v>26403761.157421768</v>
      </c>
      <c r="R6" s="4">
        <f>Depreciation!R8+Depreciation!R9</f>
        <v>28425833.953635514</v>
      </c>
      <c r="S6" s="4">
        <f>Depreciation!S8+Depreciation!S9</f>
        <v>30550281.95738174</v>
      </c>
      <c r="T6" s="4">
        <f>Depreciation!T8+Depreciation!T9</f>
        <v>32781586.579399195</v>
      </c>
      <c r="U6" s="4">
        <f>Depreciation!U8+Depreciation!U9</f>
        <v>35124411.208501406</v>
      </c>
      <c r="V6" s="4">
        <f>Depreciation!V8+Depreciation!V9</f>
        <v>37583608.269208863</v>
      </c>
      <c r="W6" s="4">
        <f>Depreciation!W8+Depreciation!W9</f>
        <v>40164226.544724092</v>
      </c>
      <c r="X6" s="4">
        <f>Depreciation!X8+Depreciation!X9</f>
        <v>42871518.77500461</v>
      </c>
      <c r="Y6" s="4">
        <f>Depreciation!Y8+Depreciation!Y9</f>
        <v>45710949.54004129</v>
      </c>
      <c r="Z6" s="4">
        <f>Depreciation!Z8+Depreciation!Z9</f>
        <v>48688203.438814722</v>
      </c>
      <c r="AA6" s="4">
        <f>Depreciation!AA8+Depreciation!AA9</f>
        <v>51809193.574780658</v>
      </c>
      <c r="AB6" s="4">
        <f>Depreciation!AB8+Depreciation!AB9</f>
        <v>55080070.359127045</v>
      </c>
      <c r="AC6" s="4">
        <f>Depreciation!AC8+Depreciation!AC9</f>
        <v>58507230.643451035</v>
      </c>
      <c r="AD6" s="4">
        <f>Depreciation!AD8+Depreciation!AD9</f>
        <v>62097327.193924025</v>
      </c>
      <c r="AE6" s="4">
        <f>Depreciation!AE8+Depreciation!AE9</f>
        <v>65857278.519448385</v>
      </c>
      <c r="AF6" s="4">
        <f>Depreciation!AF8+Depreciation!AF9</f>
        <v>69794279.066759706</v>
      </c>
      <c r="AG6" s="4"/>
      <c r="AH6" s="4"/>
      <c r="AI6" s="4"/>
      <c r="AJ6" s="4"/>
      <c r="AK6" s="4"/>
      <c r="AL6" s="4"/>
      <c r="AM6" s="4"/>
      <c r="AN6" s="4"/>
      <c r="AO6" s="4"/>
      <c r="AP6" s="4"/>
    </row>
    <row r="7" spans="1:42" x14ac:dyDescent="0.35">
      <c r="A7" t="s">
        <v>23</v>
      </c>
      <c r="C7" s="4">
        <f ca="1">C6+C5</f>
        <v>3681969.3936266284</v>
      </c>
      <c r="D7" s="4">
        <f ca="1">D6+D5</f>
        <v>7650190.9076378848</v>
      </c>
      <c r="E7" s="4">
        <f t="shared" ref="E7:AF7" ca="1" si="1">E6+E5</f>
        <v>14223083.770973746</v>
      </c>
      <c r="F7" s="4">
        <f t="shared" ca="1" si="1"/>
        <v>22941628.059878323</v>
      </c>
      <c r="G7" s="4">
        <f ca="1">G6+G5</f>
        <v>29314732.982815396</v>
      </c>
      <c r="H7" s="4">
        <f t="shared" ca="1" si="1"/>
        <v>34928648.985133752</v>
      </c>
      <c r="I7" s="4">
        <f t="shared" ca="1" si="1"/>
        <v>38811055.7677918</v>
      </c>
      <c r="J7" s="4">
        <f t="shared" ca="1" si="1"/>
        <v>41979968.850308567</v>
      </c>
      <c r="K7" s="4">
        <f t="shared" ca="1" si="1"/>
        <v>44825708.377732947</v>
      </c>
      <c r="L7" s="4">
        <f t="shared" ca="1" si="1"/>
        <v>47209778.057175852</v>
      </c>
      <c r="M7" s="4">
        <f t="shared" ca="1" si="1"/>
        <v>49784984.019976668</v>
      </c>
      <c r="N7" s="4">
        <f t="shared" ca="1" si="1"/>
        <v>52568046.240160756</v>
      </c>
      <c r="O7" s="4">
        <f t="shared" ca="1" si="1"/>
        <v>55577026.758841567</v>
      </c>
      <c r="P7" s="4">
        <f t="shared" ca="1" si="1"/>
        <v>58831428.158716813</v>
      </c>
      <c r="Q7" s="4">
        <f t="shared" ca="1" si="1"/>
        <v>62352298.805080593</v>
      </c>
      <c r="R7" s="4">
        <f t="shared" ca="1" si="1"/>
        <v>66162345.29788921</v>
      </c>
      <c r="S7" s="4">
        <f t="shared" ca="1" si="1"/>
        <v>70286052.607752055</v>
      </c>
      <c r="T7" s="4">
        <f t="shared" ca="1" si="1"/>
        <v>73555885.410949647</v>
      </c>
      <c r="U7" s="4">
        <f t="shared" ca="1" si="1"/>
        <v>77019571.077763528</v>
      </c>
      <c r="V7" s="4">
        <f t="shared" ca="1" si="1"/>
        <v>80690536.436243758</v>
      </c>
      <c r="W7" s="4">
        <f t="shared" ca="1" si="1"/>
        <v>84583129.709460586</v>
      </c>
      <c r="X7" s="4">
        <f t="shared" ca="1" si="1"/>
        <v>88712680.075831771</v>
      </c>
      <c r="Y7" s="4">
        <f t="shared" ca="1" si="1"/>
        <v>93095560.859406367</v>
      </c>
      <c r="Z7" s="4">
        <f t="shared" ca="1" si="1"/>
        <v>97749256.561106235</v>
      </c>
      <c r="AA7" s="4">
        <f t="shared" ca="1" si="1"/>
        <v>102692433.95375431</v>
      </c>
      <c r="AB7" s="4">
        <f t="shared" ca="1" si="1"/>
        <v>106181043.54847386</v>
      </c>
      <c r="AC7" s="4">
        <f t="shared" ca="1" si="1"/>
        <v>106475426.14434525</v>
      </c>
      <c r="AD7" s="4">
        <f t="shared" ca="1" si="1"/>
        <v>106557085.28992188</v>
      </c>
      <c r="AE7" s="4">
        <f t="shared" ca="1" si="1"/>
        <v>106408487.58632199</v>
      </c>
      <c r="AF7" s="4">
        <f t="shared" ca="1" si="1"/>
        <v>106011078.89357574</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37292887.861437157</v>
      </c>
      <c r="D10" s="9">
        <f>Investment!D25</f>
        <v>39243645.700459138</v>
      </c>
      <c r="E10" s="9">
        <f>Investment!E25</f>
        <v>41281064.124008425</v>
      </c>
      <c r="F10" s="9">
        <f>Investment!F25</f>
        <v>43408691.833467588</v>
      </c>
      <c r="G10" s="9">
        <f>Investment!G25</f>
        <v>45630215.90666917</v>
      </c>
      <c r="H10" s="9">
        <f>Investment!H25</f>
        <v>47949467.020118162</v>
      </c>
      <c r="I10" s="9">
        <f>Investment!I25</f>
        <v>50370424.863739461</v>
      </c>
      <c r="J10" s="9">
        <f>Investment!J25</f>
        <v>52897223.755123936</v>
      </c>
      <c r="K10" s="9">
        <f>Investment!K25</f>
        <v>55534158.460496545</v>
      </c>
      <c r="L10" s="9">
        <f>Investment!L25</f>
        <v>58285690.229887746</v>
      </c>
      <c r="M10" s="9">
        <f>Investment!M25</f>
        <v>61156453.054256439</v>
      </c>
      <c r="N10" s="9">
        <f>Investment!N25</f>
        <v>64151260.152589336</v>
      </c>
      <c r="O10" s="9">
        <f>Investment!O25</f>
        <v>67275110.697287977</v>
      </c>
      <c r="P10" s="9">
        <f>Investment!P25</f>
        <v>70533196.786451057</v>
      </c>
      <c r="Q10" s="9">
        <f>Investment!Q25</f>
        <v>73930910.671966553</v>
      </c>
      <c r="R10" s="9">
        <f>Investment!R25</f>
        <v>77473852.252645746</v>
      </c>
      <c r="S10" s="9">
        <f>Investment!S25</f>
        <v>81167836.841960296</v>
      </c>
      <c r="T10" s="9">
        <f>Investment!T25</f>
        <v>85018903.220284253</v>
      </c>
      <c r="U10" s="9">
        <f>Investment!U25</f>
        <v>89033321.981894791</v>
      </c>
      <c r="V10" s="9">
        <f>Investment!V25</f>
        <v>93217604.187350839</v>
      </c>
      <c r="W10" s="9">
        <f>Investment!W25</f>
        <v>97578510.332246616</v>
      </c>
      <c r="X10" s="9">
        <f>Investment!X25</f>
        <v>102123059.64372785</v>
      </c>
      <c r="Y10" s="9">
        <f>Investment!Y25</f>
        <v>106858539.71656364</v>
      </c>
      <c r="Z10" s="9">
        <f>Investment!Z25</f>
        <v>111792516.5009858</v>
      </c>
      <c r="AA10" s="9">
        <f>Investment!AA25</f>
        <v>116932844.65494123</v>
      </c>
      <c r="AB10" s="9">
        <f>Investment!AB25</f>
        <v>122287678.27385275</v>
      </c>
      <c r="AC10" s="9">
        <f>Investment!AC25</f>
        <v>127865482.01144795</v>
      </c>
      <c r="AD10" s="9">
        <f>Investment!AD25</f>
        <v>133675042.60569686</v>
      </c>
      <c r="AE10" s="9">
        <f>Investment!AE25</f>
        <v>139725480.82439795</v>
      </c>
      <c r="AF10" s="9">
        <f>Investment!AF25</f>
        <v>146026263.84546766</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-33610918.467810526</v>
      </c>
      <c r="D12" s="1">
        <f t="shared" ref="D12:AF12" ca="1" si="2">D7-D9-D10</f>
        <v>-31593454.792821251</v>
      </c>
      <c r="E12" s="1">
        <f ca="1">E7-E9-E10</f>
        <v>-27057980.353034679</v>
      </c>
      <c r="F12" s="1">
        <f t="shared" ca="1" si="2"/>
        <v>-20467063.773589265</v>
      </c>
      <c r="G12" s="1">
        <f ca="1">G7-G9-G10</f>
        <v>-16315482.923853774</v>
      </c>
      <c r="H12" s="1">
        <f t="shared" ca="1" si="2"/>
        <v>-13020818.03498441</v>
      </c>
      <c r="I12" s="1">
        <f t="shared" ca="1" si="2"/>
        <v>-11559369.095947661</v>
      </c>
      <c r="J12" s="1">
        <f t="shared" ca="1" si="2"/>
        <v>-10917254.904815368</v>
      </c>
      <c r="K12" s="1">
        <f t="shared" ca="1" si="2"/>
        <v>-10708450.082763597</v>
      </c>
      <c r="L12" s="1">
        <f t="shared" ca="1" si="2"/>
        <v>-11075912.172711894</v>
      </c>
      <c r="M12" s="1">
        <f t="shared" ca="1" si="2"/>
        <v>-11371469.034279771</v>
      </c>
      <c r="N12" s="1">
        <f t="shared" ca="1" si="2"/>
        <v>-11583213.91242858</v>
      </c>
      <c r="O12" s="1">
        <f t="shared" ca="1" si="2"/>
        <v>-11698083.93844641</v>
      </c>
      <c r="P12" s="1">
        <f t="shared" ca="1" si="2"/>
        <v>-11701768.627734244</v>
      </c>
      <c r="Q12" s="1">
        <f t="shared" ca="1" si="2"/>
        <v>-11578611.86688596</v>
      </c>
      <c r="R12" s="1">
        <f t="shared" ca="1" si="2"/>
        <v>-11311506.954756536</v>
      </c>
      <c r="S12" s="1">
        <f t="shared" ca="1" si="2"/>
        <v>-10881784.234208241</v>
      </c>
      <c r="T12" s="1">
        <f t="shared" ca="1" si="2"/>
        <v>-11463017.809334606</v>
      </c>
      <c r="U12" s="1">
        <f t="shared" ca="1" si="2"/>
        <v>-12013750.904131263</v>
      </c>
      <c r="V12" s="1">
        <f t="shared" ca="1" si="2"/>
        <v>-12527067.751107082</v>
      </c>
      <c r="W12" s="1">
        <f t="shared" ca="1" si="2"/>
        <v>-12995380.62278603</v>
      </c>
      <c r="X12" s="1">
        <f t="shared" ca="1" si="2"/>
        <v>-13410379.567896083</v>
      </c>
      <c r="Y12" s="1">
        <f t="shared" ca="1" si="2"/>
        <v>-13762978.857157275</v>
      </c>
      <c r="Z12" s="1">
        <f t="shared" ca="1" si="2"/>
        <v>-14043259.939879566</v>
      </c>
      <c r="AA12" s="1">
        <f t="shared" ca="1" si="2"/>
        <v>-14240410.701186925</v>
      </c>
      <c r="AB12" s="1">
        <f t="shared" ca="1" si="2"/>
        <v>-16106634.725378886</v>
      </c>
      <c r="AC12" s="1">
        <f t="shared" ca="1" si="2"/>
        <v>-21390055.867102697</v>
      </c>
      <c r="AD12" s="1">
        <f t="shared" ca="1" si="2"/>
        <v>-27117957.315774977</v>
      </c>
      <c r="AE12" s="1">
        <f t="shared" ca="1" si="2"/>
        <v>-33316993.238075957</v>
      </c>
      <c r="AF12" s="1">
        <f t="shared" ca="1" si="2"/>
        <v>-40015184.951891914</v>
      </c>
      <c r="AG12" s="1"/>
      <c r="AH12" s="1"/>
      <c r="AI12" s="1"/>
      <c r="AJ12" s="1"/>
      <c r="AK12" s="1"/>
      <c r="AL12" s="1"/>
      <c r="AM12" s="1"/>
      <c r="AN12" s="1"/>
      <c r="AO12" s="1"/>
      <c r="AP12" s="1"/>
    </row>
    <row r="13" spans="1:42" x14ac:dyDescent="0.35">
      <c r="A13" t="s">
        <v>19</v>
      </c>
      <c r="C13" s="1">
        <f ca="1">C12</f>
        <v>-33610918.467810526</v>
      </c>
      <c r="D13" s="1">
        <f ca="1">D12</f>
        <v>-31593454.792821251</v>
      </c>
      <c r="E13" s="1">
        <f ca="1">E12</f>
        <v>-27057980.353034679</v>
      </c>
      <c r="F13" s="1">
        <f t="shared" ref="F13:AF13" ca="1" si="3">F12</f>
        <v>-20467063.773589265</v>
      </c>
      <c r="G13" s="1">
        <f ca="1">G12</f>
        <v>-16315482.923853774</v>
      </c>
      <c r="H13" s="1">
        <f t="shared" ca="1" si="3"/>
        <v>-13020818.03498441</v>
      </c>
      <c r="I13" s="1">
        <f t="shared" ca="1" si="3"/>
        <v>-11559369.095947661</v>
      </c>
      <c r="J13" s="1">
        <f t="shared" ca="1" si="3"/>
        <v>-10917254.904815368</v>
      </c>
      <c r="K13" s="1">
        <f t="shared" ca="1" si="3"/>
        <v>-10708450.082763597</v>
      </c>
      <c r="L13" s="1">
        <f t="shared" ca="1" si="3"/>
        <v>-11075912.172711894</v>
      </c>
      <c r="M13" s="1">
        <f t="shared" ca="1" si="3"/>
        <v>-11371469.034279771</v>
      </c>
      <c r="N13" s="1">
        <f t="shared" ca="1" si="3"/>
        <v>-11583213.91242858</v>
      </c>
      <c r="O13" s="1">
        <f t="shared" ca="1" si="3"/>
        <v>-11698083.93844641</v>
      </c>
      <c r="P13" s="1">
        <f t="shared" ca="1" si="3"/>
        <v>-11701768.627734244</v>
      </c>
      <c r="Q13" s="1">
        <f t="shared" ca="1" si="3"/>
        <v>-11578611.86688596</v>
      </c>
      <c r="R13" s="1">
        <f t="shared" ca="1" si="3"/>
        <v>-11311506.954756536</v>
      </c>
      <c r="S13" s="1">
        <f t="shared" ca="1" si="3"/>
        <v>-10881784.234208241</v>
      </c>
      <c r="T13" s="1">
        <f t="shared" ca="1" si="3"/>
        <v>-11463017.809334606</v>
      </c>
      <c r="U13" s="1">
        <f t="shared" ca="1" si="3"/>
        <v>-12013750.904131263</v>
      </c>
      <c r="V13" s="1">
        <f t="shared" ca="1" si="3"/>
        <v>-12527067.751107082</v>
      </c>
      <c r="W13" s="1">
        <f t="shared" ca="1" si="3"/>
        <v>-12995380.62278603</v>
      </c>
      <c r="X13" s="1">
        <f t="shared" ca="1" si="3"/>
        <v>-13410379.567896083</v>
      </c>
      <c r="Y13" s="1">
        <f t="shared" ca="1" si="3"/>
        <v>-13762978.857157275</v>
      </c>
      <c r="Z13" s="1">
        <f t="shared" ca="1" si="3"/>
        <v>-14043259.939879566</v>
      </c>
      <c r="AA13" s="1">
        <f t="shared" ca="1" si="3"/>
        <v>-14240410.701186925</v>
      </c>
      <c r="AB13" s="1">
        <f t="shared" ca="1" si="3"/>
        <v>-16106634.725378886</v>
      </c>
      <c r="AC13" s="1">
        <f t="shared" ca="1" si="3"/>
        <v>-21390055.867102697</v>
      </c>
      <c r="AD13" s="1">
        <f t="shared" ca="1" si="3"/>
        <v>-27117957.315774977</v>
      </c>
      <c r="AE13" s="1">
        <f t="shared" ca="1" si="3"/>
        <v>-33316993.238075957</v>
      </c>
      <c r="AF13" s="1">
        <f t="shared" ca="1" si="3"/>
        <v>-40015184.951891914</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140</v>
      </c>
      <c r="C6" s="9">
        <f>Assumptions!C17</f>
        <v>376395105.67500001</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188197552.83750001</v>
      </c>
      <c r="D7" s="9">
        <f>C12</f>
        <v>194911248.69893718</v>
      </c>
      <c r="E7" s="9">
        <f>D12</f>
        <v>202597168.25539634</v>
      </c>
      <c r="F7" s="9">
        <f t="shared" ref="F7:H7" si="1">E12</f>
        <v>211310658.99879676</v>
      </c>
      <c r="G7" s="9">
        <f t="shared" si="1"/>
        <v>221109615.10347691</v>
      </c>
      <c r="H7" s="9">
        <f t="shared" si="1"/>
        <v>232054583.73803744</v>
      </c>
      <c r="I7" s="9">
        <f t="shared" ref="I7" si="2">H12</f>
        <v>244208875.57333946</v>
      </c>
      <c r="J7" s="9">
        <f t="shared" ref="J7" si="3">I12</f>
        <v>257638679.64634869</v>
      </c>
      <c r="K7" s="9">
        <f t="shared" ref="K7" si="4">J12</f>
        <v>272413182.74543905</v>
      </c>
      <c r="L7" s="9">
        <f t="shared" ref="L7" si="5">K12</f>
        <v>288604693.48890889</v>
      </c>
      <c r="M7" s="9">
        <f t="shared" ref="M7" si="6">L12</f>
        <v>306288771.2748251</v>
      </c>
      <c r="N7" s="9">
        <f t="shared" ref="N7" si="7">M12</f>
        <v>325544360.2869029</v>
      </c>
      <c r="O7" s="9">
        <f t="shared" ref="O7" si="8">N12</f>
        <v>346453928.74796391</v>
      </c>
      <c r="P7" s="9">
        <f t="shared" ref="P7" si="9">O12</f>
        <v>369103613.61959457</v>
      </c>
      <c r="Q7" s="9">
        <f t="shared" ref="Q7" si="10">P12</f>
        <v>393583370.95396733</v>
      </c>
      <c r="R7" s="9">
        <f t="shared" ref="R7" si="11">Q12</f>
        <v>419987132.1113891</v>
      </c>
      <c r="S7" s="9">
        <f t="shared" ref="S7" si="12">R12</f>
        <v>448412966.06502461</v>
      </c>
      <c r="T7" s="9">
        <f t="shared" ref="T7" si="13">S12</f>
        <v>478963248.02240634</v>
      </c>
      <c r="U7" s="9">
        <f t="shared" ref="U7" si="14">T12</f>
        <v>511744834.60180551</v>
      </c>
      <c r="V7" s="9">
        <f t="shared" ref="V7" si="15">U12</f>
        <v>546869245.81030691</v>
      </c>
      <c r="W7" s="9">
        <f t="shared" ref="W7" si="16">V12</f>
        <v>584452854.07951581</v>
      </c>
      <c r="X7" s="9">
        <f t="shared" ref="X7" si="17">W12</f>
        <v>624617080.62423992</v>
      </c>
      <c r="Y7" s="9">
        <f t="shared" ref="Y7" si="18">X12</f>
        <v>667488599.39924455</v>
      </c>
      <c r="Z7" s="9">
        <f t="shared" ref="Z7" si="19">Y12</f>
        <v>713199548.93928576</v>
      </c>
      <c r="AA7" s="9">
        <f t="shared" ref="AA7" si="20">Z12</f>
        <v>761887752.37810051</v>
      </c>
      <c r="AB7" s="9">
        <f t="shared" ref="AB7" si="21">AA12</f>
        <v>813696945.9528811</v>
      </c>
      <c r="AC7" s="9">
        <f t="shared" ref="AC7" si="22">AB12</f>
        <v>868777016.31200814</v>
      </c>
      <c r="AD7" s="9">
        <f t="shared" ref="AD7" si="23">AC12</f>
        <v>927284246.95545912</v>
      </c>
      <c r="AE7" s="9">
        <f t="shared" ref="AE7" si="24">AD12</f>
        <v>989381574.14938319</v>
      </c>
      <c r="AF7" s="9">
        <f t="shared" ref="AF7" si="25">AE12</f>
        <v>1055238852.6688316</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141</v>
      </c>
      <c r="C8" s="9">
        <f>Assumptions!D111*Assumptions!D11</f>
        <v>5979795.2534371521</v>
      </c>
      <c r="D8" s="9">
        <f>Assumptions!E111*Assumptions!E11</f>
        <v>6171148.7015471403</v>
      </c>
      <c r="E8" s="9">
        <f>Assumptions!F111*Assumptions!F11</f>
        <v>6368625.4599966481</v>
      </c>
      <c r="F8" s="9">
        <f>Assumptions!G111*Assumptions!G11</f>
        <v>6572421.4747165414</v>
      </c>
      <c r="G8" s="9">
        <f>Assumptions!H111*Assumptions!H11</f>
        <v>6782738.9619074715</v>
      </c>
      <c r="H8" s="9">
        <f>Assumptions!I111*Assumptions!I11</f>
        <v>6999786.60868851</v>
      </c>
      <c r="I8" s="9">
        <f>Assumptions!J111*Assumptions!J11</f>
        <v>7223779.7801665412</v>
      </c>
      <c r="J8" s="9">
        <f>Assumptions!K111*Assumptions!K11</f>
        <v>7454940.7331318716</v>
      </c>
      <c r="K8" s="9">
        <f>Assumptions!L111*Assumptions!L11</f>
        <v>7693498.8365920922</v>
      </c>
      <c r="L8" s="9">
        <f>Assumptions!M111*Assumptions!M11</f>
        <v>7939690.7993630376</v>
      </c>
      <c r="M8" s="9">
        <f>Assumptions!N111*Assumptions!N11</f>
        <v>8193760.904942655</v>
      </c>
      <c r="N8" s="9">
        <f>Assumptions!O111*Assumptions!O11</f>
        <v>8455961.2539008204</v>
      </c>
      <c r="O8" s="9">
        <f>Assumptions!P111*Assumptions!P11</f>
        <v>8726552.0140256472</v>
      </c>
      <c r="P8" s="9">
        <f>Assumptions!Q111*Assumptions!Q11</f>
        <v>9005801.6784744672</v>
      </c>
      <c r="Q8" s="9">
        <f>Assumptions!R111*Assumptions!R11</f>
        <v>9293987.3321856484</v>
      </c>
      <c r="R8" s="9">
        <f>Assumptions!S111*Assumptions!S11</f>
        <v>9591394.9268155899</v>
      </c>
      <c r="S8" s="9">
        <f>Assumptions!T111*Assumptions!T11</f>
        <v>9898319.5644736905</v>
      </c>
      <c r="T8" s="9">
        <f>Assumptions!U111*Assumptions!U11</f>
        <v>10215065.790536847</v>
      </c>
      <c r="U8" s="9">
        <f>Assumptions!V111*Assumptions!V11</f>
        <v>10541947.895834025</v>
      </c>
      <c r="V8" s="9">
        <f>Assumptions!W111*Assumptions!W11</f>
        <v>10879290.228500715</v>
      </c>
      <c r="W8" s="9">
        <f>Assumptions!X111*Assumptions!X11</f>
        <v>11227427.51581274</v>
      </c>
      <c r="X8" s="9">
        <f>Assumptions!Y111*Assumptions!Y11</f>
        <v>11586705.196318746</v>
      </c>
      <c r="Y8" s="9">
        <f>Assumptions!Z111*Assumptions!Z11</f>
        <v>11957479.762600943</v>
      </c>
      <c r="Z8" s="9">
        <f>Assumptions!AA111*Assumptions!AA11</f>
        <v>12340119.115004174</v>
      </c>
      <c r="AA8" s="9">
        <f>Assumptions!AB111*Assumptions!AB11</f>
        <v>12735002.926684311</v>
      </c>
      <c r="AB8" s="9">
        <f>Assumptions!AC111*Assumptions!AC11</f>
        <v>13142523.020338207</v>
      </c>
      <c r="AC8" s="9">
        <f>Assumptions!AD111*Assumptions!AD11</f>
        <v>13563083.756989028</v>
      </c>
      <c r="AD8" s="9">
        <f>Assumptions!AE111*Assumptions!AE11</f>
        <v>13997102.43721268</v>
      </c>
      <c r="AE8" s="9">
        <f>Assumptions!AF111*Assumptions!AF11</f>
        <v>14445009.715203485</v>
      </c>
      <c r="AF8" s="9">
        <f>Assumptions!AG111*Assumptions!AG11</f>
        <v>14907250.026089994</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733900.60800000001</v>
      </c>
      <c r="D9" s="9">
        <f>Assumptions!E120*Assumptions!E11</f>
        <v>1514770.854912</v>
      </c>
      <c r="E9" s="9">
        <f>Assumptions!F120*Assumptions!F11</f>
        <v>2344865.2834037757</v>
      </c>
      <c r="F9" s="9">
        <f>Assumptions!G120*Assumptions!G11</f>
        <v>3226534.6299635954</v>
      </c>
      <c r="G9" s="9">
        <f>Assumptions!H120*Assumptions!H11</f>
        <v>4162229.6726530385</v>
      </c>
      <c r="H9" s="9">
        <f>Assumptions!I120*Assumptions!I11</f>
        <v>5154505.2266135225</v>
      </c>
      <c r="I9" s="9">
        <f>Assumptions!J120*Assumptions!J11</f>
        <v>6206024.2928426806</v>
      </c>
      <c r="J9" s="9">
        <f>Assumptions!K120*Assumptions!K11</f>
        <v>7319562.3659584532</v>
      </c>
      <c r="K9" s="9">
        <f>Assumptions!L120*Assumptions!L11</f>
        <v>8498011.9068777654</v>
      </c>
      <c r="L9" s="9">
        <f>Assumptions!M120*Assumptions!M11</f>
        <v>9744386.9865531698</v>
      </c>
      <c r="M9" s="9">
        <f>Assumptions!N120*Assumptions!N11</f>
        <v>11061828.107135158</v>
      </c>
      <c r="N9" s="9">
        <f>Assumptions!O120*Assumptions!O11</f>
        <v>12453607.207160164</v>
      </c>
      <c r="O9" s="9">
        <f>Assumptions!P120*Assumptions!P11</f>
        <v>13923132.857605064</v>
      </c>
      <c r="P9" s="9">
        <f>Assumptions!Q120*Assumptions!Q11</f>
        <v>15473955.655898303</v>
      </c>
      <c r="Q9" s="9">
        <f>Assumptions!R120*Assumptions!R11</f>
        <v>17109773.825236119</v>
      </c>
      <c r="R9" s="9">
        <f>Assumptions!S120*Assumptions!S11</f>
        <v>18834439.026819926</v>
      </c>
      <c r="S9" s="9">
        <f>Assumptions!T120*Assumptions!T11</f>
        <v>20651962.392908052</v>
      </c>
      <c r="T9" s="9">
        <f>Assumptions!U120*Assumptions!U11</f>
        <v>22566520.788862348</v>
      </c>
      <c r="U9" s="9">
        <f>Assumptions!V120*Assumptions!V11</f>
        <v>24582463.312667381</v>
      </c>
      <c r="V9" s="9">
        <f>Assumptions!W120*Assumptions!W11</f>
        <v>26704318.040708147</v>
      </c>
      <c r="W9" s="9">
        <f>Assumptions!X120*Assumptions!X11</f>
        <v>28936799.028911352</v>
      </c>
      <c r="X9" s="9">
        <f>Assumptions!Y120*Assumptions!Y11</f>
        <v>31284813.578685869</v>
      </c>
      <c r="Y9" s="9">
        <f>Assumptions!Z120*Assumptions!Z11</f>
        <v>33753469.777440347</v>
      </c>
      <c r="Z9" s="9">
        <f>Assumptions!AA120*Assumptions!AA11</f>
        <v>36348084.323810548</v>
      </c>
      <c r="AA9" s="9">
        <f>Assumptions!AB120*Assumptions!AB11</f>
        <v>39074190.648096345</v>
      </c>
      <c r="AB9" s="9">
        <f>Assumptions!AC120*Assumptions!AC11</f>
        <v>41937547.338788837</v>
      </c>
      <c r="AC9" s="9">
        <f>Assumptions!AD120*Assumptions!AD11</f>
        <v>44944146.886462003</v>
      </c>
      <c r="AD9" s="9">
        <f>Assumptions!AE120*Assumptions!AE11</f>
        <v>48100224.756711341</v>
      </c>
      <c r="AE9" s="9">
        <f>Assumptions!AF120*Assumptions!AF11</f>
        <v>51412268.804244898</v>
      </c>
      <c r="AF9" s="9">
        <f>Assumptions!AG120*Assumptions!AG11</f>
        <v>54887029.040669717</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36</v>
      </c>
      <c r="C10" s="9">
        <f>SUM($C$8:C9)</f>
        <v>6713695.8614371521</v>
      </c>
      <c r="D10" s="9">
        <f>SUM($C$8:D9)</f>
        <v>14399615.417896291</v>
      </c>
      <c r="E10" s="9">
        <f>SUM($C$8:E9)</f>
        <v>23113106.161296718</v>
      </c>
      <c r="F10" s="9">
        <f>SUM($C$8:F9)</f>
        <v>32912062.265976854</v>
      </c>
      <c r="G10" s="9">
        <f>SUM($C$8:G9)</f>
        <v>43857030.900537364</v>
      </c>
      <c r="H10" s="9">
        <f>SUM($C$8:H9)</f>
        <v>56011322.735839404</v>
      </c>
      <c r="I10" s="9">
        <f>SUM($C$8:I9)</f>
        <v>69441126.808848619</v>
      </c>
      <c r="J10" s="9">
        <f>SUM($C$8:J9)</f>
        <v>84215629.907938957</v>
      </c>
      <c r="K10" s="9">
        <f>SUM($C$8:K9)</f>
        <v>100407140.65140881</v>
      </c>
      <c r="L10" s="9">
        <f>SUM($C$8:L9)</f>
        <v>118091218.437325</v>
      </c>
      <c r="M10" s="9">
        <f>SUM($C$8:M9)</f>
        <v>137346807.44940281</v>
      </c>
      <c r="N10" s="9">
        <f>SUM($C$8:N9)</f>
        <v>158256375.91046381</v>
      </c>
      <c r="O10" s="9">
        <f>SUM($C$8:O9)</f>
        <v>180906060.78209451</v>
      </c>
      <c r="P10" s="9">
        <f>SUM($C$8:P9)</f>
        <v>205385818.11646727</v>
      </c>
      <c r="Q10" s="9">
        <f>SUM($C$8:Q9)</f>
        <v>231789579.27388901</v>
      </c>
      <c r="R10" s="9">
        <f>SUM($C$8:R9)</f>
        <v>260215413.22752452</v>
      </c>
      <c r="S10" s="9">
        <f>SUM($C$8:S9)</f>
        <v>290765695.1849063</v>
      </c>
      <c r="T10" s="9">
        <f>SUM($C$8:T9)</f>
        <v>323547281.76430553</v>
      </c>
      <c r="U10" s="9">
        <f>SUM($C$8:U9)</f>
        <v>358671692.97280693</v>
      </c>
      <c r="V10" s="9">
        <f>SUM($C$8:V9)</f>
        <v>396255301.24201578</v>
      </c>
      <c r="W10" s="9">
        <f>SUM($C$8:W9)</f>
        <v>436419527.78673989</v>
      </c>
      <c r="X10" s="9">
        <f>SUM($C$8:X9)</f>
        <v>479291046.56174451</v>
      </c>
      <c r="Y10" s="9">
        <f>SUM($C$8:Y9)</f>
        <v>525001996.10178578</v>
      </c>
      <c r="Z10" s="9">
        <f>SUM($C$8:Z9)</f>
        <v>573690199.54060066</v>
      </c>
      <c r="AA10" s="9">
        <f>SUM($C$8:AA9)</f>
        <v>625499393.11538124</v>
      </c>
      <c r="AB10" s="9">
        <f>SUM($C$8:AB9)</f>
        <v>680579463.4745084</v>
      </c>
      <c r="AC10" s="9">
        <f>SUM($C$8:AC9)</f>
        <v>739086694.11795926</v>
      </c>
      <c r="AD10" s="9">
        <f>SUM($C$8:AD9)</f>
        <v>801184021.31188321</v>
      </c>
      <c r="AE10" s="9">
        <f>SUM($C$8:AE9)</f>
        <v>867041299.83133149</v>
      </c>
      <c r="AF10" s="9">
        <f>SUM($C$8:AF9)</f>
        <v>936835578.89809132</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194911248.69893718</v>
      </c>
      <c r="D12" s="9">
        <f>D7+D8+D9</f>
        <v>202597168.25539634</v>
      </c>
      <c r="E12" s="9">
        <f>E7+E8+E9</f>
        <v>211310658.99879676</v>
      </c>
      <c r="F12" s="9">
        <f t="shared" ref="F12:H12" si="26">F7+F8+F9</f>
        <v>221109615.10347691</v>
      </c>
      <c r="G12" s="9">
        <f t="shared" si="26"/>
        <v>232054583.73803744</v>
      </c>
      <c r="H12" s="9">
        <f t="shared" si="26"/>
        <v>244208875.57333946</v>
      </c>
      <c r="I12" s="9">
        <f t="shared" ref="I12:AF12" si="27">I7+I8+I9</f>
        <v>257638679.64634869</v>
      </c>
      <c r="J12" s="9">
        <f t="shared" si="27"/>
        <v>272413182.74543905</v>
      </c>
      <c r="K12" s="9">
        <f t="shared" si="27"/>
        <v>288604693.48890889</v>
      </c>
      <c r="L12" s="9">
        <f t="shared" si="27"/>
        <v>306288771.2748251</v>
      </c>
      <c r="M12" s="9">
        <f t="shared" si="27"/>
        <v>325544360.2869029</v>
      </c>
      <c r="N12" s="9">
        <f t="shared" si="27"/>
        <v>346453928.74796391</v>
      </c>
      <c r="O12" s="9">
        <f t="shared" si="27"/>
        <v>369103613.61959457</v>
      </c>
      <c r="P12" s="9">
        <f t="shared" si="27"/>
        <v>393583370.95396733</v>
      </c>
      <c r="Q12" s="9">
        <f t="shared" si="27"/>
        <v>419987132.1113891</v>
      </c>
      <c r="R12" s="9">
        <f t="shared" si="27"/>
        <v>448412966.06502461</v>
      </c>
      <c r="S12" s="9">
        <f t="shared" si="27"/>
        <v>478963248.02240634</v>
      </c>
      <c r="T12" s="9">
        <f t="shared" si="27"/>
        <v>511744834.60180551</v>
      </c>
      <c r="U12" s="9">
        <f t="shared" si="27"/>
        <v>546869245.81030691</v>
      </c>
      <c r="V12" s="9">
        <f t="shared" si="27"/>
        <v>584452854.07951581</v>
      </c>
      <c r="W12" s="9">
        <f t="shared" si="27"/>
        <v>624617080.62423992</v>
      </c>
      <c r="X12" s="9">
        <f t="shared" si="27"/>
        <v>667488599.39924455</v>
      </c>
      <c r="Y12" s="9">
        <f t="shared" si="27"/>
        <v>713199548.93928576</v>
      </c>
      <c r="Z12" s="9">
        <f t="shared" si="27"/>
        <v>761887752.37810051</v>
      </c>
      <c r="AA12" s="9">
        <f t="shared" si="27"/>
        <v>813696945.9528811</v>
      </c>
      <c r="AB12" s="9">
        <f t="shared" si="27"/>
        <v>868777016.31200814</v>
      </c>
      <c r="AC12" s="9">
        <f t="shared" si="27"/>
        <v>927284246.95545912</v>
      </c>
      <c r="AD12" s="9">
        <f t="shared" si="27"/>
        <v>989381574.14938319</v>
      </c>
      <c r="AE12" s="9">
        <f t="shared" si="27"/>
        <v>1055238852.6688316</v>
      </c>
      <c r="AF12" s="9">
        <f t="shared" si="27"/>
        <v>1125033131.7355914</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37292887.861437157</v>
      </c>
      <c r="D18" s="9">
        <f>Investment!D25</f>
        <v>39243645.700459138</v>
      </c>
      <c r="E18" s="9">
        <f>Investment!E25</f>
        <v>41281064.124008425</v>
      </c>
      <c r="F18" s="9">
        <f>Investment!F25</f>
        <v>43408691.833467588</v>
      </c>
      <c r="G18" s="9">
        <f>Investment!G25</f>
        <v>45630215.90666917</v>
      </c>
      <c r="H18" s="9">
        <f>Investment!H25</f>
        <v>47949467.020118162</v>
      </c>
      <c r="I18" s="9">
        <f>Investment!I25</f>
        <v>50370424.863739461</v>
      </c>
      <c r="J18" s="9">
        <f>Investment!J25</f>
        <v>52897223.755123936</v>
      </c>
      <c r="K18" s="9">
        <f>Investment!K25</f>
        <v>55534158.460496545</v>
      </c>
      <c r="L18" s="9">
        <f>Investment!L25</f>
        <v>58285690.229887746</v>
      </c>
      <c r="M18" s="9">
        <f>Investment!M25</f>
        <v>61156453.054256439</v>
      </c>
      <c r="N18" s="9">
        <f>Investment!N25</f>
        <v>64151260.152589336</v>
      </c>
      <c r="O18" s="9">
        <f>Investment!O25</f>
        <v>67275110.697287977</v>
      </c>
      <c r="P18" s="9">
        <f>Investment!P25</f>
        <v>70533196.786451057</v>
      </c>
      <c r="Q18" s="9">
        <f>Investment!Q25</f>
        <v>73930910.671966553</v>
      </c>
      <c r="R18" s="9">
        <f>Investment!R25</f>
        <v>77473852.252645746</v>
      </c>
      <c r="S18" s="9">
        <f>Investment!S25</f>
        <v>81167836.841960296</v>
      </c>
      <c r="T18" s="9">
        <f>Investment!T25</f>
        <v>85018903.220284253</v>
      </c>
      <c r="U18" s="9">
        <f>Investment!U25</f>
        <v>89033321.981894791</v>
      </c>
      <c r="V18" s="9">
        <f>Investment!V25</f>
        <v>93217604.187350839</v>
      </c>
      <c r="W18" s="9">
        <f>Investment!W25</f>
        <v>97578510.332246616</v>
      </c>
      <c r="X18" s="9">
        <f>Investment!X25</f>
        <v>102123059.64372785</v>
      </c>
      <c r="Y18" s="9">
        <f>Investment!Y25</f>
        <v>106858539.71656364</v>
      </c>
      <c r="Z18" s="9">
        <f>Investment!Z25</f>
        <v>111792516.5009858</v>
      </c>
      <c r="AA18" s="9">
        <f>Investment!AA25</f>
        <v>116932844.65494123</v>
      </c>
      <c r="AB18" s="9">
        <f>Investment!AB25</f>
        <v>122287678.27385275</v>
      </c>
      <c r="AC18" s="9">
        <f>Investment!AC25</f>
        <v>127865482.01144795</v>
      </c>
      <c r="AD18" s="9">
        <f>Investment!AD25</f>
        <v>133675042.60569686</v>
      </c>
      <c r="AE18" s="9">
        <f>Investment!AE25</f>
        <v>139725480.82439795</v>
      </c>
      <c r="AF18" s="9">
        <f>Investment!AF25</f>
        <v>146026263.84546766</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45</v>
      </c>
      <c r="C19" s="9">
        <f>$C$6-C7+C18</f>
        <v>225490440.69893718</v>
      </c>
      <c r="D19" s="9">
        <f>D18+C20</f>
        <v>258020390.53795916</v>
      </c>
      <c r="E19" s="9">
        <f>E18+D20</f>
        <v>291615535.10550845</v>
      </c>
      <c r="F19" s="9">
        <f t="shared" ref="F19:AF19" si="28">F18+E20</f>
        <v>326310736.19557565</v>
      </c>
      <c r="G19" s="9">
        <f t="shared" si="28"/>
        <v>362141995.99756467</v>
      </c>
      <c r="H19" s="9">
        <f t="shared" si="28"/>
        <v>399146494.38312238</v>
      </c>
      <c r="I19" s="9">
        <f t="shared" si="28"/>
        <v>437362627.41155982</v>
      </c>
      <c r="J19" s="9">
        <f t="shared" si="28"/>
        <v>476830047.09367448</v>
      </c>
      <c r="K19" s="9">
        <f t="shared" si="28"/>
        <v>517589702.45508069</v>
      </c>
      <c r="L19" s="9">
        <f t="shared" si="28"/>
        <v>559683881.94149864</v>
      </c>
      <c r="M19" s="9">
        <f t="shared" si="28"/>
        <v>603156257.20983887</v>
      </c>
      <c r="N19" s="9">
        <f t="shared" si="28"/>
        <v>648051928.35035038</v>
      </c>
      <c r="O19" s="9">
        <f t="shared" si="28"/>
        <v>694417470.58657742</v>
      </c>
      <c r="P19" s="9">
        <f t="shared" si="28"/>
        <v>742300982.50139773</v>
      </c>
      <c r="Q19" s="9">
        <f t="shared" si="28"/>
        <v>791752135.83899152</v>
      </c>
      <c r="R19" s="9">
        <f t="shared" si="28"/>
        <v>842822226.93421555</v>
      </c>
      <c r="S19" s="9">
        <f t="shared" si="28"/>
        <v>895564229.82254028</v>
      </c>
      <c r="T19" s="9">
        <f t="shared" si="28"/>
        <v>950032851.08544266</v>
      </c>
      <c r="U19" s="9">
        <f t="shared" si="28"/>
        <v>1006284586.4879382</v>
      </c>
      <c r="V19" s="9">
        <f t="shared" si="28"/>
        <v>1064377779.4667877</v>
      </c>
      <c r="W19" s="9">
        <f t="shared" si="28"/>
        <v>1124372681.5298254</v>
      </c>
      <c r="X19" s="9">
        <f t="shared" si="28"/>
        <v>1186331514.6288292</v>
      </c>
      <c r="Y19" s="9">
        <f t="shared" si="28"/>
        <v>1250318535.5703883</v>
      </c>
      <c r="Z19" s="9">
        <f t="shared" si="28"/>
        <v>1316400102.531333</v>
      </c>
      <c r="AA19" s="9">
        <f t="shared" si="28"/>
        <v>1384644743.7474597</v>
      </c>
      <c r="AB19" s="9">
        <f t="shared" si="28"/>
        <v>1455123228.4465318</v>
      </c>
      <c r="AC19" s="9">
        <f t="shared" si="28"/>
        <v>1527908640.0988526</v>
      </c>
      <c r="AD19" s="9">
        <f t="shared" si="28"/>
        <v>1603076452.0610986</v>
      </c>
      <c r="AE19" s="9">
        <f t="shared" si="28"/>
        <v>1680704605.6915727</v>
      </c>
      <c r="AF19" s="9">
        <f t="shared" si="28"/>
        <v>1760873591.0175917</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218776744.83750001</v>
      </c>
      <c r="D20" s="9">
        <f>D19-D8-D9</f>
        <v>250334470.9815</v>
      </c>
      <c r="E20" s="9">
        <f t="shared" ref="E20:AF20" si="29">E19-E8-E9</f>
        <v>282902044.36210805</v>
      </c>
      <c r="F20" s="9">
        <f t="shared" si="29"/>
        <v>316511780.09089553</v>
      </c>
      <c r="G20" s="9">
        <f t="shared" si="29"/>
        <v>351197027.36300421</v>
      </c>
      <c r="H20" s="9">
        <f t="shared" si="29"/>
        <v>386992202.54782033</v>
      </c>
      <c r="I20" s="9">
        <f t="shared" si="29"/>
        <v>423932823.33855057</v>
      </c>
      <c r="J20" s="9">
        <f t="shared" si="29"/>
        <v>462055543.99458414</v>
      </c>
      <c r="K20" s="9">
        <f t="shared" si="29"/>
        <v>501398191.71161085</v>
      </c>
      <c r="L20" s="9">
        <f t="shared" si="29"/>
        <v>541999804.15558243</v>
      </c>
      <c r="M20" s="9">
        <f t="shared" si="29"/>
        <v>583900668.19776106</v>
      </c>
      <c r="N20" s="9">
        <f t="shared" si="29"/>
        <v>627142359.8892895</v>
      </c>
      <c r="O20" s="9">
        <f t="shared" si="29"/>
        <v>671767785.71494663</v>
      </c>
      <c r="P20" s="9">
        <f t="shared" si="29"/>
        <v>717821225.16702497</v>
      </c>
      <c r="Q20" s="9">
        <f t="shared" si="29"/>
        <v>765348374.68156981</v>
      </c>
      <c r="R20" s="9">
        <f t="shared" si="29"/>
        <v>814396392.98057997</v>
      </c>
      <c r="S20" s="9">
        <f t="shared" si="29"/>
        <v>865013947.86515844</v>
      </c>
      <c r="T20" s="9">
        <f t="shared" si="29"/>
        <v>917251264.50604343</v>
      </c>
      <c r="U20" s="9">
        <f t="shared" si="29"/>
        <v>971160175.27943683</v>
      </c>
      <c r="V20" s="9">
        <f t="shared" si="29"/>
        <v>1026794171.1975788</v>
      </c>
      <c r="W20" s="9">
        <f t="shared" si="29"/>
        <v>1084208454.9851015</v>
      </c>
      <c r="X20" s="9">
        <f t="shared" si="29"/>
        <v>1143459995.8538246</v>
      </c>
      <c r="Y20" s="9">
        <f t="shared" si="29"/>
        <v>1204607586.0303471</v>
      </c>
      <c r="Z20" s="9">
        <f t="shared" si="29"/>
        <v>1267711899.0925183</v>
      </c>
      <c r="AA20" s="9">
        <f t="shared" si="29"/>
        <v>1332835550.1726789</v>
      </c>
      <c r="AB20" s="9">
        <f t="shared" si="29"/>
        <v>1400043158.0874047</v>
      </c>
      <c r="AC20" s="9">
        <f t="shared" si="29"/>
        <v>1469401409.4554017</v>
      </c>
      <c r="AD20" s="9">
        <f t="shared" si="29"/>
        <v>1540979124.8671746</v>
      </c>
      <c r="AE20" s="9">
        <f t="shared" si="29"/>
        <v>1614847327.1721241</v>
      </c>
      <c r="AF20" s="9">
        <f t="shared" si="29"/>
        <v>1691079311.9508321</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37</v>
      </c>
      <c r="C22" s="9">
        <f>'Balance Sheet'!B11</f>
        <v>11378000</v>
      </c>
      <c r="D22" s="9">
        <f ca="1">'Balance Sheet'!C11</f>
        <v>44988918.467810526</v>
      </c>
      <c r="E22" s="9">
        <f ca="1">'Balance Sheet'!D11</f>
        <v>76582373.26063177</v>
      </c>
      <c r="F22" s="9">
        <f ca="1">'Balance Sheet'!E11</f>
        <v>103640353.61366645</v>
      </c>
      <c r="G22" s="9">
        <f ca="1">'Balance Sheet'!F11</f>
        <v>124107417.38725571</v>
      </c>
      <c r="H22" s="9">
        <f ca="1">'Balance Sheet'!G11</f>
        <v>140422900.31110948</v>
      </c>
      <c r="I22" s="9">
        <f ca="1">'Balance Sheet'!H11</f>
        <v>153443718.34609389</v>
      </c>
      <c r="J22" s="9">
        <f ca="1">'Balance Sheet'!I11</f>
        <v>165003087.44204155</v>
      </c>
      <c r="K22" s="9">
        <f ca="1">'Balance Sheet'!J11</f>
        <v>175920342.34685692</v>
      </c>
      <c r="L22" s="9">
        <f ca="1">'Balance Sheet'!K11</f>
        <v>186628792.4296205</v>
      </c>
      <c r="M22" s="9">
        <f ca="1">'Balance Sheet'!L11</f>
        <v>197704704.60233241</v>
      </c>
      <c r="N22" s="9">
        <f ca="1">'Balance Sheet'!M11</f>
        <v>209076173.63661218</v>
      </c>
      <c r="O22" s="9">
        <f ca="1">'Balance Sheet'!N11</f>
        <v>220659387.54904076</v>
      </c>
      <c r="P22" s="9">
        <f ca="1">'Balance Sheet'!O11</f>
        <v>232357471.48748717</v>
      </c>
      <c r="Q22" s="9">
        <f ca="1">'Balance Sheet'!P11</f>
        <v>244059240.11522141</v>
      </c>
      <c r="R22" s="9">
        <f ca="1">'Balance Sheet'!Q11</f>
        <v>255637851.98210737</v>
      </c>
      <c r="S22" s="9">
        <f ca="1">'Balance Sheet'!R11</f>
        <v>266949358.9368639</v>
      </c>
      <c r="T22" s="9">
        <f ca="1">'Balance Sheet'!S11</f>
        <v>277831143.17107213</v>
      </c>
      <c r="U22" s="9">
        <f ca="1">'Balance Sheet'!T11</f>
        <v>289294160.98040676</v>
      </c>
      <c r="V22" s="9">
        <f ca="1">'Balance Sheet'!U11</f>
        <v>301307911.88453805</v>
      </c>
      <c r="W22" s="9">
        <f ca="1">'Balance Sheet'!V11</f>
        <v>313834979.63564515</v>
      </c>
      <c r="X22" s="9">
        <f ca="1">'Balance Sheet'!W11</f>
        <v>326830360.2584312</v>
      </c>
      <c r="Y22" s="9">
        <f ca="1">'Balance Sheet'!X11</f>
        <v>340240739.82632726</v>
      </c>
      <c r="Z22" s="9">
        <f ca="1">'Balance Sheet'!Y11</f>
        <v>354003718.68348455</v>
      </c>
      <c r="AA22" s="9">
        <f ca="1">'Balance Sheet'!Z11</f>
        <v>368046978.62336409</v>
      </c>
      <c r="AB22" s="9">
        <f ca="1">'Balance Sheet'!AA11</f>
        <v>382287389.32455099</v>
      </c>
      <c r="AC22" s="9">
        <f ca="1">'Balance Sheet'!AB11</f>
        <v>398394024.04992986</v>
      </c>
      <c r="AD22" s="9">
        <f ca="1">'Balance Sheet'!AC11</f>
        <v>419784079.91703254</v>
      </c>
      <c r="AE22" s="9">
        <f ca="1">'Balance Sheet'!AD11</f>
        <v>446902037.23280752</v>
      </c>
      <c r="AF22" s="9">
        <f ca="1">'Balance Sheet'!AE11</f>
        <v>480219030.47088349</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38</v>
      </c>
      <c r="C23" s="9">
        <f>C20-C22</f>
        <v>207398744.83750001</v>
      </c>
      <c r="D23" s="9">
        <f t="shared" ref="D23:AF23" ca="1" si="30">D20-D22</f>
        <v>205345552.51368946</v>
      </c>
      <c r="E23" s="9">
        <f t="shared" ca="1" si="30"/>
        <v>206319671.10147628</v>
      </c>
      <c r="F23" s="9">
        <f t="shared" ca="1" si="30"/>
        <v>212871426.47722909</v>
      </c>
      <c r="G23" s="9">
        <f t="shared" ca="1" si="30"/>
        <v>227089609.97574848</v>
      </c>
      <c r="H23" s="9">
        <f t="shared" ca="1" si="30"/>
        <v>246569302.23671085</v>
      </c>
      <c r="I23" s="9">
        <f t="shared" ca="1" si="30"/>
        <v>270489104.99245667</v>
      </c>
      <c r="J23" s="9">
        <f ca="1">J20-J22</f>
        <v>297052456.55254257</v>
      </c>
      <c r="K23" s="9">
        <f t="shared" ca="1" si="30"/>
        <v>325477849.36475396</v>
      </c>
      <c r="L23" s="9">
        <f t="shared" ca="1" si="30"/>
        <v>355371011.72596192</v>
      </c>
      <c r="M23" s="9">
        <f t="shared" ca="1" si="30"/>
        <v>386195963.59542865</v>
      </c>
      <c r="N23" s="9">
        <f t="shared" ca="1" si="30"/>
        <v>418066186.25267732</v>
      </c>
      <c r="O23" s="9">
        <f t="shared" ca="1" si="30"/>
        <v>451108398.16590583</v>
      </c>
      <c r="P23" s="9">
        <f t="shared" ca="1" si="30"/>
        <v>485463753.67953777</v>
      </c>
      <c r="Q23" s="9">
        <f t="shared" ca="1" si="30"/>
        <v>521289134.56634843</v>
      </c>
      <c r="R23" s="9">
        <f t="shared" ca="1" si="30"/>
        <v>558758540.99847257</v>
      </c>
      <c r="S23" s="9">
        <f t="shared" ca="1" si="30"/>
        <v>598064588.92829454</v>
      </c>
      <c r="T23" s="9">
        <f t="shared" ca="1" si="30"/>
        <v>639420121.33497131</v>
      </c>
      <c r="U23" s="9">
        <f t="shared" ca="1" si="30"/>
        <v>681866014.29903007</v>
      </c>
      <c r="V23" s="9">
        <f t="shared" ca="1" si="30"/>
        <v>725486259.31304073</v>
      </c>
      <c r="W23" s="9">
        <f t="shared" ca="1" si="30"/>
        <v>770373475.34945631</v>
      </c>
      <c r="X23" s="9">
        <f t="shared" ca="1" si="30"/>
        <v>816629635.59539342</v>
      </c>
      <c r="Y23" s="9">
        <f t="shared" ca="1" si="30"/>
        <v>864366846.20401978</v>
      </c>
      <c r="Z23" s="9">
        <f t="shared" ca="1" si="30"/>
        <v>913708180.40903378</v>
      </c>
      <c r="AA23" s="9">
        <f t="shared" ca="1" si="30"/>
        <v>964788571.54931486</v>
      </c>
      <c r="AB23" s="9">
        <f t="shared" ca="1" si="30"/>
        <v>1017755768.7628537</v>
      </c>
      <c r="AC23" s="9">
        <f t="shared" ca="1" si="30"/>
        <v>1071007385.4054718</v>
      </c>
      <c r="AD23" s="9">
        <f t="shared" ca="1" si="30"/>
        <v>1121195044.9501421</v>
      </c>
      <c r="AE23" s="9">
        <f t="shared" ca="1" si="30"/>
        <v>1167945289.9393167</v>
      </c>
      <c r="AF23" s="9">
        <f t="shared" ca="1" si="30"/>
        <v>1210860281.4799485</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167</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11378000</v>
      </c>
      <c r="D5" s="1">
        <f ca="1">C5+C6</f>
        <v>44988918.467810526</v>
      </c>
      <c r="E5" s="1">
        <f t="shared" ref="E5:AF5" ca="1" si="1">D5+D6</f>
        <v>76582373.26063177</v>
      </c>
      <c r="F5" s="1">
        <f t="shared" ca="1" si="1"/>
        <v>103640353.61366645</v>
      </c>
      <c r="G5" s="1">
        <f t="shared" ca="1" si="1"/>
        <v>124107417.38725571</v>
      </c>
      <c r="H5" s="1">
        <f t="shared" ca="1" si="1"/>
        <v>140422900.31110948</v>
      </c>
      <c r="I5" s="1">
        <f t="shared" ca="1" si="1"/>
        <v>153443718.34609389</v>
      </c>
      <c r="J5" s="1">
        <f t="shared" ca="1" si="1"/>
        <v>165003087.44204155</v>
      </c>
      <c r="K5" s="1">
        <f t="shared" ca="1" si="1"/>
        <v>175920342.34685692</v>
      </c>
      <c r="L5" s="1">
        <f t="shared" ca="1" si="1"/>
        <v>186628792.4296205</v>
      </c>
      <c r="M5" s="1">
        <f t="shared" ca="1" si="1"/>
        <v>197704704.60233241</v>
      </c>
      <c r="N5" s="1">
        <f t="shared" ca="1" si="1"/>
        <v>209076173.63661218</v>
      </c>
      <c r="O5" s="1">
        <f t="shared" ca="1" si="1"/>
        <v>220659387.54904076</v>
      </c>
      <c r="P5" s="1">
        <f t="shared" ca="1" si="1"/>
        <v>232357471.48748717</v>
      </c>
      <c r="Q5" s="1">
        <f t="shared" ca="1" si="1"/>
        <v>244059240.11522141</v>
      </c>
      <c r="R5" s="1">
        <f t="shared" ca="1" si="1"/>
        <v>255637851.98210737</v>
      </c>
      <c r="S5" s="1">
        <f t="shared" ca="1" si="1"/>
        <v>266949358.9368639</v>
      </c>
      <c r="T5" s="1">
        <f t="shared" ca="1" si="1"/>
        <v>277831143.17107213</v>
      </c>
      <c r="U5" s="1">
        <f t="shared" ca="1" si="1"/>
        <v>289294160.98040676</v>
      </c>
      <c r="V5" s="1">
        <f t="shared" ca="1" si="1"/>
        <v>301307911.88453805</v>
      </c>
      <c r="W5" s="1">
        <f t="shared" ca="1" si="1"/>
        <v>313834979.63564515</v>
      </c>
      <c r="X5" s="1">
        <f t="shared" ca="1" si="1"/>
        <v>326830360.2584312</v>
      </c>
      <c r="Y5" s="1">
        <f t="shared" ca="1" si="1"/>
        <v>340240739.82632726</v>
      </c>
      <c r="Z5" s="1">
        <f t="shared" ca="1" si="1"/>
        <v>354003718.68348455</v>
      </c>
      <c r="AA5" s="1">
        <f t="shared" ca="1" si="1"/>
        <v>368046978.62336409</v>
      </c>
      <c r="AB5" s="1">
        <f t="shared" ca="1" si="1"/>
        <v>382287389.32455099</v>
      </c>
      <c r="AC5" s="1">
        <f t="shared" ca="1" si="1"/>
        <v>398394024.04992986</v>
      </c>
      <c r="AD5" s="1">
        <f t="shared" ca="1" si="1"/>
        <v>419784079.91703254</v>
      </c>
      <c r="AE5" s="1">
        <f t="shared" ca="1" si="1"/>
        <v>446902037.23280752</v>
      </c>
      <c r="AF5" s="1">
        <f t="shared" ca="1" si="1"/>
        <v>480219030.47088349</v>
      </c>
      <c r="AG5" s="1"/>
      <c r="AH5" s="1"/>
      <c r="AI5" s="1"/>
      <c r="AJ5" s="1"/>
      <c r="AK5" s="1"/>
      <c r="AL5" s="1"/>
      <c r="AM5" s="1"/>
      <c r="AN5" s="1"/>
      <c r="AO5" s="1"/>
      <c r="AP5" s="1"/>
    </row>
    <row r="6" spans="1:42" x14ac:dyDescent="0.35">
      <c r="A6" s="63" t="s">
        <v>3</v>
      </c>
      <c r="C6" s="1">
        <f ca="1">-'Cash Flow'!C13</f>
        <v>33610918.467810526</v>
      </c>
      <c r="D6" s="1">
        <f ca="1">-'Cash Flow'!D13</f>
        <v>31593454.792821251</v>
      </c>
      <c r="E6" s="1">
        <f ca="1">-'Cash Flow'!E13</f>
        <v>27057980.353034679</v>
      </c>
      <c r="F6" s="1">
        <f ca="1">-'Cash Flow'!F13</f>
        <v>20467063.773589265</v>
      </c>
      <c r="G6" s="1">
        <f ca="1">-'Cash Flow'!G13</f>
        <v>16315482.923853774</v>
      </c>
      <c r="H6" s="1">
        <f ca="1">-'Cash Flow'!H13</f>
        <v>13020818.03498441</v>
      </c>
      <c r="I6" s="1">
        <f ca="1">-'Cash Flow'!I13</f>
        <v>11559369.095947661</v>
      </c>
      <c r="J6" s="1">
        <f ca="1">-'Cash Flow'!J13</f>
        <v>10917254.904815368</v>
      </c>
      <c r="K6" s="1">
        <f ca="1">-'Cash Flow'!K13</f>
        <v>10708450.082763597</v>
      </c>
      <c r="L6" s="1">
        <f ca="1">-'Cash Flow'!L13</f>
        <v>11075912.172711894</v>
      </c>
      <c r="M6" s="1">
        <f ca="1">-'Cash Flow'!M13</f>
        <v>11371469.034279771</v>
      </c>
      <c r="N6" s="1">
        <f ca="1">-'Cash Flow'!N13</f>
        <v>11583213.91242858</v>
      </c>
      <c r="O6" s="1">
        <f ca="1">-'Cash Flow'!O13</f>
        <v>11698083.93844641</v>
      </c>
      <c r="P6" s="1">
        <f ca="1">-'Cash Flow'!P13</f>
        <v>11701768.627734244</v>
      </c>
      <c r="Q6" s="1">
        <f ca="1">-'Cash Flow'!Q13</f>
        <v>11578611.86688596</v>
      </c>
      <c r="R6" s="1">
        <f ca="1">-'Cash Flow'!R13</f>
        <v>11311506.954756536</v>
      </c>
      <c r="S6" s="1">
        <f ca="1">-'Cash Flow'!S13</f>
        <v>10881784.234208241</v>
      </c>
      <c r="T6" s="1">
        <f ca="1">-'Cash Flow'!T13</f>
        <v>11463017.809334606</v>
      </c>
      <c r="U6" s="1">
        <f ca="1">-'Cash Flow'!U13</f>
        <v>12013750.904131263</v>
      </c>
      <c r="V6" s="1">
        <f ca="1">-'Cash Flow'!V13</f>
        <v>12527067.751107082</v>
      </c>
      <c r="W6" s="1">
        <f ca="1">-'Cash Flow'!W13</f>
        <v>12995380.62278603</v>
      </c>
      <c r="X6" s="1">
        <f ca="1">-'Cash Flow'!X13</f>
        <v>13410379.567896083</v>
      </c>
      <c r="Y6" s="1">
        <f ca="1">-'Cash Flow'!Y13</f>
        <v>13762978.857157275</v>
      </c>
      <c r="Z6" s="1">
        <f ca="1">-'Cash Flow'!Z13</f>
        <v>14043259.939879566</v>
      </c>
      <c r="AA6" s="1">
        <f ca="1">-'Cash Flow'!AA13</f>
        <v>14240410.701186925</v>
      </c>
      <c r="AB6" s="1">
        <f ca="1">-'Cash Flow'!AB13</f>
        <v>16106634.725378886</v>
      </c>
      <c r="AC6" s="1">
        <f ca="1">-'Cash Flow'!AC13</f>
        <v>21390055.867102697</v>
      </c>
      <c r="AD6" s="1">
        <f ca="1">-'Cash Flow'!AD13</f>
        <v>27117957.315774977</v>
      </c>
      <c r="AE6" s="1">
        <f ca="1">-'Cash Flow'!AE13</f>
        <v>33316993.238075957</v>
      </c>
      <c r="AF6" s="1">
        <f ca="1">-'Cash Flow'!AF13</f>
        <v>40015184.951891914</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1574612.1463733686</v>
      </c>
      <c r="D8" s="1">
        <f ca="1">IF(SUM(D5:D6)&gt;0,Assumptions!$C$26*SUM(D5:D6),Assumptions!$C$27*(SUM(D5:D6)))</f>
        <v>2680383.064122112</v>
      </c>
      <c r="E8" s="1">
        <f ca="1">IF(SUM(E5:E6)&gt;0,Assumptions!$C$26*SUM(E5:E6),Assumptions!$C$27*(SUM(E5:E6)))</f>
        <v>3627412.376478326</v>
      </c>
      <c r="F8" s="1">
        <f ca="1">IF(SUM(F5:F6)&gt;0,Assumptions!$C$26*SUM(F5:F6),Assumptions!$C$27*(SUM(F5:F6)))</f>
        <v>4343759.6085539507</v>
      </c>
      <c r="G8" s="1">
        <f ca="1">IF(SUM(G5:G6)&gt;0,Assumptions!$C$26*SUM(G5:G6),Assumptions!$C$27*(SUM(G5:G6)))</f>
        <v>4914801.5108888326</v>
      </c>
      <c r="H8" s="1">
        <f ca="1">IF(SUM(H5:H6)&gt;0,Assumptions!$C$26*SUM(H5:H6),Assumptions!$C$27*(SUM(H5:H6)))</f>
        <v>5370530.142113287</v>
      </c>
      <c r="I8" s="1">
        <f ca="1">IF(SUM(I5:I6)&gt;0,Assumptions!$C$26*SUM(I5:I6),Assumptions!$C$27*(SUM(I5:I6)))</f>
        <v>5775108.0604714546</v>
      </c>
      <c r="J8" s="1">
        <f ca="1">IF(SUM(J5:J6)&gt;0,Assumptions!$C$26*SUM(J5:J6),Assumptions!$C$27*(SUM(J5:J6)))</f>
        <v>6157211.9821399925</v>
      </c>
      <c r="K8" s="1">
        <f ca="1">IF(SUM(K5:K6)&gt;0,Assumptions!$C$26*SUM(K5:K6),Assumptions!$C$27*(SUM(K5:K6)))</f>
        <v>6532007.7350367187</v>
      </c>
      <c r="L8" s="1">
        <f ca="1">IF(SUM(L5:L6)&gt;0,Assumptions!$C$26*SUM(L5:L6),Assumptions!$C$27*(SUM(L5:L6)))</f>
        <v>6919664.6610816354</v>
      </c>
      <c r="M8" s="1">
        <f ca="1">IF(SUM(M5:M6)&gt;0,Assumptions!$C$26*SUM(M5:M6),Assumptions!$C$27*(SUM(M5:M6)))</f>
        <v>7317666.0772814266</v>
      </c>
      <c r="N8" s="1">
        <f ca="1">IF(SUM(N5:N6)&gt;0,Assumptions!$C$26*SUM(N5:N6),Assumptions!$C$27*(SUM(N5:N6)))</f>
        <v>7723078.5642164275</v>
      </c>
      <c r="O8" s="1">
        <f ca="1">IF(SUM(O5:O6)&gt;0,Assumptions!$C$26*SUM(O5:O6),Assumptions!$C$27*(SUM(O5:O6)))</f>
        <v>8132511.5020620516</v>
      </c>
      <c r="P8" s="1">
        <f ca="1">IF(SUM(P5:P6)&gt;0,Assumptions!$C$26*SUM(P5:P6),Assumptions!$C$27*(SUM(P5:P6)))</f>
        <v>8542073.4040327501</v>
      </c>
      <c r="Q8" s="1">
        <f ca="1">IF(SUM(Q5:Q6)&gt;0,Assumptions!$C$26*SUM(Q5:Q6),Assumptions!$C$27*(SUM(Q5:Q6)))</f>
        <v>8947324.8193737585</v>
      </c>
      <c r="R8" s="1">
        <f ca="1">IF(SUM(R5:R6)&gt;0,Assumptions!$C$26*SUM(R5:R6),Assumptions!$C$27*(SUM(R5:R6)))</f>
        <v>9343227.5627902374</v>
      </c>
      <c r="S8" s="1">
        <f ca="1">IF(SUM(S5:S6)&gt;0,Assumptions!$C$26*SUM(S5:S6),Assumptions!$C$27*(SUM(S5:S6)))</f>
        <v>9724090.0109875258</v>
      </c>
      <c r="T8" s="1">
        <f ca="1">IF(SUM(T5:T6)&gt;0,Assumptions!$C$26*SUM(T5:T6),Assumptions!$C$27*(SUM(T5:T6)))</f>
        <v>10125295.634314237</v>
      </c>
      <c r="U8" s="1">
        <f ca="1">IF(SUM(U5:U6)&gt;0,Assumptions!$C$26*SUM(U5:U6),Assumptions!$C$27*(SUM(U5:U6)))</f>
        <v>10545776.915958833</v>
      </c>
      <c r="V8" s="1">
        <f ca="1">IF(SUM(V5:V6)&gt;0,Assumptions!$C$26*SUM(V5:V6),Assumptions!$C$27*(SUM(V5:V6)))</f>
        <v>10984224.287247581</v>
      </c>
      <c r="W8" s="1">
        <f ca="1">IF(SUM(W5:W6)&gt;0,Assumptions!$C$26*SUM(W5:W6),Assumptions!$C$27*(SUM(W5:W6)))</f>
        <v>11439062.609045094</v>
      </c>
      <c r="X8" s="1">
        <f ca="1">IF(SUM(X5:X6)&gt;0,Assumptions!$C$26*SUM(X5:X6),Assumptions!$C$27*(SUM(X5:X6)))</f>
        <v>11908425.893921455</v>
      </c>
      <c r="Y8" s="1">
        <f ca="1">IF(SUM(Y5:Y6)&gt;0,Assumptions!$C$26*SUM(Y5:Y6),Assumptions!$C$27*(SUM(Y5:Y6)))</f>
        <v>12390130.15392196</v>
      </c>
      <c r="Z8" s="1">
        <f ca="1">IF(SUM(Z5:Z6)&gt;0,Assumptions!$C$26*SUM(Z5:Z6),Assumptions!$C$27*(SUM(Z5:Z6)))</f>
        <v>12881644.251817744</v>
      </c>
      <c r="AA8" s="1">
        <f ca="1">IF(SUM(AA5:AA6)&gt;0,Assumptions!$C$26*SUM(AA5:AA6),Assumptions!$C$27*(SUM(AA5:AA6)))</f>
        <v>13380058.626359286</v>
      </c>
      <c r="AB8" s="1">
        <f ca="1">IF(SUM(AB5:AB6)&gt;0,Assumptions!$C$26*SUM(AB5:AB6),Assumptions!$C$27*(SUM(AB5:AB6)))</f>
        <v>13943790.841747547</v>
      </c>
      <c r="AC8" s="1">
        <f ca="1">IF(SUM(AC5:AC6)&gt;0,Assumptions!$C$26*SUM(AC5:AC6),Assumptions!$C$27*(SUM(AC5:AC6)))</f>
        <v>14692442.797096141</v>
      </c>
      <c r="AD8" s="1">
        <f ca="1">IF(SUM(AD5:AD6)&gt;0,Assumptions!$C$26*SUM(AD5:AD6),Assumptions!$C$27*(SUM(AD5:AD6)))</f>
        <v>15641571.303148264</v>
      </c>
      <c r="AE8" s="1">
        <f ca="1">IF(SUM(AE5:AE6)&gt;0,Assumptions!$C$26*SUM(AE5:AE6),Assumptions!$C$27*(SUM(AE5:AE6)))</f>
        <v>16807666.066480923</v>
      </c>
      <c r="AF8" s="1">
        <f ca="1">IF(SUM(AF5:AF6)&gt;0,Assumptions!$C$26*SUM(AF5:AF6),Assumptions!$C$27*(SUM(AF5:AF6)))</f>
        <v>18208197.539797142</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80" zoomScaleNormal="80" workbookViewId="0">
      <selection sqref="A1:XFD1048576"/>
    </sheetView>
  </sheetViews>
  <sheetFormatPr defaultRowHeight="15.5" x14ac:dyDescent="0.35"/>
  <cols>
    <col min="1" max="1" width="107.9140625" style="63" customWidth="1"/>
    <col min="2" max="2" width="15.25" style="63" bestFit="1" customWidth="1"/>
    <col min="3" max="3" width="67.4140625" style="63" customWidth="1"/>
    <col min="4" max="16384" width="8.6640625" style="63"/>
  </cols>
  <sheetData>
    <row r="1" spans="1:3" ht="26" x14ac:dyDescent="0.6">
      <c r="A1" s="13" t="s">
        <v>186</v>
      </c>
    </row>
    <row r="2" spans="1:3" ht="26" x14ac:dyDescent="0.6">
      <c r="A2" s="13"/>
    </row>
    <row r="3" spans="1:3" ht="186" x14ac:dyDescent="0.35">
      <c r="A3" s="173" t="s">
        <v>189</v>
      </c>
    </row>
    <row r="4" spans="1:3" ht="26" x14ac:dyDescent="0.6">
      <c r="A4" s="13"/>
    </row>
    <row r="5" spans="1:3" ht="18.5" x14ac:dyDescent="0.45">
      <c r="A5" s="89" t="s">
        <v>178</v>
      </c>
      <c r="B5" s="90"/>
    </row>
    <row r="6" spans="1:3" ht="18.5" x14ac:dyDescent="0.45">
      <c r="A6" s="90"/>
      <c r="B6" s="90"/>
    </row>
    <row r="7" spans="1:3" ht="18.5" x14ac:dyDescent="0.45">
      <c r="A7" s="90" t="s">
        <v>97</v>
      </c>
      <c r="B7" s="181">
        <f>Assumptions!C24</f>
        <v>11124000</v>
      </c>
      <c r="C7" s="179" t="str">
        <f>Assumptions!B24</f>
        <v>RFI Table F10; Lines F10.62 + F10.70</v>
      </c>
    </row>
    <row r="8" spans="1:3" ht="34" x14ac:dyDescent="0.45">
      <c r="A8" s="90" t="s">
        <v>175</v>
      </c>
      <c r="B8" s="182">
        <f>Assumptions!$C$133</f>
        <v>0.7</v>
      </c>
      <c r="C8" s="179" t="s">
        <v>198</v>
      </c>
    </row>
    <row r="9" spans="1:3" ht="18.5" x14ac:dyDescent="0.45">
      <c r="A9" s="90"/>
      <c r="B9" s="183"/>
      <c r="C9" s="179"/>
    </row>
    <row r="10" spans="1:3" ht="51" x14ac:dyDescent="0.45">
      <c r="A10" s="94" t="s">
        <v>103</v>
      </c>
      <c r="B10" s="184">
        <f>Assumptions!C135</f>
        <v>4703.333333333333</v>
      </c>
      <c r="C10" s="179" t="s">
        <v>199</v>
      </c>
    </row>
    <row r="11" spans="1:3" ht="18.5" x14ac:dyDescent="0.45">
      <c r="A11" s="94"/>
      <c r="B11" s="185"/>
      <c r="C11" s="179"/>
    </row>
    <row r="12" spans="1:3" ht="18.5" x14ac:dyDescent="0.45">
      <c r="A12" s="94" t="s">
        <v>185</v>
      </c>
      <c r="B12" s="181">
        <f>(B7*B8)/B10</f>
        <v>1655.5917788802267</v>
      </c>
      <c r="C12" s="179"/>
    </row>
    <row r="13" spans="1:3" ht="18.5" x14ac:dyDescent="0.45">
      <c r="A13" s="96"/>
      <c r="B13" s="186"/>
      <c r="C13" s="179"/>
    </row>
    <row r="14" spans="1:3" ht="18.5" x14ac:dyDescent="0.45">
      <c r="A14" s="94" t="s">
        <v>104</v>
      </c>
      <c r="B14" s="103">
        <v>1</v>
      </c>
      <c r="C14" s="179"/>
    </row>
    <row r="15" spans="1:3" ht="18.5" x14ac:dyDescent="0.45">
      <c r="A15" s="96"/>
      <c r="B15" s="99"/>
      <c r="C15" s="179"/>
    </row>
    <row r="16" spans="1:3" ht="18.5" x14ac:dyDescent="0.45">
      <c r="A16" s="96" t="s">
        <v>180</v>
      </c>
      <c r="B16" s="187">
        <f>B12/B14</f>
        <v>1655.5917788802267</v>
      </c>
      <c r="C16" s="179"/>
    </row>
    <row r="17" spans="1:3" ht="18.5" x14ac:dyDescent="0.45">
      <c r="A17" s="94"/>
      <c r="B17" s="188"/>
      <c r="C17" s="179"/>
    </row>
    <row r="18" spans="1:3" ht="18.5" x14ac:dyDescent="0.45">
      <c r="A18" s="102" t="s">
        <v>179</v>
      </c>
      <c r="B18" s="188"/>
      <c r="C18" s="179"/>
    </row>
    <row r="19" spans="1:3" ht="18.5" x14ac:dyDescent="0.45">
      <c r="A19" s="94"/>
      <c r="B19" s="188"/>
      <c r="C19" s="179"/>
    </row>
    <row r="20" spans="1:3" ht="34" x14ac:dyDescent="0.45">
      <c r="A20" s="94" t="s">
        <v>66</v>
      </c>
      <c r="B20" s="181">
        <f>'Profit and Loss'!L5</f>
        <v>76623859.915579483</v>
      </c>
      <c r="C20" s="179" t="s">
        <v>200</v>
      </c>
    </row>
    <row r="21" spans="1:3" ht="34" x14ac:dyDescent="0.45">
      <c r="A21" s="94" t="str">
        <f>A8</f>
        <v>Assumed revenue from households</v>
      </c>
      <c r="B21" s="182">
        <f>B8</f>
        <v>0.7</v>
      </c>
      <c r="C21" s="179" t="s">
        <v>198</v>
      </c>
    </row>
    <row r="22" spans="1:3" ht="18.5" x14ac:dyDescent="0.45">
      <c r="A22" s="94"/>
      <c r="B22" s="185"/>
      <c r="C22" s="179"/>
    </row>
    <row r="23" spans="1:3" ht="18.5" x14ac:dyDescent="0.45">
      <c r="A23" s="94" t="s">
        <v>102</v>
      </c>
      <c r="B23" s="184">
        <f>Assumptions!M135</f>
        <v>4703.333333333333</v>
      </c>
      <c r="C23" s="179" t="s">
        <v>201</v>
      </c>
    </row>
    <row r="24" spans="1:3" ht="18.5" x14ac:dyDescent="0.45">
      <c r="A24" s="94"/>
      <c r="B24" s="185"/>
      <c r="C24" s="179"/>
    </row>
    <row r="25" spans="1:3" ht="18.5" x14ac:dyDescent="0.45">
      <c r="A25" s="94" t="s">
        <v>184</v>
      </c>
      <c r="B25" s="181">
        <f>(B20*B21)/B23</f>
        <v>11403.976316280434</v>
      </c>
      <c r="C25" s="179"/>
    </row>
    <row r="26" spans="1:3" ht="18.5" x14ac:dyDescent="0.45">
      <c r="A26" s="94"/>
      <c r="B26" s="181"/>
      <c r="C26" s="179"/>
    </row>
    <row r="27" spans="1:3" ht="34" x14ac:dyDescent="0.45">
      <c r="A27" s="94" t="s">
        <v>104</v>
      </c>
      <c r="B27" s="103">
        <f>1.022^11</f>
        <v>1.2704566586717592</v>
      </c>
      <c r="C27" s="179" t="s">
        <v>202</v>
      </c>
    </row>
    <row r="28" spans="1:3" ht="18.5" x14ac:dyDescent="0.45">
      <c r="A28" s="96"/>
      <c r="B28" s="186"/>
      <c r="C28" s="179"/>
    </row>
    <row r="29" spans="1:3" ht="18.5" x14ac:dyDescent="0.45">
      <c r="A29" s="96" t="s">
        <v>181</v>
      </c>
      <c r="B29" s="181">
        <f>B25/B27</f>
        <v>8976.2812752723876</v>
      </c>
      <c r="C29" s="179"/>
    </row>
    <row r="30" spans="1:3" ht="18.5" x14ac:dyDescent="0.45">
      <c r="A30" s="96"/>
      <c r="B30" s="186"/>
      <c r="C30" s="179"/>
    </row>
    <row r="31" spans="1:3" ht="18.5" x14ac:dyDescent="0.45">
      <c r="A31" s="102" t="s">
        <v>187</v>
      </c>
      <c r="B31" s="189"/>
      <c r="C31" s="179"/>
    </row>
    <row r="32" spans="1:3" ht="18.5" x14ac:dyDescent="0.45">
      <c r="A32" s="94"/>
      <c r="B32" s="181"/>
      <c r="C32" s="179"/>
    </row>
    <row r="33" spans="1:3" ht="34" x14ac:dyDescent="0.45">
      <c r="A33" s="94" t="s">
        <v>67</v>
      </c>
      <c r="B33" s="181">
        <f>'Profit and Loss'!AF5</f>
        <v>193132960.43736371</v>
      </c>
      <c r="C33" s="179" t="s">
        <v>200</v>
      </c>
    </row>
    <row r="34" spans="1:3" ht="34" x14ac:dyDescent="0.45">
      <c r="A34" s="94" t="str">
        <f>A21</f>
        <v>Assumed revenue from households</v>
      </c>
      <c r="B34" s="182">
        <f>B21</f>
        <v>0.7</v>
      </c>
      <c r="C34" s="179" t="s">
        <v>198</v>
      </c>
    </row>
    <row r="35" spans="1:3" ht="18.5" x14ac:dyDescent="0.45">
      <c r="A35" s="94"/>
      <c r="B35" s="185"/>
      <c r="C35" s="179"/>
    </row>
    <row r="36" spans="1:3" ht="18.5" x14ac:dyDescent="0.45">
      <c r="A36" s="94" t="s">
        <v>101</v>
      </c>
      <c r="B36" s="184">
        <f>Assumptions!AG135</f>
        <v>4703.333333333333</v>
      </c>
      <c r="C36" s="179" t="s">
        <v>201</v>
      </c>
    </row>
    <row r="37" spans="1:3" ht="18.5" x14ac:dyDescent="0.45">
      <c r="A37" s="94"/>
      <c r="B37" s="185"/>
      <c r="C37" s="179"/>
    </row>
    <row r="38" spans="1:3" ht="18.5" x14ac:dyDescent="0.45">
      <c r="A38" s="94" t="s">
        <v>183</v>
      </c>
      <c r="B38" s="181">
        <f>(B33*B34)/B36</f>
        <v>28744.097584582832</v>
      </c>
      <c r="C38" s="179"/>
    </row>
    <row r="39" spans="1:3" ht="18.5" x14ac:dyDescent="0.45">
      <c r="A39" s="94"/>
      <c r="B39" s="185"/>
      <c r="C39" s="179"/>
    </row>
    <row r="40" spans="1:3" ht="34" x14ac:dyDescent="0.45">
      <c r="A40" s="94" t="s">
        <v>104</v>
      </c>
      <c r="B40" s="103">
        <f>1.022^31</f>
        <v>1.9632597808456462</v>
      </c>
      <c r="C40" s="179" t="s">
        <v>202</v>
      </c>
    </row>
    <row r="41" spans="1:3" ht="18.5" x14ac:dyDescent="0.45">
      <c r="A41" s="96"/>
      <c r="B41" s="186"/>
      <c r="C41" s="180"/>
    </row>
    <row r="42" spans="1:3" ht="18.5" x14ac:dyDescent="0.45">
      <c r="A42" s="96" t="s">
        <v>182</v>
      </c>
      <c r="B42" s="181">
        <f>B38/B40</f>
        <v>14641.005670783783</v>
      </c>
      <c r="C42" s="18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80" zoomScaleNormal="80" workbookViewId="0">
      <pane ySplit="4" topLeftCell="A59" activePane="bottomLeft" state="frozen"/>
      <selection sqref="A1:XFD1048576"/>
      <selection pane="bottomLeft" sqref="A1:XFD1048576"/>
    </sheetView>
  </sheetViews>
  <sheetFormatPr defaultColWidth="10.83203125" defaultRowHeight="15.5" x14ac:dyDescent="0.35"/>
  <cols>
    <col min="1" max="1" width="64.4140625" style="76"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162</v>
      </c>
    </row>
    <row r="2" spans="1:33" ht="26.5" thickBot="1" x14ac:dyDescent="0.4">
      <c r="A2" s="111"/>
      <c r="B2" s="111"/>
      <c r="D2" s="112"/>
    </row>
    <row r="3" spans="1:33" s="114" customFormat="1" ht="21.5" thickBot="1" x14ac:dyDescent="0.4">
      <c r="A3" s="84"/>
      <c r="B3" s="84"/>
      <c r="C3" s="113"/>
      <c r="D3" s="190" t="s">
        <v>28</v>
      </c>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row>
    <row r="4" spans="1:33" s="120" customFormat="1" ht="16" thickBot="1" x14ac:dyDescent="0.4">
      <c r="A4" s="115" t="s">
        <v>26</v>
      </c>
      <c r="B4" s="115" t="s">
        <v>115</v>
      </c>
      <c r="C4" s="116" t="s">
        <v>27</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29</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30</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63</v>
      </c>
      <c r="B9" s="78" t="s">
        <v>130</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64</v>
      </c>
      <c r="B11" s="78" t="s">
        <v>130</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32</v>
      </c>
      <c r="B13" s="106" t="s">
        <v>139</v>
      </c>
      <c r="C13" s="127">
        <v>0</v>
      </c>
      <c r="D13" s="128">
        <f t="shared" ref="D13:AG13" si="3">(1+$C$13)^D8</f>
        <v>1</v>
      </c>
      <c r="E13" s="128">
        <f t="shared" si="3"/>
        <v>1</v>
      </c>
      <c r="F13" s="128">
        <f t="shared" si="3"/>
        <v>1</v>
      </c>
      <c r="G13" s="128">
        <f t="shared" si="3"/>
        <v>1</v>
      </c>
      <c r="H13" s="128">
        <f t="shared" si="3"/>
        <v>1</v>
      </c>
      <c r="I13" s="128">
        <f t="shared" si="3"/>
        <v>1</v>
      </c>
      <c r="J13" s="128">
        <f t="shared" si="3"/>
        <v>1</v>
      </c>
      <c r="K13" s="128">
        <f t="shared" si="3"/>
        <v>1</v>
      </c>
      <c r="L13" s="128">
        <f t="shared" si="3"/>
        <v>1</v>
      </c>
      <c r="M13" s="128">
        <f t="shared" si="3"/>
        <v>1</v>
      </c>
      <c r="N13" s="128">
        <f t="shared" si="3"/>
        <v>1</v>
      </c>
      <c r="O13" s="128">
        <f t="shared" si="3"/>
        <v>1</v>
      </c>
      <c r="P13" s="128">
        <f t="shared" si="3"/>
        <v>1</v>
      </c>
      <c r="Q13" s="128">
        <f t="shared" si="3"/>
        <v>1</v>
      </c>
      <c r="R13" s="128">
        <f t="shared" si="3"/>
        <v>1</v>
      </c>
      <c r="S13" s="128">
        <f t="shared" si="3"/>
        <v>1</v>
      </c>
      <c r="T13" s="128">
        <f t="shared" si="3"/>
        <v>1</v>
      </c>
      <c r="U13" s="128">
        <f t="shared" si="3"/>
        <v>1</v>
      </c>
      <c r="V13" s="128">
        <f t="shared" si="3"/>
        <v>1</v>
      </c>
      <c r="W13" s="128">
        <f t="shared" si="3"/>
        <v>1</v>
      </c>
      <c r="X13" s="128">
        <f t="shared" si="3"/>
        <v>1</v>
      </c>
      <c r="Y13" s="128">
        <f t="shared" si="3"/>
        <v>1</v>
      </c>
      <c r="Z13" s="128">
        <f t="shared" si="3"/>
        <v>1</v>
      </c>
      <c r="AA13" s="128">
        <f t="shared" si="3"/>
        <v>1</v>
      </c>
      <c r="AB13" s="128">
        <f t="shared" si="3"/>
        <v>1</v>
      </c>
      <c r="AC13" s="128">
        <f t="shared" si="3"/>
        <v>1</v>
      </c>
      <c r="AD13" s="128">
        <f t="shared" si="3"/>
        <v>1</v>
      </c>
      <c r="AE13" s="128">
        <f t="shared" si="3"/>
        <v>1</v>
      </c>
      <c r="AF13" s="128">
        <f t="shared" si="3"/>
        <v>1</v>
      </c>
      <c r="AG13" s="128">
        <f t="shared" si="3"/>
        <v>1</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193</v>
      </c>
      <c r="B15" s="178" t="s">
        <v>194</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171</v>
      </c>
      <c r="C17" s="136">
        <f>AVERAGE(C49:C50)</f>
        <v>376395105.67500001</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126</v>
      </c>
      <c r="C18" s="136">
        <f>C17/2</f>
        <v>188197552.83750001</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65</v>
      </c>
      <c r="B20" s="77" t="s">
        <v>138</v>
      </c>
      <c r="C20" s="137">
        <v>11378000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160</v>
      </c>
      <c r="B22" s="178" t="s">
        <v>194</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137</v>
      </c>
      <c r="C24" s="136">
        <v>11124000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196</v>
      </c>
      <c r="C25" s="136">
        <v>9206000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130</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47</v>
      </c>
      <c r="B27" s="78" t="s">
        <v>130</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51</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52</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53</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105</v>
      </c>
      <c r="B33" s="82" t="s">
        <v>128</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54</v>
      </c>
      <c r="B35" s="69" t="s">
        <v>129</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55</v>
      </c>
      <c r="B36" s="69" t="s">
        <v>129</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56</v>
      </c>
      <c r="B37" s="69" t="s">
        <v>129</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57</v>
      </c>
      <c r="B39" s="69" t="s">
        <v>129</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58</v>
      </c>
      <c r="B40" s="69" t="s">
        <v>129</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59</v>
      </c>
      <c r="B41" s="69" t="s">
        <v>129</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60</v>
      </c>
      <c r="B43" s="69" t="s">
        <v>87</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61</v>
      </c>
      <c r="B44" s="69" t="s">
        <v>87</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88</v>
      </c>
      <c r="B45" s="69" t="s">
        <v>87</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161</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107</v>
      </c>
      <c r="B49" s="77" t="s">
        <v>135</v>
      </c>
      <c r="C49" s="71">
        <v>250930070.45000002</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108</v>
      </c>
      <c r="B50" s="77" t="s">
        <v>136</v>
      </c>
      <c r="C50" s="71">
        <v>501860140.90000004</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121</v>
      </c>
      <c r="B52" s="77" t="s">
        <v>116</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122</v>
      </c>
      <c r="B53" s="77" t="s">
        <v>116</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120</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109</v>
      </c>
      <c r="B56" s="77" t="s">
        <v>172</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110</v>
      </c>
      <c r="B57" s="77" t="s">
        <v>172</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111</v>
      </c>
      <c r="B58" s="69" t="s">
        <v>87</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118</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109</v>
      </c>
      <c r="B61" s="77" t="s">
        <v>116</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110</v>
      </c>
      <c r="B62" s="77" t="s">
        <v>116</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111</v>
      </c>
      <c r="B63" s="69" t="s">
        <v>87</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117</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109</v>
      </c>
      <c r="B66" s="86" t="s">
        <v>87</v>
      </c>
      <c r="C66" s="71">
        <f>C49*C52/C57</f>
        <v>741132.98141695617</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110</v>
      </c>
      <c r="B67" s="86" t="s">
        <v>87</v>
      </c>
      <c r="C67" s="71">
        <f>C50*C52/C56</f>
        <v>2096352.0324402056</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111</v>
      </c>
      <c r="B68" s="86" t="s">
        <v>87</v>
      </c>
      <c r="C68" s="145">
        <f>AVERAGE(C66:C67)</f>
        <v>1418742.5069285808</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119</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109</v>
      </c>
      <c r="B71" s="86" t="s">
        <v>87</v>
      </c>
      <c r="C71" s="71">
        <f>C49*C53/C62</f>
        <v>2020121.6361815997</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110</v>
      </c>
      <c r="B72" s="86" t="s">
        <v>87</v>
      </c>
      <c r="C72" s="71">
        <f>C50*C53/C61</f>
        <v>5375924.7900952613</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111</v>
      </c>
      <c r="B73" s="86" t="s">
        <v>87</v>
      </c>
      <c r="C73" s="145">
        <f>AVERAGE(C71:C72)</f>
        <v>3698023.2131384304</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112</v>
      </c>
      <c r="B75" s="70" t="s">
        <v>123</v>
      </c>
      <c r="C75" s="71">
        <f>C67+C73</f>
        <v>5794375.2455786355</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142</v>
      </c>
      <c r="B77" s="86" t="s">
        <v>177</v>
      </c>
      <c r="C77" s="87">
        <v>38053215</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143</v>
      </c>
      <c r="B79" s="69" t="s">
        <v>156</v>
      </c>
      <c r="C79" s="87">
        <v>1368982750.7355149</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144</v>
      </c>
      <c r="B80" s="69" t="s">
        <v>156</v>
      </c>
      <c r="C80" s="87">
        <v>1434297933.9303348</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145</v>
      </c>
      <c r="B82" s="69" t="s">
        <v>87</v>
      </c>
      <c r="C82" s="87">
        <f>C79+$C$77</f>
        <v>1407035965.7355149</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146</v>
      </c>
      <c r="B83" s="69" t="s">
        <v>87</v>
      </c>
      <c r="C83" s="87">
        <f>C80+$C$77</f>
        <v>1472351148.9303348</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151</v>
      </c>
      <c r="B85" s="69" t="s">
        <v>133</v>
      </c>
      <c r="C85" s="150">
        <v>14595</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152</v>
      </c>
      <c r="B86" s="69" t="s">
        <v>134</v>
      </c>
      <c r="C86" s="150">
        <v>10803</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114</v>
      </c>
      <c r="B87" s="69" t="s">
        <v>87</v>
      </c>
      <c r="C87" s="150">
        <f>AVERAGE(C85:C86)</f>
        <v>12699</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147</v>
      </c>
      <c r="B89" s="69" t="s">
        <v>87</v>
      </c>
      <c r="C89" s="150">
        <f>C82/$C$87</f>
        <v>110798.95784987124</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147</v>
      </c>
      <c r="B90" s="69" t="s">
        <v>87</v>
      </c>
      <c r="C90" s="150">
        <f>C83/$C$87</f>
        <v>115942.29064732142</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148</v>
      </c>
      <c r="B92" s="69" t="s">
        <v>155</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149</v>
      </c>
      <c r="B94" s="69" t="s">
        <v>87</v>
      </c>
      <c r="C94" s="87">
        <f>IF(C89&lt;$C$92,C89*$C$87,$C$92*$C$87)</f>
        <v>888930000</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150</v>
      </c>
      <c r="B95" s="69" t="s">
        <v>87</v>
      </c>
      <c r="C95" s="87">
        <f>IF(C90&lt;$C$92,C90*$C$87,$C$92*$C$87)</f>
        <v>888930000</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154</v>
      </c>
      <c r="B96" s="69" t="s">
        <v>87</v>
      </c>
      <c r="C96" s="87">
        <f>AVERAGE(C94:C95)</f>
        <v>888930000</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99</v>
      </c>
      <c r="B98" s="69"/>
      <c r="C98" s="71">
        <v>888930000</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49</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50</v>
      </c>
      <c r="B102" s="69" t="s">
        <v>87</v>
      </c>
      <c r="C102" s="71">
        <f>C96/C100</f>
        <v>29631000</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41</v>
      </c>
      <c r="B104" s="70" t="s">
        <v>203</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42</v>
      </c>
      <c r="B105" s="70" t="s">
        <v>204</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43</v>
      </c>
      <c r="B106" s="69" t="s">
        <v>170</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44</v>
      </c>
      <c r="B107" s="69" t="s">
        <v>170</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113</v>
      </c>
      <c r="B109" s="69" t="s">
        <v>127</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68</v>
      </c>
      <c r="B111" s="69" t="s">
        <v>129</v>
      </c>
      <c r="C111" s="71"/>
      <c r="D111" s="149">
        <f t="shared" ref="D111:AG111" si="9">$C$75</f>
        <v>5794375.2455786355</v>
      </c>
      <c r="E111" s="149">
        <f t="shared" si="9"/>
        <v>5794375.2455786355</v>
      </c>
      <c r="F111" s="149">
        <f t="shared" si="9"/>
        <v>5794375.2455786355</v>
      </c>
      <c r="G111" s="149">
        <f t="shared" si="9"/>
        <v>5794375.2455786355</v>
      </c>
      <c r="H111" s="149">
        <f t="shared" si="9"/>
        <v>5794375.2455786355</v>
      </c>
      <c r="I111" s="149">
        <f t="shared" si="9"/>
        <v>5794375.2455786355</v>
      </c>
      <c r="J111" s="149">
        <f t="shared" si="9"/>
        <v>5794375.2455786355</v>
      </c>
      <c r="K111" s="149">
        <f t="shared" si="9"/>
        <v>5794375.2455786355</v>
      </c>
      <c r="L111" s="149">
        <f t="shared" si="9"/>
        <v>5794375.2455786355</v>
      </c>
      <c r="M111" s="149">
        <f t="shared" si="9"/>
        <v>5794375.2455786355</v>
      </c>
      <c r="N111" s="149">
        <f t="shared" si="9"/>
        <v>5794375.2455786355</v>
      </c>
      <c r="O111" s="149">
        <f t="shared" si="9"/>
        <v>5794375.2455786355</v>
      </c>
      <c r="P111" s="149">
        <f t="shared" si="9"/>
        <v>5794375.2455786355</v>
      </c>
      <c r="Q111" s="149">
        <f t="shared" si="9"/>
        <v>5794375.2455786355</v>
      </c>
      <c r="R111" s="149">
        <f t="shared" si="9"/>
        <v>5794375.2455786355</v>
      </c>
      <c r="S111" s="149">
        <f t="shared" si="9"/>
        <v>5794375.2455786355</v>
      </c>
      <c r="T111" s="149">
        <f t="shared" si="9"/>
        <v>5794375.2455786355</v>
      </c>
      <c r="U111" s="149">
        <f t="shared" si="9"/>
        <v>5794375.2455786355</v>
      </c>
      <c r="V111" s="149">
        <f t="shared" si="9"/>
        <v>5794375.2455786355</v>
      </c>
      <c r="W111" s="149">
        <f t="shared" si="9"/>
        <v>5794375.2455786355</v>
      </c>
      <c r="X111" s="149">
        <f t="shared" si="9"/>
        <v>5794375.2455786355</v>
      </c>
      <c r="Y111" s="149">
        <f t="shared" si="9"/>
        <v>5794375.2455786355</v>
      </c>
      <c r="Z111" s="149">
        <f t="shared" si="9"/>
        <v>5794375.2455786355</v>
      </c>
      <c r="AA111" s="149">
        <f t="shared" si="9"/>
        <v>5794375.2455786355</v>
      </c>
      <c r="AB111" s="149">
        <f t="shared" si="9"/>
        <v>5794375.2455786355</v>
      </c>
      <c r="AC111" s="149">
        <f t="shared" si="9"/>
        <v>5794375.2455786355</v>
      </c>
      <c r="AD111" s="149">
        <f t="shared" si="9"/>
        <v>5794375.2455786355</v>
      </c>
      <c r="AE111" s="149">
        <f t="shared" si="9"/>
        <v>5794375.2455786355</v>
      </c>
      <c r="AF111" s="149">
        <f t="shared" si="9"/>
        <v>5794375.2455786355</v>
      </c>
      <c r="AG111" s="149">
        <f t="shared" si="9"/>
        <v>5794375.2455786355</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69</v>
      </c>
      <c r="B113" s="69" t="s">
        <v>87</v>
      </c>
      <c r="C113" s="71">
        <f>SUM(D113:AG113)</f>
        <v>888930000</v>
      </c>
      <c r="D113" s="149">
        <f t="shared" ref="D113:AG113" si="10">$C$102</f>
        <v>29631000</v>
      </c>
      <c r="E113" s="149">
        <f t="shared" si="10"/>
        <v>29631000</v>
      </c>
      <c r="F113" s="149">
        <f t="shared" si="10"/>
        <v>29631000</v>
      </c>
      <c r="G113" s="149">
        <f t="shared" si="10"/>
        <v>29631000</v>
      </c>
      <c r="H113" s="149">
        <f t="shared" si="10"/>
        <v>29631000</v>
      </c>
      <c r="I113" s="149">
        <f t="shared" si="10"/>
        <v>29631000</v>
      </c>
      <c r="J113" s="149">
        <f t="shared" si="10"/>
        <v>29631000</v>
      </c>
      <c r="K113" s="149">
        <f t="shared" si="10"/>
        <v>29631000</v>
      </c>
      <c r="L113" s="149">
        <f t="shared" si="10"/>
        <v>29631000</v>
      </c>
      <c r="M113" s="149">
        <f t="shared" si="10"/>
        <v>29631000</v>
      </c>
      <c r="N113" s="149">
        <f t="shared" si="10"/>
        <v>29631000</v>
      </c>
      <c r="O113" s="149">
        <f t="shared" si="10"/>
        <v>29631000</v>
      </c>
      <c r="P113" s="149">
        <f t="shared" si="10"/>
        <v>29631000</v>
      </c>
      <c r="Q113" s="149">
        <f t="shared" si="10"/>
        <v>29631000</v>
      </c>
      <c r="R113" s="149">
        <f t="shared" si="10"/>
        <v>29631000</v>
      </c>
      <c r="S113" s="149">
        <f t="shared" si="10"/>
        <v>29631000</v>
      </c>
      <c r="T113" s="149">
        <f t="shared" si="10"/>
        <v>29631000</v>
      </c>
      <c r="U113" s="149">
        <f t="shared" si="10"/>
        <v>29631000</v>
      </c>
      <c r="V113" s="149">
        <f t="shared" si="10"/>
        <v>29631000</v>
      </c>
      <c r="W113" s="149">
        <f t="shared" si="10"/>
        <v>29631000</v>
      </c>
      <c r="X113" s="149">
        <f t="shared" si="10"/>
        <v>29631000</v>
      </c>
      <c r="Y113" s="149">
        <f t="shared" si="10"/>
        <v>29631000</v>
      </c>
      <c r="Z113" s="149">
        <f t="shared" si="10"/>
        <v>29631000</v>
      </c>
      <c r="AA113" s="149">
        <f t="shared" si="10"/>
        <v>29631000</v>
      </c>
      <c r="AB113" s="149">
        <f t="shared" si="10"/>
        <v>29631000</v>
      </c>
      <c r="AC113" s="149">
        <f t="shared" si="10"/>
        <v>29631000</v>
      </c>
      <c r="AD113" s="149">
        <f t="shared" si="10"/>
        <v>29631000</v>
      </c>
      <c r="AE113" s="149">
        <f t="shared" si="10"/>
        <v>29631000</v>
      </c>
      <c r="AF113" s="149">
        <f t="shared" si="10"/>
        <v>29631000</v>
      </c>
      <c r="AG113" s="149">
        <f t="shared" si="10"/>
        <v>29631000</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89</v>
      </c>
      <c r="B115" s="69" t="s">
        <v>87</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90</v>
      </c>
      <c r="B116" s="69" t="s">
        <v>87</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91</v>
      </c>
      <c r="B118" s="69" t="s">
        <v>87</v>
      </c>
      <c r="C118" s="126"/>
      <c r="D118" s="149">
        <f>D113+D115+D116</f>
        <v>29631000</v>
      </c>
      <c r="E118" s="149">
        <f t="shared" ref="E118:AG118" si="13">E113+E115+E116</f>
        <v>29631000</v>
      </c>
      <c r="F118" s="149">
        <f>F113+F115+F116</f>
        <v>29631000</v>
      </c>
      <c r="G118" s="149">
        <f t="shared" si="13"/>
        <v>29631000</v>
      </c>
      <c r="H118" s="149">
        <f t="shared" si="13"/>
        <v>29631000</v>
      </c>
      <c r="I118" s="149">
        <f t="shared" si="13"/>
        <v>29631000</v>
      </c>
      <c r="J118" s="149">
        <f t="shared" si="13"/>
        <v>29631000</v>
      </c>
      <c r="K118" s="149">
        <f t="shared" si="13"/>
        <v>29631000</v>
      </c>
      <c r="L118" s="149">
        <f t="shared" si="13"/>
        <v>29631000</v>
      </c>
      <c r="M118" s="149">
        <f t="shared" si="13"/>
        <v>29631000</v>
      </c>
      <c r="N118" s="149">
        <f t="shared" si="13"/>
        <v>29631000</v>
      </c>
      <c r="O118" s="149">
        <f t="shared" si="13"/>
        <v>29631000</v>
      </c>
      <c r="P118" s="149">
        <f t="shared" si="13"/>
        <v>29631000</v>
      </c>
      <c r="Q118" s="149">
        <f t="shared" si="13"/>
        <v>29631000</v>
      </c>
      <c r="R118" s="149">
        <f t="shared" si="13"/>
        <v>29631000</v>
      </c>
      <c r="S118" s="149">
        <f t="shared" si="13"/>
        <v>29631000</v>
      </c>
      <c r="T118" s="149">
        <f t="shared" si="13"/>
        <v>29631000</v>
      </c>
      <c r="U118" s="149">
        <f t="shared" si="13"/>
        <v>29631000</v>
      </c>
      <c r="V118" s="149">
        <f t="shared" si="13"/>
        <v>29631000</v>
      </c>
      <c r="W118" s="149">
        <f t="shared" si="13"/>
        <v>29631000</v>
      </c>
      <c r="X118" s="149">
        <f t="shared" si="13"/>
        <v>29631000</v>
      </c>
      <c r="Y118" s="149">
        <f t="shared" si="13"/>
        <v>29631000</v>
      </c>
      <c r="Z118" s="149">
        <f t="shared" si="13"/>
        <v>29631000</v>
      </c>
      <c r="AA118" s="149">
        <f t="shared" si="13"/>
        <v>29631000</v>
      </c>
      <c r="AB118" s="149">
        <f t="shared" si="13"/>
        <v>29631000</v>
      </c>
      <c r="AC118" s="149">
        <f t="shared" si="13"/>
        <v>29631000</v>
      </c>
      <c r="AD118" s="149">
        <f t="shared" si="13"/>
        <v>29631000</v>
      </c>
      <c r="AE118" s="149">
        <f t="shared" si="13"/>
        <v>29631000</v>
      </c>
      <c r="AF118" s="149">
        <f t="shared" si="13"/>
        <v>29631000</v>
      </c>
      <c r="AG118" s="149">
        <f t="shared" si="13"/>
        <v>29631000</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70</v>
      </c>
      <c r="B120" s="69" t="s">
        <v>87</v>
      </c>
      <c r="C120" s="126"/>
      <c r="D120" s="149">
        <f>(SUM($D$118:D118)*$C$104/$C$106)+(SUM($D$118:D118)*$C$105/$C$107)</f>
        <v>711144</v>
      </c>
      <c r="E120" s="149">
        <f>(SUM($D$118:E118)*$C$104/$C$106)+(SUM($D$118:E118)*$C$105/$C$107)</f>
        <v>1422288</v>
      </c>
      <c r="F120" s="149">
        <f>(SUM($D$118:F118)*$C$104/$C$106)+(SUM($D$118:F118)*$C$105/$C$107)</f>
        <v>2133432</v>
      </c>
      <c r="G120" s="149">
        <f>(SUM($D$118:G118)*$C$104/$C$106)+(SUM($D$118:G118)*$C$105/$C$107)</f>
        <v>2844576</v>
      </c>
      <c r="H120" s="149">
        <f>(SUM($D$118:H118)*$C$104/$C$106)+(SUM($D$118:H118)*$C$105/$C$107)</f>
        <v>3555720</v>
      </c>
      <c r="I120" s="149">
        <f>(SUM($D$118:I118)*$C$104/$C$106)+(SUM($D$118:I118)*$C$105/$C$107)</f>
        <v>4266864</v>
      </c>
      <c r="J120" s="149">
        <f>(SUM($D$118:J118)*$C$104/$C$106)+(SUM($D$118:J118)*$C$105/$C$107)</f>
        <v>4978008</v>
      </c>
      <c r="K120" s="149">
        <f>(SUM($D$118:K118)*$C$104/$C$106)+(SUM($D$118:K118)*$C$105/$C$107)</f>
        <v>5689152</v>
      </c>
      <c r="L120" s="149">
        <f>(SUM($D$118:L118)*$C$104/$C$106)+(SUM($D$118:L118)*$C$105/$C$107)</f>
        <v>6400296</v>
      </c>
      <c r="M120" s="149">
        <f>(SUM($D$118:M118)*$C$104/$C$106)+(SUM($D$118:M118)*$C$105/$C$107)</f>
        <v>7111440</v>
      </c>
      <c r="N120" s="149">
        <f>(SUM($D$118:N118)*$C$104/$C$106)+(SUM($D$118:N118)*$C$105/$C$107)</f>
        <v>7822584</v>
      </c>
      <c r="O120" s="149">
        <f>(SUM($D$118:O118)*$C$104/$C$106)+(SUM($D$118:O118)*$C$105/$C$107)</f>
        <v>8533728</v>
      </c>
      <c r="P120" s="149">
        <f>(SUM($D$118:P118)*$C$104/$C$106)+(SUM($D$118:P118)*$C$105/$C$107)</f>
        <v>9244872</v>
      </c>
      <c r="Q120" s="149">
        <f>(SUM($D$118:Q118)*$C$104/$C$106)+(SUM($D$118:Q118)*$C$105/$C$107)</f>
        <v>9956016</v>
      </c>
      <c r="R120" s="149">
        <f>(SUM($D$118:R118)*$C$104/$C$106)+(SUM($D$118:R118)*$C$105/$C$107)</f>
        <v>10667160</v>
      </c>
      <c r="S120" s="149">
        <f>(SUM($D$118:S118)*$C$104/$C$106)+(SUM($D$118:S118)*$C$105/$C$107)</f>
        <v>11378304</v>
      </c>
      <c r="T120" s="149">
        <f>(SUM($D$118:T118)*$C$104/$C$106)+(SUM($D$118:T118)*$C$105/$C$107)</f>
        <v>12089448</v>
      </c>
      <c r="U120" s="149">
        <f>(SUM($D$118:U118)*$C$104/$C$106)+(SUM($D$118:U118)*$C$105/$C$107)</f>
        <v>12800592</v>
      </c>
      <c r="V120" s="149">
        <f>(SUM($D$118:V118)*$C$104/$C$106)+(SUM($D$118:V118)*$C$105/$C$107)</f>
        <v>13511736</v>
      </c>
      <c r="W120" s="149">
        <f>(SUM($D$118:W118)*$C$104/$C$106)+(SUM($D$118:W118)*$C$105/$C$107)</f>
        <v>14222880</v>
      </c>
      <c r="X120" s="149">
        <f>(SUM($D$118:X118)*$C$104/$C$106)+(SUM($D$118:X118)*$C$105/$C$107)</f>
        <v>14934024</v>
      </c>
      <c r="Y120" s="149">
        <f>(SUM($D$118:Y118)*$C$104/$C$106)+(SUM($D$118:Y118)*$C$105/$C$107)</f>
        <v>15645168</v>
      </c>
      <c r="Z120" s="149">
        <f>(SUM($D$118:Z118)*$C$104/$C$106)+(SUM($D$118:Z118)*$C$105/$C$107)</f>
        <v>16356312</v>
      </c>
      <c r="AA120" s="149">
        <f>(SUM($D$118:AA118)*$C$104/$C$106)+(SUM($D$118:AA118)*$C$105/$C$107)</f>
        <v>17067456</v>
      </c>
      <c r="AB120" s="149">
        <f>(SUM($D$118:AB118)*$C$104/$C$106)+(SUM($D$118:AB118)*$C$105/$C$107)</f>
        <v>17778600</v>
      </c>
      <c r="AC120" s="149">
        <f>(SUM($D$118:AC118)*$C$104/$C$106)+(SUM($D$118:AC118)*$C$105/$C$107)</f>
        <v>18489744</v>
      </c>
      <c r="AD120" s="149">
        <f>(SUM($D$118:AD118)*$C$104/$C$106)+(SUM($D$118:AD118)*$C$105/$C$107)</f>
        <v>19200888</v>
      </c>
      <c r="AE120" s="149">
        <f>(SUM($D$118:AE118)*$C$104/$C$106)+(SUM($D$118:AE118)*$C$105/$C$107)</f>
        <v>19912032</v>
      </c>
      <c r="AF120" s="149">
        <f>(SUM($D$118:AF118)*$C$104/$C$106)+(SUM($D$118:AF118)*$C$105/$C$107)</f>
        <v>20623176</v>
      </c>
      <c r="AG120" s="149">
        <f>(SUM($D$118:AG118)*$C$104/$C$106)+(SUM($D$118:AG118)*$C$105/$C$107)</f>
        <v>21334320</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92</v>
      </c>
      <c r="B122" s="69" t="s">
        <v>87</v>
      </c>
      <c r="C122" s="126"/>
      <c r="D122" s="72">
        <f>(SUM($D$118:D118)*$C$109)</f>
        <v>888930</v>
      </c>
      <c r="E122" s="72">
        <f>(SUM($D$118:E118)*$C$109)</f>
        <v>1777860</v>
      </c>
      <c r="F122" s="72">
        <f>(SUM($D$118:F118)*$C$109)</f>
        <v>2666790</v>
      </c>
      <c r="G122" s="72">
        <f>(SUM($D$118:G118)*$C$109)</f>
        <v>3555720</v>
      </c>
      <c r="H122" s="72">
        <f>(SUM($D$118:H118)*$C$109)</f>
        <v>4444650</v>
      </c>
      <c r="I122" s="72">
        <f>(SUM($D$118:I118)*$C$109)</f>
        <v>5333580</v>
      </c>
      <c r="J122" s="72">
        <f>(SUM($D$118:J118)*$C$109)</f>
        <v>6222510</v>
      </c>
      <c r="K122" s="72">
        <f>(SUM($D$118:K118)*$C$109)</f>
        <v>7111440</v>
      </c>
      <c r="L122" s="72">
        <f>(SUM($D$118:L118)*$C$109)</f>
        <v>8000370</v>
      </c>
      <c r="M122" s="72">
        <f>(SUM($D$118:M118)*$C$109)</f>
        <v>8889300</v>
      </c>
      <c r="N122" s="72">
        <f>(SUM($D$118:N118)*$C$109)</f>
        <v>9778230</v>
      </c>
      <c r="O122" s="72">
        <f>(SUM($D$118:O118)*$C$109)</f>
        <v>10667160</v>
      </c>
      <c r="P122" s="72">
        <f>(SUM($D$118:P118)*$C$109)</f>
        <v>11556090</v>
      </c>
      <c r="Q122" s="72">
        <f>(SUM($D$118:Q118)*$C$109)</f>
        <v>12445020</v>
      </c>
      <c r="R122" s="72">
        <f>(SUM($D$118:R118)*$C$109)</f>
        <v>13333950</v>
      </c>
      <c r="S122" s="72">
        <f>(SUM($D$118:S118)*$C$109)</f>
        <v>14222880</v>
      </c>
      <c r="T122" s="72">
        <f>(SUM($D$118:T118)*$C$109)</f>
        <v>15111810</v>
      </c>
      <c r="U122" s="72">
        <f>(SUM($D$118:U118)*$C$109)</f>
        <v>16000740</v>
      </c>
      <c r="V122" s="72">
        <f>(SUM($D$118:V118)*$C$109)</f>
        <v>16889670</v>
      </c>
      <c r="W122" s="72">
        <f>(SUM($D$118:W118)*$C$109)</f>
        <v>17778600</v>
      </c>
      <c r="X122" s="72">
        <f>(SUM($D$118:X118)*$C$109)</f>
        <v>18667530</v>
      </c>
      <c r="Y122" s="72">
        <f>(SUM($D$118:Y118)*$C$109)</f>
        <v>19556460</v>
      </c>
      <c r="Z122" s="72">
        <f>(SUM($D$118:Z118)*$C$109)</f>
        <v>20445390</v>
      </c>
      <c r="AA122" s="72">
        <f>(SUM($D$118:AA118)*$C$109)</f>
        <v>21334320</v>
      </c>
      <c r="AB122" s="72">
        <f>(SUM($D$118:AB118)*$C$109)</f>
        <v>22223250</v>
      </c>
      <c r="AC122" s="72">
        <f>(SUM($D$118:AC118)*$C$109)</f>
        <v>23112180</v>
      </c>
      <c r="AD122" s="72">
        <f>(SUM($D$118:AD118)*$C$109)</f>
        <v>24001110</v>
      </c>
      <c r="AE122" s="72">
        <f>(SUM($D$118:AE118)*$C$109)</f>
        <v>24890040</v>
      </c>
      <c r="AF122" s="72">
        <f>(SUM($D$118:AF118)*$C$109)</f>
        <v>25778970</v>
      </c>
      <c r="AG122" s="72">
        <f>(SUM($D$118:AG118)*$C$109)</f>
        <v>26667900</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48</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153</v>
      </c>
      <c r="B126" s="77" t="s">
        <v>133</v>
      </c>
      <c r="C126" s="126">
        <v>14595</v>
      </c>
      <c r="D126" s="140"/>
    </row>
    <row r="127" spans="1:33" x14ac:dyDescent="0.35">
      <c r="A127" s="77" t="s">
        <v>152</v>
      </c>
      <c r="B127" s="77" t="s">
        <v>134</v>
      </c>
      <c r="C127" s="126">
        <v>10803</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114</v>
      </c>
      <c r="B129" s="77" t="s">
        <v>87</v>
      </c>
      <c r="C129" s="126">
        <f>AVERAGE(C126:C127)</f>
        <v>12699</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125</v>
      </c>
      <c r="B131" s="77" t="s">
        <v>124</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157</v>
      </c>
      <c r="B133" s="77" t="s">
        <v>158</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100</v>
      </c>
      <c r="B135" s="79" t="s">
        <v>87</v>
      </c>
      <c r="C135" s="156">
        <f>C129/C131</f>
        <v>4703.333333333333</v>
      </c>
      <c r="D135" s="157">
        <f t="shared" ref="D135:AG135" si="14">$C$135*D13</f>
        <v>4703.333333333333</v>
      </c>
      <c r="E135" s="157">
        <f t="shared" si="14"/>
        <v>4703.333333333333</v>
      </c>
      <c r="F135" s="157">
        <f t="shared" si="14"/>
        <v>4703.333333333333</v>
      </c>
      <c r="G135" s="157">
        <f t="shared" si="14"/>
        <v>4703.333333333333</v>
      </c>
      <c r="H135" s="157">
        <f t="shared" si="14"/>
        <v>4703.333333333333</v>
      </c>
      <c r="I135" s="157">
        <f t="shared" si="14"/>
        <v>4703.333333333333</v>
      </c>
      <c r="J135" s="157">
        <f t="shared" si="14"/>
        <v>4703.333333333333</v>
      </c>
      <c r="K135" s="157">
        <f t="shared" si="14"/>
        <v>4703.333333333333</v>
      </c>
      <c r="L135" s="157">
        <f t="shared" si="14"/>
        <v>4703.333333333333</v>
      </c>
      <c r="M135" s="157">
        <f t="shared" si="14"/>
        <v>4703.333333333333</v>
      </c>
      <c r="N135" s="157">
        <f t="shared" si="14"/>
        <v>4703.333333333333</v>
      </c>
      <c r="O135" s="157">
        <f t="shared" si="14"/>
        <v>4703.333333333333</v>
      </c>
      <c r="P135" s="157">
        <f t="shared" si="14"/>
        <v>4703.333333333333</v>
      </c>
      <c r="Q135" s="157">
        <f t="shared" si="14"/>
        <v>4703.333333333333</v>
      </c>
      <c r="R135" s="157">
        <f t="shared" si="14"/>
        <v>4703.333333333333</v>
      </c>
      <c r="S135" s="157">
        <f t="shared" si="14"/>
        <v>4703.333333333333</v>
      </c>
      <c r="T135" s="157">
        <f t="shared" si="14"/>
        <v>4703.333333333333</v>
      </c>
      <c r="U135" s="157">
        <f t="shared" si="14"/>
        <v>4703.333333333333</v>
      </c>
      <c r="V135" s="157">
        <f t="shared" si="14"/>
        <v>4703.333333333333</v>
      </c>
      <c r="W135" s="157">
        <f t="shared" si="14"/>
        <v>4703.333333333333</v>
      </c>
      <c r="X135" s="157">
        <f t="shared" si="14"/>
        <v>4703.333333333333</v>
      </c>
      <c r="Y135" s="157">
        <f t="shared" si="14"/>
        <v>4703.333333333333</v>
      </c>
      <c r="Z135" s="157">
        <f t="shared" si="14"/>
        <v>4703.333333333333</v>
      </c>
      <c r="AA135" s="157">
        <f t="shared" si="14"/>
        <v>4703.333333333333</v>
      </c>
      <c r="AB135" s="157">
        <f t="shared" si="14"/>
        <v>4703.333333333333</v>
      </c>
      <c r="AC135" s="157">
        <f t="shared" si="14"/>
        <v>4703.333333333333</v>
      </c>
      <c r="AD135" s="157">
        <f t="shared" si="14"/>
        <v>4703.333333333333</v>
      </c>
      <c r="AE135" s="157">
        <f t="shared" si="14"/>
        <v>4703.333333333333</v>
      </c>
      <c r="AF135" s="157">
        <f t="shared" si="14"/>
        <v>4703.333333333333</v>
      </c>
      <c r="AG135" s="157">
        <f t="shared" si="14"/>
        <v>4703.333333333333</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1:4" x14ac:dyDescent="0.35">
      <c r="A195" s="76" t="s">
        <v>25</v>
      </c>
      <c r="D195" s="158">
        <v>0.1</v>
      </c>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80" zoomScaleNormal="8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31</v>
      </c>
    </row>
    <row r="2" spans="1:35" ht="16" thickBot="1" x14ac:dyDescent="0.4"/>
    <row r="3" spans="1:35" s="15" customFormat="1" ht="21.5" thickBot="1" x14ac:dyDescent="0.55000000000000004">
      <c r="A3" s="49" t="s">
        <v>26</v>
      </c>
      <c r="B3" s="50" t="s">
        <v>35</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106</v>
      </c>
      <c r="B4" s="35"/>
      <c r="C4" s="34"/>
      <c r="D4" s="53"/>
      <c r="E4" s="65">
        <v>0.4</v>
      </c>
      <c r="F4" s="65">
        <v>0.4</v>
      </c>
      <c r="G4" s="65">
        <v>0.4</v>
      </c>
      <c r="H4" s="65">
        <v>0.35</v>
      </c>
      <c r="I4" s="65">
        <v>0.2</v>
      </c>
      <c r="J4" s="65">
        <v>0.15</v>
      </c>
      <c r="K4" s="65">
        <v>0.1</v>
      </c>
      <c r="L4" s="65">
        <v>0.08</v>
      </c>
      <c r="M4" s="65">
        <v>7.0000000000000007E-2</v>
      </c>
      <c r="N4" s="65">
        <v>0.06</v>
      </c>
      <c r="O4" s="65">
        <v>0.06</v>
      </c>
      <c r="P4" s="65">
        <v>0.06</v>
      </c>
      <c r="Q4" s="65">
        <v>0.06</v>
      </c>
      <c r="R4" s="65">
        <v>0.06</v>
      </c>
      <c r="S4" s="65">
        <v>0.06</v>
      </c>
      <c r="T4" s="65">
        <v>0.06</v>
      </c>
      <c r="U4" s="65">
        <v>0.06</v>
      </c>
      <c r="V4" s="65">
        <v>0.05</v>
      </c>
      <c r="W4" s="65">
        <v>0.05</v>
      </c>
      <c r="X4" s="65">
        <v>0.05</v>
      </c>
      <c r="Y4" s="65">
        <v>0.05</v>
      </c>
      <c r="Z4" s="65">
        <v>0.05</v>
      </c>
      <c r="AA4" s="65">
        <v>0.05</v>
      </c>
      <c r="AB4" s="65">
        <v>0.05</v>
      </c>
      <c r="AC4" s="65">
        <v>0.05</v>
      </c>
      <c r="AD4" s="65">
        <v>0.04</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40</v>
      </c>
      <c r="B6" s="68">
        <f ca="1">MAX(E6:AH6)</f>
        <v>2.5150697303292042</v>
      </c>
      <c r="C6" s="25"/>
      <c r="D6" s="25"/>
      <c r="E6" s="27">
        <f>'Debt worksheet'!C5/'Profit and Loss'!C5</f>
        <v>0.73059536651769674</v>
      </c>
      <c r="F6" s="28">
        <f ca="1">'Debt worksheet'!D5/'Profit and Loss'!D5</f>
        <v>2.0634241127755826</v>
      </c>
      <c r="G6" s="28">
        <f ca="1">'Debt worksheet'!E5/'Profit and Loss'!E5</f>
        <v>2.508902207497925</v>
      </c>
      <c r="H6" s="28">
        <f ca="1">'Debt worksheet'!F5/'Profit and Loss'!F5</f>
        <v>2.5150697303292042</v>
      </c>
      <c r="I6" s="28">
        <f ca="1">'Debt worksheet'!G5/'Profit and Loss'!G5</f>
        <v>2.5097914558740895</v>
      </c>
      <c r="J6" s="28">
        <f ca="1">'Debt worksheet'!H5/'Profit and Loss'!H5</f>
        <v>2.4693349121996819</v>
      </c>
      <c r="K6" s="28">
        <f ca="1">'Debt worksheet'!I5/'Profit and Loss'!I5</f>
        <v>2.4530053012609248</v>
      </c>
      <c r="L6" s="28">
        <f ca="1">'Debt worksheet'!J5/'Profit and Loss'!J5</f>
        <v>2.4424050417579153</v>
      </c>
      <c r="M6" s="28">
        <f ca="1">'Debt worksheet'!K5/'Profit and Loss'!K5</f>
        <v>2.4336487758919776</v>
      </c>
      <c r="N6" s="28">
        <f ca="1">'Debt worksheet'!L5/'Profit and Loss'!L5</f>
        <v>2.4356485386567477</v>
      </c>
      <c r="O6" s="28">
        <f ca="1">'Debt worksheet'!M5/'Profit and Loss'!M5</f>
        <v>2.4341487425958888</v>
      </c>
      <c r="P6" s="28">
        <f ca="1">'Debt worksheet'!N5/'Profit and Loss'!N5</f>
        <v>2.4284478807697067</v>
      </c>
      <c r="Q6" s="28">
        <f ca="1">'Debt worksheet'!O5/'Profit and Loss'!O5</f>
        <v>2.4179136495132707</v>
      </c>
      <c r="R6" s="28">
        <f ca="1">'Debt worksheet'!P5/'Profit and Loss'!P5</f>
        <v>2.4019787175172835</v>
      </c>
      <c r="S6" s="28">
        <f ca="1">'Debt worksheet'!Q5/'Profit and Loss'!Q5</f>
        <v>2.3801367099035602</v>
      </c>
      <c r="T6" s="28">
        <f ca="1">'Debt worksheet'!R5/'Profit and Loss'!R5</f>
        <v>2.3519383973699091</v>
      </c>
      <c r="U6" s="28">
        <f ca="1">'Debt worksheet'!S5/'Profit and Loss'!S5</f>
        <v>2.3169880809121994</v>
      </c>
      <c r="V6" s="28">
        <f ca="1">'Debt worksheet'!T5/'Profit and Loss'!T5</f>
        <v>2.2966062598370542</v>
      </c>
      <c r="W6" s="28">
        <f ca="1">'Debt worksheet'!U5/'Profit and Loss'!U5</f>
        <v>2.2774874231288553</v>
      </c>
      <c r="X6" s="28">
        <f ca="1">'Debt worksheet'!V5/'Profit and Loss'!V5</f>
        <v>2.2591109257118469</v>
      </c>
      <c r="Y6" s="28">
        <f ca="1">'Debt worksheet'!W5/'Profit and Loss'!W5</f>
        <v>2.2409856160606352</v>
      </c>
      <c r="Z6" s="28">
        <f ca="1">'Debt worksheet'!X5/'Profit and Loss'!X5</f>
        <v>2.2226486431132093</v>
      </c>
      <c r="AA6" s="28">
        <f ca="1">'Debt worksheet'!Y5/'Profit and Loss'!Y5</f>
        <v>2.2036643052343887</v>
      </c>
      <c r="AB6" s="28">
        <f ca="1">'Debt worksheet'!Z5/'Profit and Loss'!Z5</f>
        <v>2.1836229398469547</v>
      </c>
      <c r="AC6" s="28">
        <f ca="1">'Debt worksheet'!AA5/'Profit and Loss'!AA5</f>
        <v>2.1621398523914208</v>
      </c>
      <c r="AD6" s="28">
        <f ca="1">'Debt worksheet'!AB5/'Profit and Loss'!AB5</f>
        <v>2.1594201898881411</v>
      </c>
      <c r="AE6" s="28">
        <f ca="1">'Debt worksheet'!AC5/'Profit and Loss'!AC5</f>
        <v>2.2019583757047845</v>
      </c>
      <c r="AF6" s="28">
        <f ca="1">'Debt worksheet'!AD5/'Profit and Loss'!AD5</f>
        <v>2.2702378399582455</v>
      </c>
      <c r="AG6" s="28">
        <f ca="1">'Debt worksheet'!AE5/'Profit and Loss'!AE5</f>
        <v>2.364867607360349</v>
      </c>
      <c r="AH6" s="28">
        <f ca="1">'Debt worksheet'!AF5/'Profit and Loss'!AF5</f>
        <v>2.4864685415860266</v>
      </c>
      <c r="AI6" s="31"/>
    </row>
    <row r="7" spans="1:35" ht="21" x14ac:dyDescent="0.5">
      <c r="A7" s="19" t="s">
        <v>39</v>
      </c>
      <c r="B7" s="26">
        <f ca="1">MIN('Price and Financial ratios'!E7:AH7)</f>
        <v>0.17004611731468006</v>
      </c>
      <c r="C7" s="26"/>
      <c r="D7" s="26"/>
      <c r="E7" s="56">
        <f ca="1">'Cash Flow'!C7/'Debt worksheet'!C5</f>
        <v>0.32360427084080051</v>
      </c>
      <c r="F7" s="32">
        <f ca="1">'Cash Flow'!D7/'Debt worksheet'!D5</f>
        <v>0.17004611731468006</v>
      </c>
      <c r="G7" s="32">
        <f ca="1">'Cash Flow'!E7/'Debt worksheet'!E5</f>
        <v>0.18572268219696605</v>
      </c>
      <c r="H7" s="32">
        <f ca="1">'Cash Flow'!F7/'Debt worksheet'!F5</f>
        <v>0.221358064305689</v>
      </c>
      <c r="I7" s="32">
        <f ca="1">'Cash Flow'!G7/'Debt worksheet'!G5</f>
        <v>0.23620452024510225</v>
      </c>
      <c r="J7" s="32">
        <f ca="1">'Cash Flow'!H7/'Debt worksheet'!H5</f>
        <v>0.2487389799509104</v>
      </c>
      <c r="K7" s="32">
        <f ca="1">'Cash Flow'!I7/'Debt worksheet'!I5</f>
        <v>0.25293349370127399</v>
      </c>
      <c r="L7" s="32">
        <f ca="1">'Cash Flow'!J7/'Debt worksheet'!J5</f>
        <v>0.25441929300295252</v>
      </c>
      <c r="M7" s="17">
        <f ca="1">'Cash Flow'!K7/'Debt worksheet'!K5</f>
        <v>0.25480685053097174</v>
      </c>
      <c r="N7" s="17">
        <f ca="1">'Cash Flow'!L7/'Debt worksheet'!L5</f>
        <v>0.25296085048066264</v>
      </c>
      <c r="O7" s="17">
        <f ca="1">'Cash Flow'!M7/'Debt worksheet'!M5</f>
        <v>0.25181486763360172</v>
      </c>
      <c r="P7" s="17">
        <f ca="1">'Cash Flow'!N7/'Debt worksheet'!N5</f>
        <v>0.251430114325353</v>
      </c>
      <c r="Q7" s="17">
        <f ca="1">'Cash Flow'!O7/'Debt worksheet'!O5</f>
        <v>0.25186794623224346</v>
      </c>
      <c r="R7" s="17">
        <f ca="1">'Cash Flow'!P7/'Debt worksheet'!P5</f>
        <v>0.25319361491625192</v>
      </c>
      <c r="S7" s="17">
        <f ca="1">'Cash Flow'!Q7/'Debt worksheet'!Q5</f>
        <v>0.25548018085954788</v>
      </c>
      <c r="T7" s="17">
        <f ca="1">'Cash Flow'!R7/'Debt worksheet'!R5</f>
        <v>0.2588127884227413</v>
      </c>
      <c r="U7" s="17">
        <f ca="1">'Cash Flow'!S7/'Debt worksheet'!S5</f>
        <v>0.26329358080374859</v>
      </c>
      <c r="V7" s="17">
        <f ca="1">'Cash Flow'!T7/'Debt worksheet'!T5</f>
        <v>0.26475032486065914</v>
      </c>
      <c r="W7" s="17">
        <f ca="1">'Cash Flow'!U7/'Debt worksheet'!U5</f>
        <v>0.26623271903154622</v>
      </c>
      <c r="X7" s="17">
        <f ca="1">'Cash Flow'!V7/'Debt worksheet'!V5</f>
        <v>0.26780092142805917</v>
      </c>
      <c r="Y7" s="17">
        <f ca="1">'Cash Flow'!W7/'Debt worksheet'!W5</f>
        <v>0.26951466598038104</v>
      </c>
      <c r="Z7" s="17">
        <f ca="1">'Cash Flow'!X7/'Debt worksheet'!X5</f>
        <v>0.2714334127517557</v>
      </c>
      <c r="AA7" s="17">
        <f ca="1">'Cash Flow'!Y7/'Debt worksheet'!Y5</f>
        <v>0.27361673651111307</v>
      </c>
      <c r="AB7" s="17">
        <f ca="1">'Cash Flow'!Z7/'Debt worksheet'!Z5</f>
        <v>0.27612494276791494</v>
      </c>
      <c r="AC7" s="17">
        <f ca="1">'Cash Flow'!AA7/'Debt worksheet'!AA5</f>
        <v>0.27901990756142908</v>
      </c>
      <c r="AD7" s="17">
        <f ca="1">'Cash Flow'!AB7/'Debt worksheet'!AB5</f>
        <v>0.27775188644354998</v>
      </c>
      <c r="AE7" s="17">
        <f ca="1">'Cash Flow'!AC7/'Debt worksheet'!AC5</f>
        <v>0.26726160463441317</v>
      </c>
      <c r="AF7" s="17">
        <f ca="1">'Cash Flow'!AD7/'Debt worksheet'!AD5</f>
        <v>0.25383784280476324</v>
      </c>
      <c r="AG7" s="17">
        <f ca="1">'Cash Flow'!AE7/'Debt worksheet'!AE5</f>
        <v>0.23810248940729251</v>
      </c>
      <c r="AH7" s="17">
        <f ca="1">'Cash Flow'!AF7/'Debt worksheet'!AF5</f>
        <v>0.22075568056856376</v>
      </c>
      <c r="AI7" s="29"/>
    </row>
    <row r="8" spans="1:35" ht="21" x14ac:dyDescent="0.5">
      <c r="A8" s="19" t="s">
        <v>34</v>
      </c>
      <c r="B8" s="26">
        <f ca="1">MAX('Price and Financial ratios'!E8:AH8)</f>
        <v>0.4597520378290329</v>
      </c>
      <c r="C8" s="26"/>
      <c r="D8" s="176"/>
      <c r="E8" s="17">
        <f>'Balance Sheet'!B11/'Balance Sheet'!B8</f>
        <v>6.2694281406531507E-2</v>
      </c>
      <c r="F8" s="17">
        <f ca="1">'Balance Sheet'!C11/'Balance Sheet'!C8</f>
        <v>0.25348739063264381</v>
      </c>
      <c r="G8" s="17">
        <f ca="1">'Balance Sheet'!D11/'Balance Sheet'!D8</f>
        <v>0.36816667717354801</v>
      </c>
      <c r="H8" s="17">
        <f ca="1">'Balance Sheet'!E11/'Balance Sheet'!E8</f>
        <v>0.43275048910663622</v>
      </c>
      <c r="I8" s="17">
        <f ca="1">'Balance Sheet'!F11/'Balance Sheet'!F8</f>
        <v>0.4563512708749895</v>
      </c>
      <c r="J8" s="17">
        <f ca="1">'Balance Sheet'!G11/'Balance Sheet'!G8</f>
        <v>0.4597520378290329</v>
      </c>
      <c r="K8" s="17">
        <f ca="1">'Balance Sheet'!H11/'Balance Sheet'!H8</f>
        <v>0.45136946702786573</v>
      </c>
      <c r="L8" s="17">
        <f ca="1">'Balance Sheet'!I11/'Balance Sheet'!I8</f>
        <v>0.43936687263348767</v>
      </c>
      <c r="M8" s="17">
        <f ca="1">'Balance Sheet'!J11/'Balance Sheet'!J8</f>
        <v>0.42672895858974297</v>
      </c>
      <c r="N8" s="17">
        <f ca="1">'Balance Sheet'!K11/'Balance Sheet'!K8</f>
        <v>0.41463556427268983</v>
      </c>
      <c r="O8" s="17">
        <f ca="1">'Balance Sheet'!L11/'Balance Sheet'!L8</f>
        <v>0.40419392003365284</v>
      </c>
      <c r="P8" s="17">
        <f ca="1">'Balance Sheet'!M11/'Balance Sheet'!M8</f>
        <v>0.39494522279899186</v>
      </c>
      <c r="Q8" s="17">
        <f ca="1">'Balance Sheet'!N11/'Balance Sheet'!N8</f>
        <v>0.38652380290203464</v>
      </c>
      <c r="R8" s="17">
        <f ca="1">'Balance Sheet'!O11/'Balance Sheet'!O8</f>
        <v>0.37863147856454643</v>
      </c>
      <c r="S8" s="17">
        <f ca="1">'Balance Sheet'!P11/'Balance Sheet'!P8</f>
        <v>0.37101978046479567</v>
      </c>
      <c r="T8" s="17">
        <f ca="1">'Balance Sheet'!Q11/'Balance Sheet'!Q8</f>
        <v>0.36347736037775635</v>
      </c>
      <c r="U8" s="17">
        <f ca="1">'Balance Sheet'!R11/'Balance Sheet'!R8</f>
        <v>0.35582089668121758</v>
      </c>
      <c r="V8" s="17">
        <f ca="1">'Balance Sheet'!S11/'Balance Sheet'!S8</f>
        <v>0.34788840904489177</v>
      </c>
      <c r="W8" s="17">
        <f ca="1">'Balance Sheet'!T11/'Balance Sheet'!T8</f>
        <v>0.3409413413531926</v>
      </c>
      <c r="X8" s="17">
        <f ca="1">'Balance Sheet'!U11/'Balance Sheet'!U8</f>
        <v>0.33479934747791301</v>
      </c>
      <c r="Y8" s="17">
        <f ca="1">'Balance Sheet'!V11/'Balance Sheet'!V8</f>
        <v>0.32930610094106255</v>
      </c>
      <c r="Z8" s="17">
        <f ca="1">'Balance Sheet'!W11/'Balance Sheet'!W8</f>
        <v>0.32432462247096044</v>
      </c>
      <c r="AA8" s="17">
        <f ca="1">'Balance Sheet'!X11/'Balance Sheet'!X8</f>
        <v>0.31973362378720732</v>
      </c>
      <c r="AB8" s="17">
        <f ca="1">'Balance Sheet'!Y11/'Balance Sheet'!Y8</f>
        <v>0.31542461809720423</v>
      </c>
      <c r="AC8" s="17">
        <f ca="1">'Balance Sheet'!Z11/'Balance Sheet'!Z8</f>
        <v>0.31129961542042073</v>
      </c>
      <c r="AD8" s="17">
        <f ca="1">'Balance Sheet'!AA11/'Balance Sheet'!AA8</f>
        <v>0.30726926854146774</v>
      </c>
      <c r="AE8" s="17">
        <f ca="1">'Balance Sheet'!AB11/'Balance Sheet'!AB8</f>
        <v>0.30460005070305746</v>
      </c>
      <c r="AF8" s="17">
        <f ca="1">'Balance Sheet'!AC11/'Balance Sheet'!AC8</f>
        <v>0.30558795150274592</v>
      </c>
      <c r="AG8" s="17">
        <f ca="1">'Balance Sheet'!AD11/'Balance Sheet'!AD8</f>
        <v>0.31002334327779502</v>
      </c>
      <c r="AH8" s="17">
        <f ca="1">'Balance Sheet'!AE11/'Balance Sheet'!AE8</f>
        <v>0.31772240633919679</v>
      </c>
      <c r="AI8" s="29"/>
    </row>
    <row r="9" spans="1:35" ht="21.5" thickBot="1" x14ac:dyDescent="0.55000000000000004">
      <c r="A9" s="20" t="s">
        <v>33</v>
      </c>
      <c r="B9" s="21">
        <f ca="1">MIN('Price and Financial ratios'!E9:AH9)</f>
        <v>3.338334174613669</v>
      </c>
      <c r="C9" s="21"/>
      <c r="D9" s="177"/>
      <c r="E9" s="21">
        <f ca="1">('Cash Flow'!C7+'Profit and Loss'!C8)/('Profit and Loss'!C8)</f>
        <v>3.338334174613669</v>
      </c>
      <c r="F9" s="21">
        <f ca="1">('Cash Flow'!D7+'Profit and Loss'!D8)/('Profit and Loss'!D8)</f>
        <v>3.8541408912921562</v>
      </c>
      <c r="G9" s="21">
        <f ca="1">('Cash Flow'!E7+'Profit and Loss'!E8)/('Profit and Loss'!E8)</f>
        <v>4.9209999566639366</v>
      </c>
      <c r="H9" s="21">
        <f ca="1">('Cash Flow'!F7+'Profit and Loss'!F8)/('Profit and Loss'!F8)</f>
        <v>6.2815142013615368</v>
      </c>
      <c r="I9" s="21">
        <f ca="1">('Cash Flow'!G7+'Profit and Loss'!G8)/('Profit and Loss'!G8)</f>
        <v>6.9645812588500409</v>
      </c>
      <c r="J9" s="21">
        <f ca="1">('Cash Flow'!H7+'Profit and Loss'!H8)/('Profit and Loss'!H8)</f>
        <v>7.5037618374467279</v>
      </c>
      <c r="K9" s="21">
        <f ca="1">('Cash Flow'!I7+'Profit and Loss'!I8)/('Profit and Loss'!I8)</f>
        <v>7.7204033866378312</v>
      </c>
      <c r="L9" s="21">
        <f ca="1">('Cash Flow'!J7+'Profit and Loss'!J8)/('Profit and Loss'!J8)</f>
        <v>7.8180158441967533</v>
      </c>
      <c r="M9" s="21">
        <f ca="1">('Cash Flow'!K7+'Profit and Loss'!K8)/('Profit and Loss'!K8)</f>
        <v>7.8624701923260911</v>
      </c>
      <c r="N9" s="21">
        <f ca="1">('Cash Flow'!L7+'Profit and Loss'!L8)/('Profit and Loss'!L8)</f>
        <v>7.822552879288855</v>
      </c>
      <c r="O9" s="21">
        <f ca="1">('Cash Flow'!M7+'Profit and Loss'!M8)/('Profit and Loss'!M8)</f>
        <v>7.803396533020293</v>
      </c>
      <c r="P9" s="21">
        <f ca="1">('Cash Flow'!N7+'Profit and Loss'!N8)/('Profit and Loss'!N8)</f>
        <v>7.8066180866948409</v>
      </c>
      <c r="Q9" s="21">
        <f ca="1">('Cash Flow'!O7+'Profit and Loss'!O8)/('Profit and Loss'!O8)</f>
        <v>7.8339315283783675</v>
      </c>
      <c r="R9" s="21">
        <f ca="1">('Cash Flow'!P7+'Profit and Loss'!P8)/('Profit and Loss'!P8)</f>
        <v>7.8872538757325872</v>
      </c>
      <c r="S9" s="21">
        <f ca="1">('Cash Flow'!Q7+'Profit and Loss'!Q8)/('Profit and Loss'!Q8)</f>
        <v>7.968820296997416</v>
      </c>
      <c r="T9" s="21">
        <f ca="1">('Cash Flow'!R7+'Profit and Loss'!R8)/('Profit and Loss'!R8)</f>
        <v>8.0813158358021049</v>
      </c>
      <c r="U9" s="21">
        <f ca="1">('Cash Flow'!S7+'Profit and Loss'!S8)/('Profit and Loss'!S8)</f>
        <v>8.2280339371945175</v>
      </c>
      <c r="V9" s="21">
        <f ca="1">('Cash Flow'!T7+'Profit and Loss'!T8)/('Profit and Loss'!T8)</f>
        <v>8.264566691926662</v>
      </c>
      <c r="W9" s="21">
        <f ca="1">('Cash Flow'!U7+'Profit and Loss'!U8)/('Profit and Loss'!U8)</f>
        <v>8.3033567551775604</v>
      </c>
      <c r="X9" s="21">
        <f ca="1">('Cash Flow'!V7+'Profit and Loss'!V8)/('Profit and Loss'!V8)</f>
        <v>8.346038675659921</v>
      </c>
      <c r="Y9" s="21">
        <f ca="1">('Cash Flow'!W7+'Profit and Loss'!W8)/('Profit and Loss'!W8)</f>
        <v>8.3942361013549327</v>
      </c>
      <c r="Z9" s="21">
        <f ca="1">('Cash Flow'!X7+'Profit and Loss'!X8)/('Profit and Loss'!X8)</f>
        <v>8.4495723335788924</v>
      </c>
      <c r="AA9" s="21">
        <f ca="1">('Cash Flow'!Y7+'Profit and Loss'!Y8)/('Profit and Loss'!Y8)</f>
        <v>8.5136870801908398</v>
      </c>
      <c r="AB9" s="21">
        <f ca="1">('Cash Flow'!Z7+'Profit and Loss'!Z8)/('Profit and Loss'!Z8)</f>
        <v>8.5882592819866712</v>
      </c>
      <c r="AC9" s="21">
        <f ca="1">('Cash Flow'!AA7+'Profit and Loss'!AA8)/('Profit and Loss'!AA8)</f>
        <v>8.6750361729690653</v>
      </c>
      <c r="AD9" s="21">
        <f ca="1">('Cash Flow'!AB7+'Profit and Loss'!AB8)/('Profit and Loss'!AB8)</f>
        <v>8.6149337546407452</v>
      </c>
      <c r="AE9" s="21">
        <f ca="1">('Cash Flow'!AC7+'Profit and Loss'!AC8)/('Profit and Loss'!AC8)</f>
        <v>8.2469518932133852</v>
      </c>
      <c r="AF9" s="21">
        <f ca="1">('Cash Flow'!AD7+'Profit and Loss'!AD8)/('Profit and Loss'!AD8)</f>
        <v>7.8124284462696254</v>
      </c>
      <c r="AG9" s="21">
        <f ca="1">('Cash Flow'!AE7+'Profit and Loss'!AE8)/('Profit and Loss'!AE8)</f>
        <v>7.3309496491324024</v>
      </c>
      <c r="AH9" s="21">
        <f ca="1">('Cash Flow'!AF7+'Profit and Loss'!AF8)/('Profit and Loss'!AF8)</f>
        <v>6.8221621696420156</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73</v>
      </c>
      <c r="C5" s="1">
        <f>Assumptions!D111</f>
        <v>5794375.2455786355</v>
      </c>
      <c r="D5" s="1">
        <f>Assumptions!E111</f>
        <v>5794375.2455786355</v>
      </c>
      <c r="E5" s="1">
        <f>Assumptions!F111</f>
        <v>5794375.2455786355</v>
      </c>
      <c r="F5" s="1">
        <f>Assumptions!G111</f>
        <v>5794375.2455786355</v>
      </c>
      <c r="G5" s="1">
        <f>Assumptions!H111</f>
        <v>5794375.2455786355</v>
      </c>
      <c r="H5" s="1">
        <f>Assumptions!I111</f>
        <v>5794375.2455786355</v>
      </c>
      <c r="I5" s="1">
        <f>Assumptions!J111</f>
        <v>5794375.2455786355</v>
      </c>
      <c r="J5" s="1">
        <f>Assumptions!K111</f>
        <v>5794375.2455786355</v>
      </c>
      <c r="K5" s="1">
        <f>Assumptions!L111</f>
        <v>5794375.2455786355</v>
      </c>
      <c r="L5" s="1">
        <f>Assumptions!M111</f>
        <v>5794375.2455786355</v>
      </c>
      <c r="M5" s="1">
        <f>Assumptions!N111</f>
        <v>5794375.2455786355</v>
      </c>
      <c r="N5" s="1">
        <f>Assumptions!O111</f>
        <v>5794375.2455786355</v>
      </c>
      <c r="O5" s="1">
        <f>Assumptions!P111</f>
        <v>5794375.2455786355</v>
      </c>
      <c r="P5" s="1">
        <f>Assumptions!Q111</f>
        <v>5794375.2455786355</v>
      </c>
      <c r="Q5" s="1">
        <f>Assumptions!R111</f>
        <v>5794375.2455786355</v>
      </c>
      <c r="R5" s="1">
        <f>Assumptions!S111</f>
        <v>5794375.2455786355</v>
      </c>
      <c r="S5" s="1">
        <f>Assumptions!T111</f>
        <v>5794375.2455786355</v>
      </c>
      <c r="T5" s="1">
        <f>Assumptions!U111</f>
        <v>5794375.2455786355</v>
      </c>
      <c r="U5" s="1">
        <f>Assumptions!V111</f>
        <v>5794375.2455786355</v>
      </c>
      <c r="V5" s="1">
        <f>Assumptions!W111</f>
        <v>5794375.2455786355</v>
      </c>
      <c r="W5" s="1">
        <f>Assumptions!X111</f>
        <v>5794375.2455786355</v>
      </c>
      <c r="X5" s="1">
        <f>Assumptions!Y111</f>
        <v>5794375.2455786355</v>
      </c>
      <c r="Y5" s="1">
        <f>Assumptions!Z111</f>
        <v>5794375.2455786355</v>
      </c>
      <c r="Z5" s="1">
        <f>Assumptions!AA111</f>
        <v>5794375.2455786355</v>
      </c>
      <c r="AA5" s="1">
        <f>Assumptions!AB111</f>
        <v>5794375.2455786355</v>
      </c>
      <c r="AB5" s="1">
        <f>Assumptions!AC111</f>
        <v>5794375.2455786355</v>
      </c>
      <c r="AC5" s="1">
        <f>Assumptions!AD111</f>
        <v>5794375.2455786355</v>
      </c>
      <c r="AD5" s="1">
        <f>Assumptions!AE111</f>
        <v>5794375.2455786355</v>
      </c>
      <c r="AE5" s="1">
        <f>Assumptions!AF111</f>
        <v>5794375.2455786355</v>
      </c>
      <c r="AF5" s="1">
        <f>Assumptions!AG111</f>
        <v>5794375.2455786355</v>
      </c>
    </row>
    <row r="6" spans="1:32" x14ac:dyDescent="0.35">
      <c r="A6" t="s">
        <v>69</v>
      </c>
      <c r="C6" s="1">
        <f>Assumptions!D113</f>
        <v>29631000</v>
      </c>
      <c r="D6" s="1">
        <f>Assumptions!E113</f>
        <v>29631000</v>
      </c>
      <c r="E6" s="1">
        <f>Assumptions!F113</f>
        <v>29631000</v>
      </c>
      <c r="F6" s="1">
        <f>Assumptions!G113</f>
        <v>29631000</v>
      </c>
      <c r="G6" s="1">
        <f>Assumptions!H113</f>
        <v>29631000</v>
      </c>
      <c r="H6" s="1">
        <f>Assumptions!I113</f>
        <v>29631000</v>
      </c>
      <c r="I6" s="1">
        <f>Assumptions!J113</f>
        <v>29631000</v>
      </c>
      <c r="J6" s="1">
        <f>Assumptions!K113</f>
        <v>29631000</v>
      </c>
      <c r="K6" s="1">
        <f>Assumptions!L113</f>
        <v>29631000</v>
      </c>
      <c r="L6" s="1">
        <f>Assumptions!M113</f>
        <v>29631000</v>
      </c>
      <c r="M6" s="1">
        <f>Assumptions!N113</f>
        <v>29631000</v>
      </c>
      <c r="N6" s="1">
        <f>Assumptions!O113</f>
        <v>29631000</v>
      </c>
      <c r="O6" s="1">
        <f>Assumptions!P113</f>
        <v>29631000</v>
      </c>
      <c r="P6" s="1">
        <f>Assumptions!Q113</f>
        <v>29631000</v>
      </c>
      <c r="Q6" s="1">
        <f>Assumptions!R113</f>
        <v>29631000</v>
      </c>
      <c r="R6" s="1">
        <f>Assumptions!S113</f>
        <v>29631000</v>
      </c>
      <c r="S6" s="1">
        <f>Assumptions!T113</f>
        <v>29631000</v>
      </c>
      <c r="T6" s="1">
        <f>Assumptions!U113</f>
        <v>29631000</v>
      </c>
      <c r="U6" s="1">
        <f>Assumptions!V113</f>
        <v>29631000</v>
      </c>
      <c r="V6" s="1">
        <f>Assumptions!W113</f>
        <v>29631000</v>
      </c>
      <c r="W6" s="1">
        <f>Assumptions!X113</f>
        <v>29631000</v>
      </c>
      <c r="X6" s="1">
        <f>Assumptions!Y113</f>
        <v>29631000</v>
      </c>
      <c r="Y6" s="1">
        <f>Assumptions!Z113</f>
        <v>29631000</v>
      </c>
      <c r="Z6" s="1">
        <f>Assumptions!AA113</f>
        <v>29631000</v>
      </c>
      <c r="AA6" s="1">
        <f>Assumptions!AB113</f>
        <v>29631000</v>
      </c>
      <c r="AB6" s="1">
        <f>Assumptions!AC113</f>
        <v>29631000</v>
      </c>
      <c r="AC6" s="1">
        <f>Assumptions!AD113</f>
        <v>29631000</v>
      </c>
      <c r="AD6" s="1">
        <f>Assumptions!AE113</f>
        <v>29631000</v>
      </c>
      <c r="AE6" s="1">
        <f>Assumptions!AF113</f>
        <v>29631000</v>
      </c>
      <c r="AF6" s="1">
        <f>Assumptions!AG113</f>
        <v>29631000</v>
      </c>
    </row>
    <row r="7" spans="1:32" x14ac:dyDescent="0.35">
      <c r="A7" t="s">
        <v>74</v>
      </c>
      <c r="C7" s="1">
        <f>Assumptions!D120</f>
        <v>711144</v>
      </c>
      <c r="D7" s="1">
        <f>Assumptions!E120</f>
        <v>1422288</v>
      </c>
      <c r="E7" s="1">
        <f>Assumptions!F120</f>
        <v>2133432</v>
      </c>
      <c r="F7" s="1">
        <f>Assumptions!G120</f>
        <v>2844576</v>
      </c>
      <c r="G7" s="1">
        <f>Assumptions!H120</f>
        <v>3555720</v>
      </c>
      <c r="H7" s="1">
        <f>Assumptions!I120</f>
        <v>4266864</v>
      </c>
      <c r="I7" s="1">
        <f>Assumptions!J120</f>
        <v>4978008</v>
      </c>
      <c r="J7" s="1">
        <f>Assumptions!K120</f>
        <v>5689152</v>
      </c>
      <c r="K7" s="1">
        <f>Assumptions!L120</f>
        <v>6400296</v>
      </c>
      <c r="L7" s="1">
        <f>Assumptions!M120</f>
        <v>7111440</v>
      </c>
      <c r="M7" s="1">
        <f>Assumptions!N120</f>
        <v>7822584</v>
      </c>
      <c r="N7" s="1">
        <f>Assumptions!O120</f>
        <v>8533728</v>
      </c>
      <c r="O7" s="1">
        <f>Assumptions!P120</f>
        <v>9244872</v>
      </c>
      <c r="P7" s="1">
        <f>Assumptions!Q120</f>
        <v>9956016</v>
      </c>
      <c r="Q7" s="1">
        <f>Assumptions!R120</f>
        <v>10667160</v>
      </c>
      <c r="R7" s="1">
        <f>Assumptions!S120</f>
        <v>11378304</v>
      </c>
      <c r="S7" s="1">
        <f>Assumptions!T120</f>
        <v>12089448</v>
      </c>
      <c r="T7" s="1">
        <f>Assumptions!U120</f>
        <v>12800592</v>
      </c>
      <c r="U7" s="1">
        <f>Assumptions!V120</f>
        <v>13511736</v>
      </c>
      <c r="V7" s="1">
        <f>Assumptions!W120</f>
        <v>14222880</v>
      </c>
      <c r="W7" s="1">
        <f>Assumptions!X120</f>
        <v>14934024</v>
      </c>
      <c r="X7" s="1">
        <f>Assumptions!Y120</f>
        <v>15645168</v>
      </c>
      <c r="Y7" s="1">
        <f>Assumptions!Z120</f>
        <v>16356312</v>
      </c>
      <c r="Z7" s="1">
        <f>Assumptions!AA120</f>
        <v>17067456</v>
      </c>
      <c r="AA7" s="1">
        <f>Assumptions!AB120</f>
        <v>17778600</v>
      </c>
      <c r="AB7" s="1">
        <f>Assumptions!AC120</f>
        <v>18489744</v>
      </c>
      <c r="AC7" s="1">
        <f>Assumptions!AD120</f>
        <v>19200888</v>
      </c>
      <c r="AD7" s="1">
        <f>Assumptions!AE120</f>
        <v>19912032</v>
      </c>
      <c r="AE7" s="1">
        <f>Assumptions!AF120</f>
        <v>20623176</v>
      </c>
      <c r="AF7" s="1">
        <f>Assumptions!AG120</f>
        <v>21334320</v>
      </c>
    </row>
    <row r="9" spans="1:32" x14ac:dyDescent="0.35">
      <c r="A9" t="s">
        <v>93</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71</v>
      </c>
      <c r="C11" s="1">
        <f>C5*C$9</f>
        <v>5979795.2534371521</v>
      </c>
      <c r="D11" s="1">
        <f>D5*D$9</f>
        <v>6171148.7015471403</v>
      </c>
      <c r="E11" s="1">
        <f t="shared" ref="D11:AF13" si="1">E5*E$9</f>
        <v>6368625.4599966481</v>
      </c>
      <c r="F11" s="1">
        <f t="shared" si="1"/>
        <v>6572421.4747165414</v>
      </c>
      <c r="G11" s="1">
        <f t="shared" si="1"/>
        <v>6782738.9619074715</v>
      </c>
      <c r="H11" s="1">
        <f t="shared" si="1"/>
        <v>6999786.60868851</v>
      </c>
      <c r="I11" s="1">
        <f t="shared" si="1"/>
        <v>7223779.7801665412</v>
      </c>
      <c r="J11" s="1">
        <f t="shared" si="1"/>
        <v>7454940.7331318716</v>
      </c>
      <c r="K11" s="1">
        <f t="shared" si="1"/>
        <v>7693498.8365920922</v>
      </c>
      <c r="L11" s="1">
        <f t="shared" si="1"/>
        <v>7939690.7993630376</v>
      </c>
      <c r="M11" s="1">
        <f t="shared" si="1"/>
        <v>8193760.904942655</v>
      </c>
      <c r="N11" s="1">
        <f t="shared" si="1"/>
        <v>8455961.2539008204</v>
      </c>
      <c r="O11" s="1">
        <f t="shared" si="1"/>
        <v>8726552.0140256472</v>
      </c>
      <c r="P11" s="1">
        <f t="shared" si="1"/>
        <v>9005801.6784744672</v>
      </c>
      <c r="Q11" s="1">
        <f t="shared" si="1"/>
        <v>9293987.3321856484</v>
      </c>
      <c r="R11" s="1">
        <f t="shared" si="1"/>
        <v>9591394.9268155899</v>
      </c>
      <c r="S11" s="1">
        <f t="shared" si="1"/>
        <v>9898319.5644736905</v>
      </c>
      <c r="T11" s="1">
        <f t="shared" si="1"/>
        <v>10215065.790536847</v>
      </c>
      <c r="U11" s="1">
        <f t="shared" si="1"/>
        <v>10541947.895834025</v>
      </c>
      <c r="V11" s="1">
        <f t="shared" si="1"/>
        <v>10879290.228500715</v>
      </c>
      <c r="W11" s="1">
        <f t="shared" si="1"/>
        <v>11227427.51581274</v>
      </c>
      <c r="X11" s="1">
        <f t="shared" si="1"/>
        <v>11586705.196318746</v>
      </c>
      <c r="Y11" s="1">
        <f t="shared" si="1"/>
        <v>11957479.762600943</v>
      </c>
      <c r="Z11" s="1">
        <f t="shared" si="1"/>
        <v>12340119.115004174</v>
      </c>
      <c r="AA11" s="1">
        <f t="shared" si="1"/>
        <v>12735002.926684311</v>
      </c>
      <c r="AB11" s="1">
        <f t="shared" si="1"/>
        <v>13142523.020338207</v>
      </c>
      <c r="AC11" s="1">
        <f t="shared" si="1"/>
        <v>13563083.756989028</v>
      </c>
      <c r="AD11" s="1">
        <f t="shared" si="1"/>
        <v>13997102.43721268</v>
      </c>
      <c r="AE11" s="1">
        <f t="shared" si="1"/>
        <v>14445009.715203485</v>
      </c>
      <c r="AF11" s="1">
        <f t="shared" si="1"/>
        <v>14907250.026089994</v>
      </c>
    </row>
    <row r="12" spans="1:32" x14ac:dyDescent="0.35">
      <c r="A12" t="s">
        <v>72</v>
      </c>
      <c r="C12" s="1">
        <f t="shared" ref="C12:R12" si="2">C6*C$9</f>
        <v>30579192</v>
      </c>
      <c r="D12" s="1">
        <f t="shared" si="2"/>
        <v>31557726.143999998</v>
      </c>
      <c r="E12" s="1">
        <f t="shared" si="2"/>
        <v>32567573.380607996</v>
      </c>
      <c r="F12" s="1">
        <f t="shared" si="2"/>
        <v>33609735.728787452</v>
      </c>
      <c r="G12" s="1">
        <f t="shared" si="2"/>
        <v>34685247.272108659</v>
      </c>
      <c r="H12" s="1">
        <f t="shared" si="2"/>
        <v>35795175.18481613</v>
      </c>
      <c r="I12" s="1">
        <f t="shared" si="2"/>
        <v>36940620.790730238</v>
      </c>
      <c r="J12" s="1">
        <f t="shared" si="2"/>
        <v>38122720.656033613</v>
      </c>
      <c r="K12" s="1">
        <f t="shared" si="2"/>
        <v>39342647.717026688</v>
      </c>
      <c r="L12" s="1">
        <f t="shared" si="2"/>
        <v>40601612.443971537</v>
      </c>
      <c r="M12" s="1">
        <f t="shared" si="2"/>
        <v>41900864.042178631</v>
      </c>
      <c r="N12" s="1">
        <f t="shared" si="2"/>
        <v>43241691.69152835</v>
      </c>
      <c r="O12" s="1">
        <f t="shared" si="2"/>
        <v>44625425.825657256</v>
      </c>
      <c r="P12" s="1">
        <f t="shared" si="2"/>
        <v>46053439.452078283</v>
      </c>
      <c r="Q12" s="1">
        <f t="shared" si="2"/>
        <v>47527149.514544778</v>
      </c>
      <c r="R12" s="1">
        <f t="shared" si="2"/>
        <v>49048018.299010225</v>
      </c>
      <c r="S12" s="1">
        <f t="shared" si="1"/>
        <v>50617554.884578556</v>
      </c>
      <c r="T12" s="1">
        <f t="shared" si="1"/>
        <v>52237316.640885063</v>
      </c>
      <c r="U12" s="1">
        <f t="shared" si="1"/>
        <v>53908910.773393378</v>
      </c>
      <c r="V12" s="1">
        <f t="shared" si="1"/>
        <v>55633995.918141976</v>
      </c>
      <c r="W12" s="1">
        <f t="shared" si="1"/>
        <v>57414283.787522525</v>
      </c>
      <c r="X12" s="1">
        <f t="shared" si="1"/>
        <v>59251540.868723236</v>
      </c>
      <c r="Y12" s="1">
        <f t="shared" si="1"/>
        <v>61147590.176522367</v>
      </c>
      <c r="Z12" s="1">
        <f t="shared" si="1"/>
        <v>63104313.062171087</v>
      </c>
      <c r="AA12" s="1">
        <f t="shared" si="1"/>
        <v>65123651.080160581</v>
      </c>
      <c r="AB12" s="1">
        <f t="shared" si="1"/>
        <v>67207607.914725706</v>
      </c>
      <c r="AC12" s="1">
        <f t="shared" si="1"/>
        <v>69358251.367996916</v>
      </c>
      <c r="AD12" s="1">
        <f t="shared" si="1"/>
        <v>71577715.411772832</v>
      </c>
      <c r="AE12" s="1">
        <f t="shared" si="1"/>
        <v>73868202.304949567</v>
      </c>
      <c r="AF12" s="1">
        <f t="shared" si="1"/>
        <v>76231984.778707936</v>
      </c>
    </row>
    <row r="13" spans="1:32" x14ac:dyDescent="0.35">
      <c r="A13" t="s">
        <v>75</v>
      </c>
      <c r="C13" s="1">
        <f>C7*C$9</f>
        <v>733900.60800000001</v>
      </c>
      <c r="D13" s="1">
        <f t="shared" si="1"/>
        <v>1514770.854912</v>
      </c>
      <c r="E13" s="1">
        <f t="shared" si="1"/>
        <v>2344865.2834037757</v>
      </c>
      <c r="F13" s="1">
        <f t="shared" si="1"/>
        <v>3226534.6299635954</v>
      </c>
      <c r="G13" s="1">
        <f t="shared" si="1"/>
        <v>4162229.6726530385</v>
      </c>
      <c r="H13" s="1">
        <f t="shared" si="1"/>
        <v>5154505.2266135225</v>
      </c>
      <c r="I13" s="1">
        <f t="shared" si="1"/>
        <v>6206024.2928426806</v>
      </c>
      <c r="J13" s="1">
        <f t="shared" si="1"/>
        <v>7319562.3659584532</v>
      </c>
      <c r="K13" s="1">
        <f t="shared" si="1"/>
        <v>8498011.9068777654</v>
      </c>
      <c r="L13" s="1">
        <f t="shared" si="1"/>
        <v>9744386.9865531698</v>
      </c>
      <c r="M13" s="1">
        <f t="shared" si="1"/>
        <v>11061828.107135158</v>
      </c>
      <c r="N13" s="1">
        <f t="shared" si="1"/>
        <v>12453607.207160164</v>
      </c>
      <c r="O13" s="1">
        <f t="shared" si="1"/>
        <v>13923132.857605064</v>
      </c>
      <c r="P13" s="1">
        <f t="shared" si="1"/>
        <v>15473955.655898303</v>
      </c>
      <c r="Q13" s="1">
        <f t="shared" si="1"/>
        <v>17109773.825236119</v>
      </c>
      <c r="R13" s="1">
        <f t="shared" si="1"/>
        <v>18834439.026819926</v>
      </c>
      <c r="S13" s="1">
        <f t="shared" si="1"/>
        <v>20651962.392908052</v>
      </c>
      <c r="T13" s="1">
        <f t="shared" si="1"/>
        <v>22566520.788862348</v>
      </c>
      <c r="U13" s="1">
        <f t="shared" si="1"/>
        <v>24582463.312667381</v>
      </c>
      <c r="V13" s="1">
        <f t="shared" si="1"/>
        <v>26704318.040708147</v>
      </c>
      <c r="W13" s="1">
        <f t="shared" si="1"/>
        <v>28936799.028911352</v>
      </c>
      <c r="X13" s="1">
        <f t="shared" si="1"/>
        <v>31284813.578685869</v>
      </c>
      <c r="Y13" s="1">
        <f t="shared" si="1"/>
        <v>33753469.777440347</v>
      </c>
      <c r="Z13" s="1">
        <f t="shared" si="1"/>
        <v>36348084.323810548</v>
      </c>
      <c r="AA13" s="1">
        <f t="shared" si="1"/>
        <v>39074190.648096345</v>
      </c>
      <c r="AB13" s="1">
        <f t="shared" si="1"/>
        <v>41937547.338788837</v>
      </c>
      <c r="AC13" s="1">
        <f t="shared" si="1"/>
        <v>44944146.886462003</v>
      </c>
      <c r="AD13" s="1">
        <f t="shared" si="1"/>
        <v>48100224.756711341</v>
      </c>
      <c r="AE13" s="1">
        <f t="shared" si="1"/>
        <v>51412268.804244898</v>
      </c>
      <c r="AF13" s="1">
        <f t="shared" si="1"/>
        <v>54887029.040669717</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82</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62</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79</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76</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77</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78</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98</v>
      </c>
      <c r="C25" s="40">
        <f>SUM(C11:C13,C18:C23)</f>
        <v>37292887.861437157</v>
      </c>
      <c r="D25" s="40">
        <f>SUM(D11:D13,D18:D23)</f>
        <v>39243645.700459138</v>
      </c>
      <c r="E25" s="40">
        <f t="shared" ref="E25:AF25" si="7">SUM(E11:E13,E18:E23)</f>
        <v>41281064.124008425</v>
      </c>
      <c r="F25" s="40">
        <f t="shared" si="7"/>
        <v>43408691.833467588</v>
      </c>
      <c r="G25" s="40">
        <f t="shared" si="7"/>
        <v>45630215.90666917</v>
      </c>
      <c r="H25" s="40">
        <f t="shared" si="7"/>
        <v>47949467.020118162</v>
      </c>
      <c r="I25" s="40">
        <f t="shared" si="7"/>
        <v>50370424.863739461</v>
      </c>
      <c r="J25" s="40">
        <f t="shared" si="7"/>
        <v>52897223.755123936</v>
      </c>
      <c r="K25" s="40">
        <f t="shared" si="7"/>
        <v>55534158.460496545</v>
      </c>
      <c r="L25" s="40">
        <f t="shared" si="7"/>
        <v>58285690.229887746</v>
      </c>
      <c r="M25" s="40">
        <f t="shared" si="7"/>
        <v>61156453.054256439</v>
      </c>
      <c r="N25" s="40">
        <f t="shared" si="7"/>
        <v>64151260.152589336</v>
      </c>
      <c r="O25" s="40">
        <f t="shared" si="7"/>
        <v>67275110.697287977</v>
      </c>
      <c r="P25" s="40">
        <f t="shared" si="7"/>
        <v>70533196.786451057</v>
      </c>
      <c r="Q25" s="40">
        <f t="shared" si="7"/>
        <v>73930910.671966553</v>
      </c>
      <c r="R25" s="40">
        <f t="shared" si="7"/>
        <v>77473852.252645746</v>
      </c>
      <c r="S25" s="40">
        <f t="shared" si="7"/>
        <v>81167836.841960296</v>
      </c>
      <c r="T25" s="40">
        <f t="shared" si="7"/>
        <v>85018903.220284253</v>
      </c>
      <c r="U25" s="40">
        <f t="shared" si="7"/>
        <v>89033321.981894791</v>
      </c>
      <c r="V25" s="40">
        <f t="shared" si="7"/>
        <v>93217604.187350839</v>
      </c>
      <c r="W25" s="40">
        <f t="shared" si="7"/>
        <v>97578510.332246616</v>
      </c>
      <c r="X25" s="40">
        <f t="shared" si="7"/>
        <v>102123059.64372785</v>
      </c>
      <c r="Y25" s="40">
        <f t="shared" si="7"/>
        <v>106858539.71656364</v>
      </c>
      <c r="Z25" s="40">
        <f t="shared" si="7"/>
        <v>111792516.5009858</v>
      </c>
      <c r="AA25" s="40">
        <f t="shared" si="7"/>
        <v>116932844.65494123</v>
      </c>
      <c r="AB25" s="40">
        <f t="shared" si="7"/>
        <v>122287678.27385275</v>
      </c>
      <c r="AC25" s="40">
        <f t="shared" si="7"/>
        <v>127865482.01144795</v>
      </c>
      <c r="AD25" s="40">
        <f t="shared" si="7"/>
        <v>133675042.60569686</v>
      </c>
      <c r="AE25" s="40">
        <f t="shared" si="7"/>
        <v>139725480.82439795</v>
      </c>
      <c r="AF25" s="40">
        <f t="shared" si="7"/>
        <v>146026263.84546766</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164</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15573599.999999998</v>
      </c>
      <c r="D5" s="59">
        <f>C5*('Price and Financial ratios'!F4+1)*(1+Assumptions!$C$13)</f>
        <v>21803039.999999996</v>
      </c>
      <c r="E5" s="59">
        <f>D5*('Price and Financial ratios'!G4+1)*(1+Assumptions!$C$13)</f>
        <v>30524255.999999993</v>
      </c>
      <c r="F5" s="59">
        <f>E5*('Price and Financial ratios'!H4+1)*(1+Assumptions!$C$13)</f>
        <v>41207745.599999994</v>
      </c>
      <c r="G5" s="59">
        <f>F5*('Price and Financial ratios'!I4+1)*(1+Assumptions!$C$13)</f>
        <v>49449294.719999991</v>
      </c>
      <c r="H5" s="59">
        <f>G5*('Price and Financial ratios'!J4+1)*(1+Assumptions!$C$13)</f>
        <v>56866688.927999988</v>
      </c>
      <c r="I5" s="59">
        <f>H5*('Price and Financial ratios'!K4+1)*(1+Assumptions!$C$13)</f>
        <v>62553357.820799991</v>
      </c>
      <c r="J5" s="59">
        <f>I5*('Price and Financial ratios'!L4+1)*(1+Assumptions!$C$13)</f>
        <v>67557626.446464002</v>
      </c>
      <c r="K5" s="59">
        <f>J5*('Price and Financial ratios'!M4+1)*(1+Assumptions!$C$13)</f>
        <v>72286660.297716483</v>
      </c>
      <c r="L5" s="59">
        <f>K5*('Price and Financial ratios'!N4+1)*(1+Assumptions!$C$13)</f>
        <v>76623859.915579483</v>
      </c>
      <c r="M5" s="59">
        <f>L5*('Price and Financial ratios'!O4+1)*(1+Assumptions!$C$13)</f>
        <v>81221291.510514259</v>
      </c>
      <c r="N5" s="59">
        <f>M5*('Price and Financial ratios'!P4+1)*(1+Assumptions!$C$13)</f>
        <v>86094569.001145124</v>
      </c>
      <c r="O5" s="59">
        <f>N5*('Price and Financial ratios'!Q4+1)*(1+Assumptions!$C$13)</f>
        <v>91260243.141213834</v>
      </c>
      <c r="P5" s="59">
        <f>O5*('Price and Financial ratios'!R4+1)*(1+Assumptions!$C$13)</f>
        <v>96735857.729686663</v>
      </c>
      <c r="Q5" s="59">
        <f>P5*('Price and Financial ratios'!S4+1)*(1+Assumptions!$C$13)</f>
        <v>102540009.19346787</v>
      </c>
      <c r="R5" s="59">
        <f>Q5*('Price and Financial ratios'!T4+1)*(1+Assumptions!$C$13)</f>
        <v>108692409.74507594</v>
      </c>
      <c r="S5" s="59">
        <f>R5*('Price and Financial ratios'!U4+1)*(1+Assumptions!$C$13)</f>
        <v>115213954.3297805</v>
      </c>
      <c r="T5" s="59">
        <f>S5*('Price and Financial ratios'!V4+1)*(1+Assumptions!$C$13)</f>
        <v>120974652.04626954</v>
      </c>
      <c r="U5" s="59">
        <f>T5*('Price and Financial ratios'!W4+1)*(1+Assumptions!$C$13)</f>
        <v>127023384.64858302</v>
      </c>
      <c r="V5" s="59">
        <f>U5*('Price and Financial ratios'!X4+1)*(1+Assumptions!$C$13)</f>
        <v>133374553.88101219</v>
      </c>
      <c r="W5" s="59">
        <f>V5*('Price and Financial ratios'!Y4+1)*(1+Assumptions!$C$13)</f>
        <v>140043281.57506281</v>
      </c>
      <c r="X5" s="59">
        <f>W5*('Price and Financial ratios'!Z4+1)*(1+Assumptions!$C$13)</f>
        <v>147045445.65381595</v>
      </c>
      <c r="Y5" s="59">
        <f>X5*('Price and Financial ratios'!AA4+1)*(1+Assumptions!$C$13)</f>
        <v>154397717.93650675</v>
      </c>
      <c r="Z5" s="59">
        <f>Y5*('Price and Financial ratios'!AB4+1)*(1+Assumptions!$C$13)</f>
        <v>162117603.83333209</v>
      </c>
      <c r="AA5" s="59">
        <f>Z5*('Price and Financial ratios'!AC4+1)*(1+Assumptions!$C$13)</f>
        <v>170223484.02499869</v>
      </c>
      <c r="AB5" s="59">
        <f>AA5*('Price and Financial ratios'!AD4+1)*(1+Assumptions!$C$13)</f>
        <v>177032423.38599864</v>
      </c>
      <c r="AC5" s="59">
        <f>AB5*('Price and Financial ratios'!AE4+1)*(1+Assumptions!$C$13)</f>
        <v>180927136.70049062</v>
      </c>
      <c r="AD5" s="59">
        <f>AC5*('Price and Financial ratios'!AF4+1)*(1+Assumptions!$C$13)</f>
        <v>184907533.70790142</v>
      </c>
      <c r="AE5" s="59">
        <f>AD5*('Price and Financial ratios'!AG4+1)*(1+Assumptions!$C$13)</f>
        <v>188975499.44947526</v>
      </c>
      <c r="AF5" s="59">
        <f>AE5*('Price and Financial ratios'!AH4+1)*(1+Assumptions!$C$13)</f>
        <v>193132960.43736371</v>
      </c>
    </row>
    <row r="6" spans="1:32" s="11" customFormat="1" x14ac:dyDescent="0.35">
      <c r="A6" s="11" t="s">
        <v>20</v>
      </c>
      <c r="C6" s="59">
        <f>C27</f>
        <v>10317018.460000001</v>
      </c>
      <c r="D6" s="59">
        <f t="shared" ref="D6:AF6" si="1">D27</f>
        <v>11472466.028239999</v>
      </c>
      <c r="E6" s="59">
        <f>E27</f>
        <v>12673759.852547921</v>
      </c>
      <c r="F6" s="59">
        <f t="shared" si="1"/>
        <v>13922357.931567721</v>
      </c>
      <c r="G6" s="59">
        <f t="shared" si="1"/>
        <v>15219760.226295758</v>
      </c>
      <c r="H6" s="59">
        <f t="shared" si="1"/>
        <v>16567509.800752951</v>
      </c>
      <c r="I6" s="59">
        <f t="shared" si="1"/>
        <v>17967193.992536735</v>
      </c>
      <c r="J6" s="59">
        <f t="shared" si="1"/>
        <v>19420445.614015441</v>
      </c>
      <c r="K6" s="59">
        <f t="shared" si="1"/>
        <v>20928944.18494682</v>
      </c>
      <c r="L6" s="59">
        <f t="shared" si="1"/>
        <v>22494417.197321996</v>
      </c>
      <c r="M6" s="59">
        <f t="shared" si="1"/>
        <v>24118641.413256168</v>
      </c>
      <c r="N6" s="59">
        <f t="shared" si="1"/>
        <v>25803444.196767941</v>
      </c>
      <c r="O6" s="59">
        <f t="shared" si="1"/>
        <v>27550704.880310215</v>
      </c>
      <c r="P6" s="59">
        <f t="shared" si="1"/>
        <v>29362356.166937105</v>
      </c>
      <c r="Q6" s="59">
        <f t="shared" si="1"/>
        <v>31240385.569013521</v>
      </c>
      <c r="R6" s="59">
        <f t="shared" si="1"/>
        <v>33186836.884396493</v>
      </c>
      <c r="S6" s="59">
        <f t="shared" si="1"/>
        <v>35203811.711040922</v>
      </c>
      <c r="T6" s="59">
        <f t="shared" si="1"/>
        <v>37293471.00100565</v>
      </c>
      <c r="U6" s="59">
        <f t="shared" si="1"/>
        <v>39458036.654860683</v>
      </c>
      <c r="V6" s="59">
        <f t="shared" si="1"/>
        <v>41699793.157520853</v>
      </c>
      <c r="W6" s="59">
        <f t="shared" si="1"/>
        <v>44021089.256557122</v>
      </c>
      <c r="X6" s="59">
        <f t="shared" si="1"/>
        <v>46424339.684062734</v>
      </c>
      <c r="Y6" s="59">
        <f t="shared" si="1"/>
        <v>48912026.923178419</v>
      </c>
      <c r="Z6" s="59">
        <f t="shared" si="1"/>
        <v>51486703.020408124</v>
      </c>
      <c r="AA6" s="59">
        <f t="shared" si="1"/>
        <v>54150991.444885112</v>
      </c>
      <c r="AB6" s="59">
        <f t="shared" si="1"/>
        <v>56907588.995777212</v>
      </c>
      <c r="AC6" s="59">
        <f t="shared" si="1"/>
        <v>59759267.759049237</v>
      </c>
      <c r="AD6" s="59">
        <f t="shared" si="1"/>
        <v>62708877.114831269</v>
      </c>
      <c r="AE6" s="59">
        <f t="shared" si="1"/>
        <v>65759345.796672337</v>
      </c>
      <c r="AF6" s="59">
        <f t="shared" si="1"/>
        <v>68913684.003990829</v>
      </c>
    </row>
    <row r="7" spans="1:32" x14ac:dyDescent="0.35">
      <c r="A7" t="s">
        <v>21</v>
      </c>
      <c r="C7" s="4">
        <f>Depreciation!C8+Depreciation!C9</f>
        <v>6713695.8614371521</v>
      </c>
      <c r="D7" s="4">
        <f>Depreciation!D8+Depreciation!D9</f>
        <v>7685919.55645914</v>
      </c>
      <c r="E7" s="4">
        <f>Depreciation!E8+Depreciation!E9</f>
        <v>8713490.7434004247</v>
      </c>
      <c r="F7" s="4">
        <f>Depreciation!F8+Depreciation!F9</f>
        <v>9798956.1046801358</v>
      </c>
      <c r="G7" s="4">
        <f>Depreciation!G8+Depreciation!G9</f>
        <v>10944968.634560511</v>
      </c>
      <c r="H7" s="4">
        <f>Depreciation!H8+Depreciation!H9</f>
        <v>12154291.835302033</v>
      </c>
      <c r="I7" s="4">
        <f>Depreciation!I8+Depreciation!I9</f>
        <v>13429804.073009223</v>
      </c>
      <c r="J7" s="4">
        <f>Depreciation!J8+Depreciation!J9</f>
        <v>14774503.099090325</v>
      </c>
      <c r="K7" s="4">
        <f>Depreciation!K8+Depreciation!K9</f>
        <v>16191510.743469857</v>
      </c>
      <c r="L7" s="4">
        <f>Depreciation!L8+Depreciation!L9</f>
        <v>17684077.785916209</v>
      </c>
      <c r="M7" s="4">
        <f>Depreciation!M8+Depreciation!M9</f>
        <v>19255589.012077812</v>
      </c>
      <c r="N7" s="4">
        <f>Depreciation!N8+Depreciation!N9</f>
        <v>20909568.461060986</v>
      </c>
      <c r="O7" s="4">
        <f>Depreciation!O8+Depreciation!O9</f>
        <v>22649684.871630713</v>
      </c>
      <c r="P7" s="4">
        <f>Depreciation!P8+Depreciation!P9</f>
        <v>24479757.33437277</v>
      </c>
      <c r="Q7" s="4">
        <f>Depreciation!Q8+Depreciation!Q9</f>
        <v>26403761.157421768</v>
      </c>
      <c r="R7" s="4">
        <f>Depreciation!R8+Depreciation!R9</f>
        <v>28425833.953635514</v>
      </c>
      <c r="S7" s="4">
        <f>Depreciation!S8+Depreciation!S9</f>
        <v>30550281.95738174</v>
      </c>
      <c r="T7" s="4">
        <f>Depreciation!T8+Depreciation!T9</f>
        <v>32781586.579399195</v>
      </c>
      <c r="U7" s="4">
        <f>Depreciation!U8+Depreciation!U9</f>
        <v>35124411.208501406</v>
      </c>
      <c r="V7" s="4">
        <f>Depreciation!V8+Depreciation!V9</f>
        <v>37583608.269208863</v>
      </c>
      <c r="W7" s="4">
        <f>Depreciation!W8+Depreciation!W9</f>
        <v>40164226.544724092</v>
      </c>
      <c r="X7" s="4">
        <f>Depreciation!X8+Depreciation!X9</f>
        <v>42871518.77500461</v>
      </c>
      <c r="Y7" s="4">
        <f>Depreciation!Y8+Depreciation!Y9</f>
        <v>45710949.54004129</v>
      </c>
      <c r="Z7" s="4">
        <f>Depreciation!Z8+Depreciation!Z9</f>
        <v>48688203.438814722</v>
      </c>
      <c r="AA7" s="4">
        <f>Depreciation!AA8+Depreciation!AA9</f>
        <v>51809193.574780658</v>
      </c>
      <c r="AB7" s="4">
        <f>Depreciation!AB8+Depreciation!AB9</f>
        <v>55080070.359127045</v>
      </c>
      <c r="AC7" s="4">
        <f>Depreciation!AC8+Depreciation!AC9</f>
        <v>58507230.643451035</v>
      </c>
      <c r="AD7" s="4">
        <f>Depreciation!AD8+Depreciation!AD9</f>
        <v>62097327.193924025</v>
      </c>
      <c r="AE7" s="4">
        <f>Depreciation!AE8+Depreciation!AE9</f>
        <v>65857278.519448385</v>
      </c>
      <c r="AF7" s="4">
        <f>Depreciation!AF8+Depreciation!AF9</f>
        <v>69794279.066759706</v>
      </c>
    </row>
    <row r="8" spans="1:32" x14ac:dyDescent="0.35">
      <c r="A8" t="s">
        <v>6</v>
      </c>
      <c r="C8" s="4">
        <f ca="1">'Debt worksheet'!C8</f>
        <v>1574612.1463733686</v>
      </c>
      <c r="D8" s="4">
        <f ca="1">'Debt worksheet'!D8</f>
        <v>2680383.064122112</v>
      </c>
      <c r="E8" s="4">
        <f ca="1">'Debt worksheet'!E8</f>
        <v>3627412.376478326</v>
      </c>
      <c r="F8" s="4">
        <f ca="1">'Debt worksheet'!F8</f>
        <v>4343759.6085539507</v>
      </c>
      <c r="G8" s="4">
        <f ca="1">'Debt worksheet'!G8</f>
        <v>4914801.5108888326</v>
      </c>
      <c r="H8" s="4">
        <f ca="1">'Debt worksheet'!H8</f>
        <v>5370530.142113287</v>
      </c>
      <c r="I8" s="4">
        <f ca="1">'Debt worksheet'!I8</f>
        <v>5775108.0604714546</v>
      </c>
      <c r="J8" s="4">
        <f ca="1">'Debt worksheet'!J8</f>
        <v>6157211.9821399925</v>
      </c>
      <c r="K8" s="4">
        <f ca="1">'Debt worksheet'!K8</f>
        <v>6532007.7350367187</v>
      </c>
      <c r="L8" s="4">
        <f ca="1">'Debt worksheet'!L8</f>
        <v>6919664.6610816354</v>
      </c>
      <c r="M8" s="4">
        <f ca="1">'Debt worksheet'!M8</f>
        <v>7317666.0772814266</v>
      </c>
      <c r="N8" s="4">
        <f ca="1">'Debt worksheet'!N8</f>
        <v>7723078.5642164275</v>
      </c>
      <c r="O8" s="4">
        <f ca="1">'Debt worksheet'!O8</f>
        <v>8132511.5020620516</v>
      </c>
      <c r="P8" s="4">
        <f ca="1">'Debt worksheet'!P8</f>
        <v>8542073.4040327501</v>
      </c>
      <c r="Q8" s="4">
        <f ca="1">'Debt worksheet'!Q8</f>
        <v>8947324.8193737585</v>
      </c>
      <c r="R8" s="4">
        <f ca="1">'Debt worksheet'!R8</f>
        <v>9343227.5627902374</v>
      </c>
      <c r="S8" s="4">
        <f ca="1">'Debt worksheet'!S8</f>
        <v>9724090.0109875258</v>
      </c>
      <c r="T8" s="4">
        <f ca="1">'Debt worksheet'!T8</f>
        <v>10125295.634314237</v>
      </c>
      <c r="U8" s="4">
        <f ca="1">'Debt worksheet'!U8</f>
        <v>10545776.915958833</v>
      </c>
      <c r="V8" s="4">
        <f ca="1">'Debt worksheet'!V8</f>
        <v>10984224.287247581</v>
      </c>
      <c r="W8" s="4">
        <f ca="1">'Debt worksheet'!W8</f>
        <v>11439062.609045094</v>
      </c>
      <c r="X8" s="4">
        <f ca="1">'Debt worksheet'!X8</f>
        <v>11908425.893921455</v>
      </c>
      <c r="Y8" s="4">
        <f ca="1">'Debt worksheet'!Y8</f>
        <v>12390130.15392196</v>
      </c>
      <c r="Z8" s="4">
        <f ca="1">'Debt worksheet'!Z8</f>
        <v>12881644.251817744</v>
      </c>
      <c r="AA8" s="4">
        <f ca="1">'Debt worksheet'!AA8</f>
        <v>13380058.626359286</v>
      </c>
      <c r="AB8" s="4">
        <f ca="1">'Debt worksheet'!AB8</f>
        <v>13943790.841747547</v>
      </c>
      <c r="AC8" s="4">
        <f ca="1">'Debt worksheet'!AC8</f>
        <v>14692442.797096141</v>
      </c>
      <c r="AD8" s="4">
        <f ca="1">'Debt worksheet'!AD8</f>
        <v>15641571.303148264</v>
      </c>
      <c r="AE8" s="4">
        <f ca="1">'Debt worksheet'!AE8</f>
        <v>16807666.066480923</v>
      </c>
      <c r="AF8" s="4">
        <f ca="1">'Debt worksheet'!AF8</f>
        <v>18208197.539797142</v>
      </c>
    </row>
    <row r="9" spans="1:32" x14ac:dyDescent="0.35">
      <c r="A9" t="s">
        <v>22</v>
      </c>
      <c r="C9" s="4">
        <f ca="1">C5-C6-C7-C8</f>
        <v>-3031726.4678105237</v>
      </c>
      <c r="D9" s="4">
        <f t="shared" ref="D9:AF9" ca="1" si="2">D5-D6-D7-D8</f>
        <v>-35728.648821254726</v>
      </c>
      <c r="E9" s="4">
        <f t="shared" ca="1" si="2"/>
        <v>5509593.027573321</v>
      </c>
      <c r="F9" s="4">
        <f t="shared" ca="1" si="2"/>
        <v>13142671.955198187</v>
      </c>
      <c r="G9" s="4">
        <f t="shared" ca="1" si="2"/>
        <v>18369764.348254886</v>
      </c>
      <c r="H9" s="4">
        <f t="shared" ca="1" si="2"/>
        <v>22774357.149831716</v>
      </c>
      <c r="I9" s="4">
        <f t="shared" ca="1" si="2"/>
        <v>25381251.694782577</v>
      </c>
      <c r="J9" s="4">
        <f t="shared" ca="1" si="2"/>
        <v>27205465.751218241</v>
      </c>
      <c r="K9" s="4">
        <f t="shared" ca="1" si="2"/>
        <v>28634197.634263087</v>
      </c>
      <c r="L9" s="4">
        <f t="shared" ca="1" si="2"/>
        <v>29525700.271259643</v>
      </c>
      <c r="M9" s="4">
        <f t="shared" ca="1" si="2"/>
        <v>30529395.007898856</v>
      </c>
      <c r="N9" s="4">
        <f t="shared" ca="1" si="2"/>
        <v>31658477.77909977</v>
      </c>
      <c r="O9" s="4">
        <f t="shared" ca="1" si="2"/>
        <v>32927341.887210853</v>
      </c>
      <c r="P9" s="4">
        <f t="shared" ca="1" si="2"/>
        <v>34351670.824344039</v>
      </c>
      <c r="Q9" s="4">
        <f t="shared" ca="1" si="2"/>
        <v>35948537.647658825</v>
      </c>
      <c r="R9" s="4">
        <f t="shared" ca="1" si="2"/>
        <v>37736511.344253697</v>
      </c>
      <c r="S9" s="4">
        <f t="shared" ca="1" si="2"/>
        <v>39735770.650370307</v>
      </c>
      <c r="T9" s="4">
        <f t="shared" ca="1" si="2"/>
        <v>40774298.831550449</v>
      </c>
      <c r="U9" s="4">
        <f t="shared" ca="1" si="2"/>
        <v>41895159.869262114</v>
      </c>
      <c r="V9" s="4">
        <f t="shared" ca="1" si="2"/>
        <v>43106928.167034894</v>
      </c>
      <c r="W9" s="4">
        <f t="shared" ca="1" si="2"/>
        <v>44418903.164736502</v>
      </c>
      <c r="X9" s="4">
        <f t="shared" ca="1" si="2"/>
        <v>45841161.300827153</v>
      </c>
      <c r="Y9" s="4">
        <f t="shared" ca="1" si="2"/>
        <v>47384611.319365077</v>
      </c>
      <c r="Z9" s="4">
        <f t="shared" ca="1" si="2"/>
        <v>49061053.122291505</v>
      </c>
      <c r="AA9" s="4">
        <f t="shared" ca="1" si="2"/>
        <v>50883240.378973648</v>
      </c>
      <c r="AB9" s="4">
        <f t="shared" ca="1" si="2"/>
        <v>51100973.189346828</v>
      </c>
      <c r="AC9" s="4">
        <f t="shared" ca="1" si="2"/>
        <v>47968195.500894211</v>
      </c>
      <c r="AD9" s="4">
        <f t="shared" ca="1" si="2"/>
        <v>44459758.095997863</v>
      </c>
      <c r="AE9" s="4">
        <f t="shared" ca="1" si="2"/>
        <v>40551209.06687361</v>
      </c>
      <c r="AF9" s="4">
        <f t="shared" ca="1" si="2"/>
        <v>36216799.826816037</v>
      </c>
    </row>
    <row r="12" spans="1:32" x14ac:dyDescent="0.35">
      <c r="A12" t="s">
        <v>80</v>
      </c>
      <c r="C12" s="2">
        <f>Assumptions!$C$25*Assumptions!D9*Assumptions!D13</f>
        <v>9408532</v>
      </c>
      <c r="D12" s="2">
        <f>Assumptions!$C$25*Assumptions!E9*Assumptions!E13</f>
        <v>9615519.7039999999</v>
      </c>
      <c r="E12" s="2">
        <f>Assumptions!$C$25*Assumptions!F9*Assumptions!F13</f>
        <v>9827061.1374880001</v>
      </c>
      <c r="F12" s="2">
        <f>Assumptions!$C$25*Assumptions!G9*Assumptions!G13</f>
        <v>10043256.482512737</v>
      </c>
      <c r="G12" s="2">
        <f>Assumptions!$C$25*Assumptions!H9*Assumptions!H13</f>
        <v>10264208.125128016</v>
      </c>
      <c r="H12" s="2">
        <f>Assumptions!$C$25*Assumptions!I9*Assumptions!I13</f>
        <v>10490020.703880832</v>
      </c>
      <c r="I12" s="2">
        <f>Assumptions!$C$25*Assumptions!J9*Assumptions!J13</f>
        <v>10720801.159366211</v>
      </c>
      <c r="J12" s="2">
        <f>Assumptions!$C$25*Assumptions!K9*Assumptions!K13</f>
        <v>10956658.784872269</v>
      </c>
      <c r="K12" s="2">
        <f>Assumptions!$C$25*Assumptions!L9*Assumptions!L13</f>
        <v>11197705.278139459</v>
      </c>
      <c r="L12" s="2">
        <f>Assumptions!$C$25*Assumptions!M9*Assumptions!M13</f>
        <v>11444054.794258526</v>
      </c>
      <c r="M12" s="2">
        <f>Assumptions!$C$25*Assumptions!N9*Assumptions!N13</f>
        <v>11695823.999732215</v>
      </c>
      <c r="N12" s="2">
        <f>Assumptions!$C$25*Assumptions!O9*Assumptions!O13</f>
        <v>11953132.127726324</v>
      </c>
      <c r="O12" s="2">
        <f>Assumptions!$C$25*Assumptions!P9*Assumptions!P13</f>
        <v>12216101.034536302</v>
      </c>
      <c r="P12" s="2">
        <f>Assumptions!$C$25*Assumptions!Q9*Assumptions!Q13</f>
        <v>12484855.2572961</v>
      </c>
      <c r="Q12" s="2">
        <f>Assumptions!$C$25*Assumptions!R9*Assumptions!R13</f>
        <v>12759522.072956616</v>
      </c>
      <c r="R12" s="2">
        <f>Assumptions!$C$25*Assumptions!S9*Assumptions!S13</f>
        <v>13040231.558561662</v>
      </c>
      <c r="S12" s="2">
        <f>Assumptions!$C$25*Assumptions!T9*Assumptions!T13</f>
        <v>13327116.652850019</v>
      </c>
      <c r="T12" s="2">
        <f>Assumptions!$C$25*Assumptions!U9*Assumptions!U13</f>
        <v>13620313.219212718</v>
      </c>
      <c r="U12" s="2">
        <f>Assumptions!$C$25*Assumptions!V9*Assumptions!V13</f>
        <v>13919960.110035399</v>
      </c>
      <c r="V12" s="2">
        <f>Assumptions!$C$25*Assumptions!W9*Assumptions!W13</f>
        <v>14226199.232456177</v>
      </c>
      <c r="W12" s="2">
        <f>Assumptions!$C$25*Assumptions!X9*Assumptions!X13</f>
        <v>14539175.615570214</v>
      </c>
      <c r="X12" s="2">
        <f>Assumptions!$C$25*Assumptions!Y9*Assumptions!Y13</f>
        <v>14859037.479112757</v>
      </c>
      <c r="Y12" s="2">
        <f>Assumptions!$C$25*Assumptions!Z9*Assumptions!Z13</f>
        <v>15185936.303653236</v>
      </c>
      <c r="Z12" s="2">
        <f>Assumptions!$C$25*Assumptions!AA9*Assumptions!AA13</f>
        <v>15520026.90233361</v>
      </c>
      <c r="AA12" s="2">
        <f>Assumptions!$C$25*Assumptions!AB9*Assumptions!AB13</f>
        <v>15861467.494184949</v>
      </c>
      <c r="AB12" s="2">
        <f>Assumptions!$C$25*Assumptions!AC9*Assumptions!AC13</f>
        <v>16210419.77905702</v>
      </c>
      <c r="AC12" s="2">
        <f>Assumptions!$C$25*Assumptions!AD9*Assumptions!AD13</f>
        <v>16567049.014196275</v>
      </c>
      <c r="AD12" s="2">
        <f>Assumptions!$C$25*Assumptions!AE9*Assumptions!AE13</f>
        <v>16931524.092508592</v>
      </c>
      <c r="AE12" s="2">
        <f>Assumptions!$C$25*Assumptions!AF9*Assumptions!AF13</f>
        <v>17304017.622543782</v>
      </c>
      <c r="AF12" s="2">
        <f>Assumptions!$C$25*Assumptions!AG9*Assumptions!AG13</f>
        <v>17684706.010239743</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81</v>
      </c>
      <c r="C14" s="5">
        <f>Assumptions!D122*Assumptions!D9</f>
        <v>908486.46</v>
      </c>
      <c r="D14" s="5">
        <f>Assumptions!E122*Assumptions!E9</f>
        <v>1856946.32424</v>
      </c>
      <c r="E14" s="5">
        <f>Assumptions!F122*Assumptions!F9</f>
        <v>2846698.7150599202</v>
      </c>
      <c r="F14" s="5">
        <f>Assumptions!G122*Assumptions!G9</f>
        <v>3879101.4490549844</v>
      </c>
      <c r="G14" s="5">
        <f>Assumptions!H122*Assumptions!H9</f>
        <v>4955552.1011677422</v>
      </c>
      <c r="H14" s="5">
        <f>Assumptions!I122*Assumptions!I9</f>
        <v>6077489.0968721192</v>
      </c>
      <c r="I14" s="5">
        <f>Assumptions!J122*Assumptions!J9</f>
        <v>7246392.8331705239</v>
      </c>
      <c r="J14" s="5">
        <f>Assumptions!K122*Assumptions!K9</f>
        <v>8463786.8291431721</v>
      </c>
      <c r="K14" s="5">
        <f>Assumptions!L122*Assumptions!L9</f>
        <v>9731238.906807363</v>
      </c>
      <c r="L14" s="5">
        <f>Assumptions!M122*Assumptions!M9</f>
        <v>11050362.403063472</v>
      </c>
      <c r="M14" s="5">
        <f>Assumptions!N122*Assumptions!N9</f>
        <v>12422817.413523955</v>
      </c>
      <c r="N14" s="5">
        <f>Assumptions!O122*Assumptions!O9</f>
        <v>13850312.069041617</v>
      </c>
      <c r="O14" s="5">
        <f>Assumptions!P122*Assumptions!P9</f>
        <v>15334603.845773911</v>
      </c>
      <c r="P14" s="5">
        <f>Assumptions!Q122*Assumptions!Q9</f>
        <v>16877500.909641005</v>
      </c>
      <c r="Q14" s="5">
        <f>Assumptions!R122*Assumptions!R9</f>
        <v>18480863.496056903</v>
      </c>
      <c r="R14" s="5">
        <f>Assumptions!S122*Assumptions!S9</f>
        <v>20146605.325834833</v>
      </c>
      <c r="S14" s="5">
        <f>Assumptions!T122*Assumptions!T9</f>
        <v>21876695.058190901</v>
      </c>
      <c r="T14" s="5">
        <f>Assumptions!U122*Assumptions!U9</f>
        <v>23673157.781792928</v>
      </c>
      <c r="U14" s="5">
        <f>Assumptions!V122*Assumptions!V9</f>
        <v>25538076.544825286</v>
      </c>
      <c r="V14" s="5">
        <f>Assumptions!W122*Assumptions!W9</f>
        <v>27473593.925064676</v>
      </c>
      <c r="W14" s="5">
        <f>Assumptions!X122*Assumptions!X9</f>
        <v>29481913.640986905</v>
      </c>
      <c r="X14" s="5">
        <f>Assumptions!Y122*Assumptions!Y9</f>
        <v>31565302.204949975</v>
      </c>
      <c r="Y14" s="5">
        <f>Assumptions!Z122*Assumptions!Z9</f>
        <v>33726090.619525187</v>
      </c>
      <c r="Z14" s="5">
        <f>Assumptions!AA122*Assumptions!AA9</f>
        <v>35966676.118074514</v>
      </c>
      <c r="AA14" s="5">
        <f>Assumptions!AB122*Assumptions!AB9</f>
        <v>38289523.950700164</v>
      </c>
      <c r="AB14" s="5">
        <f>Assumptions!AC122*Assumptions!AC9</f>
        <v>40697169.216720194</v>
      </c>
      <c r="AC14" s="5">
        <f>Assumptions!AD122*Assumptions!AD9</f>
        <v>43192218.74485296</v>
      </c>
      <c r="AD14" s="5">
        <f>Assumptions!AE122*Assumptions!AE9</f>
        <v>45777353.022322677</v>
      </c>
      <c r="AE14" s="5">
        <f>Assumptions!AF122*Assumptions!AF9</f>
        <v>48455328.174128555</v>
      </c>
      <c r="AF14" s="5">
        <f>Assumptions!AG122*Assumptions!AG9</f>
        <v>51228977.993751079</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195</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62</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83</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84</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94</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85</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86</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46</v>
      </c>
      <c r="C27" s="2">
        <f>C12+C13+C14+C19+C20+C22+C24+C25</f>
        <v>10317018.460000001</v>
      </c>
      <c r="D27" s="2">
        <f t="shared" ref="D27:AF27" si="8">D12+D13+D14+D19+D20+D22+D24+D25</f>
        <v>11472466.028239999</v>
      </c>
      <c r="E27" s="2">
        <f t="shared" si="8"/>
        <v>12673759.852547921</v>
      </c>
      <c r="F27" s="2">
        <f t="shared" si="8"/>
        <v>13922357.931567721</v>
      </c>
      <c r="G27" s="2">
        <f t="shared" si="8"/>
        <v>15219760.226295758</v>
      </c>
      <c r="H27" s="2">
        <f t="shared" si="8"/>
        <v>16567509.800752951</v>
      </c>
      <c r="I27" s="2">
        <f t="shared" si="8"/>
        <v>17967193.992536735</v>
      </c>
      <c r="J27" s="2">
        <f t="shared" si="8"/>
        <v>19420445.614015441</v>
      </c>
      <c r="K27" s="2">
        <f t="shared" si="8"/>
        <v>20928944.18494682</v>
      </c>
      <c r="L27" s="2">
        <f t="shared" si="8"/>
        <v>22494417.197321996</v>
      </c>
      <c r="M27" s="2">
        <f t="shared" si="8"/>
        <v>24118641.413256168</v>
      </c>
      <c r="N27" s="2">
        <f t="shared" si="8"/>
        <v>25803444.196767941</v>
      </c>
      <c r="O27" s="2">
        <f t="shared" si="8"/>
        <v>27550704.880310215</v>
      </c>
      <c r="P27" s="2">
        <f t="shared" si="8"/>
        <v>29362356.166937105</v>
      </c>
      <c r="Q27" s="2">
        <f t="shared" si="8"/>
        <v>31240385.569013521</v>
      </c>
      <c r="R27" s="2">
        <f t="shared" si="8"/>
        <v>33186836.884396493</v>
      </c>
      <c r="S27" s="2">
        <f t="shared" si="8"/>
        <v>35203811.711040922</v>
      </c>
      <c r="T27" s="2">
        <f t="shared" si="8"/>
        <v>37293471.00100565</v>
      </c>
      <c r="U27" s="2">
        <f t="shared" si="8"/>
        <v>39458036.654860683</v>
      </c>
      <c r="V27" s="2">
        <f t="shared" si="8"/>
        <v>41699793.157520853</v>
      </c>
      <c r="W27" s="2">
        <f t="shared" si="8"/>
        <v>44021089.256557122</v>
      </c>
      <c r="X27" s="2">
        <f t="shared" si="8"/>
        <v>46424339.684062734</v>
      </c>
      <c r="Y27" s="2">
        <f t="shared" si="8"/>
        <v>48912026.923178419</v>
      </c>
      <c r="Z27" s="2">
        <f t="shared" si="8"/>
        <v>51486703.020408124</v>
      </c>
      <c r="AA27" s="2">
        <f t="shared" si="8"/>
        <v>54150991.444885112</v>
      </c>
      <c r="AB27" s="2">
        <f t="shared" si="8"/>
        <v>56907588.995777212</v>
      </c>
      <c r="AC27" s="2">
        <f t="shared" si="8"/>
        <v>59759267.759049237</v>
      </c>
      <c r="AD27" s="2">
        <f t="shared" si="8"/>
        <v>62708877.114831269</v>
      </c>
      <c r="AE27" s="2">
        <f t="shared" si="8"/>
        <v>65759345.796672337</v>
      </c>
      <c r="AF27" s="2">
        <f t="shared" si="8"/>
        <v>68913684.003990829</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3W2DU3RAJ5R2-1900874439-770</_dlc_DocId>
    <_dlc_DocIdUrl xmlns="f54e2983-00ce-40fc-8108-18f351fc47bf">
      <Url>https://dia.cohesion.net.nz/Sites/LGV/TWRP/CAE/_layouts/15/DocIdRedir.aspx?ID=3W2DU3RAJ5R2-1900874439-770</Url>
      <Description>3W2DU3RAJ5R2-1900874439-770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85EE10C1-58D0-49B3-90DF-24B318A28BC3}"/>
</file>

<file path=customXml/itemProps3.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infopath/2007/PartnerControls"/>
    <ds:schemaRef ds:uri="65b6d800-2dda-48d6-88d8-9e2b35e6f7e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08a23fc5-e034-477c-ac83-93bc1440f322"/>
    <ds:schemaRef ds:uri="http://www.w3.org/XML/1998/namespace"/>
    <ds:schemaRef ds:uri="http://purl.org/dc/dcmitype/"/>
  </ds:schemaRefs>
</ds:datastoreItem>
</file>

<file path=customXml/itemProps4.xml><?xml version="1.0" encoding="utf-8"?>
<ds:datastoreItem xmlns:ds="http://schemas.openxmlformats.org/officeDocument/2006/customXml" ds:itemID="{E6ED40B0-F9B6-42F5-9ACC-26B9C149B6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2021-06-28T21:53:13Z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7462aa63-97f4-4eb5-864f-523451b86cf0</vt:lpwstr>
  </property>
</Properties>
</file>