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404" documentId="8_{DD34D66D-4349-46FE-B604-D8D351452898}" xr6:coauthVersionLast="47" xr6:coauthVersionMax="47" xr10:uidLastSave="{CB5A521E-A50E-4432-9FD1-563FBCCB023C}"/>
  <bookViews>
    <workbookView xWindow="2070" yWindow="494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1" l="1"/>
  <c r="A11" i="19"/>
  <c r="A9" i="19"/>
  <c r="B40" i="21"/>
  <c r="B27" i="21"/>
  <c r="A21" i="21"/>
  <c r="A34" i="21"/>
  <c r="B8" i="21"/>
  <c r="B21" i="21"/>
  <c r="B34" i="21"/>
  <c r="C83" i="2"/>
  <c r="C87" i="2"/>
  <c r="C82" i="2"/>
  <c r="C89" i="2"/>
  <c r="C94" i="2"/>
  <c r="C58" i="2"/>
  <c r="C106" i="2"/>
  <c r="C63" i="2"/>
  <c r="C107" i="2"/>
  <c r="D11" i="2"/>
  <c r="F9" i="2"/>
  <c r="E12" i="8"/>
  <c r="E9" i="2"/>
  <c r="D9" i="2"/>
  <c r="C12" i="8"/>
  <c r="G11" i="2"/>
  <c r="F9" i="9"/>
  <c r="V9" i="2"/>
  <c r="E11" i="2"/>
  <c r="F11" i="2"/>
  <c r="H11" i="2"/>
  <c r="I11" i="2"/>
  <c r="H9" i="9"/>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G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D16" i="9"/>
  <c r="C17" i="8"/>
  <c r="C22" i="8"/>
  <c r="F45" i="2"/>
  <c r="AG9" i="2"/>
  <c r="AF9" i="2"/>
  <c r="AE12" i="8"/>
  <c r="AE9" i="2"/>
  <c r="AD9" i="2"/>
  <c r="AC9" i="2"/>
  <c r="AB9" i="2"/>
  <c r="AA9" i="2"/>
  <c r="Z9" i="2"/>
  <c r="Y9" i="2"/>
  <c r="X9" i="2"/>
  <c r="W12" i="8"/>
  <c r="W9" i="2"/>
  <c r="U9" i="2"/>
  <c r="T9" i="2"/>
  <c r="S9" i="2"/>
  <c r="R9" i="2"/>
  <c r="Q9" i="2"/>
  <c r="P9" i="2"/>
  <c r="O9" i="2"/>
  <c r="N12" i="8"/>
  <c r="N9" i="2"/>
  <c r="M9" i="2"/>
  <c r="L9" i="2"/>
  <c r="K9" i="2"/>
  <c r="J9" i="2"/>
  <c r="I9" i="2"/>
  <c r="H9" i="2"/>
  <c r="G9" i="2"/>
  <c r="B11" i="5"/>
  <c r="C22" i="6"/>
  <c r="C129" i="2"/>
  <c r="C135" i="2"/>
  <c r="D135" i="2"/>
  <c r="B10" i="21"/>
  <c r="B12" i="21"/>
  <c r="B16" i="21"/>
  <c r="H44" i="2"/>
  <c r="I44" i="2"/>
  <c r="H43" i="2"/>
  <c r="I43" i="2"/>
  <c r="G16" i="8"/>
  <c r="D13" i="2"/>
  <c r="E13" i="2"/>
  <c r="F13" i="2"/>
  <c r="C5" i="8"/>
  <c r="E6" i="7"/>
  <c r="G13" i="2"/>
  <c r="AF13" i="2"/>
  <c r="AE13" i="2"/>
  <c r="AD12" i="8"/>
  <c r="V13" i="2"/>
  <c r="U12" i="8"/>
  <c r="U13" i="2"/>
  <c r="T12" i="8"/>
  <c r="U135" i="2"/>
  <c r="J13" i="2"/>
  <c r="J135" i="2"/>
  <c r="E135" i="2"/>
  <c r="O13" i="2"/>
  <c r="AB13" i="2"/>
  <c r="AA12" i="8"/>
  <c r="S13" i="2"/>
  <c r="R12" i="8"/>
  <c r="Z13" i="2"/>
  <c r="AG13" i="2"/>
  <c r="AF12" i="8"/>
  <c r="AC13" i="2"/>
  <c r="AC135" i="2"/>
  <c r="AA13" i="2"/>
  <c r="AA135" i="2"/>
  <c r="Q13" i="2"/>
  <c r="P12" i="8"/>
  <c r="P13" i="2"/>
  <c r="O12" i="8"/>
  <c r="G135" i="2"/>
  <c r="W13" i="2"/>
  <c r="V12" i="8"/>
  <c r="T13" i="2"/>
  <c r="Y13" i="2"/>
  <c r="X12" i="8"/>
  <c r="N13" i="2"/>
  <c r="M12" i="8"/>
  <c r="L13" i="2"/>
  <c r="K12" i="8"/>
  <c r="R13" i="2"/>
  <c r="I13" i="2"/>
  <c r="H12" i="8"/>
  <c r="X13" i="2"/>
  <c r="AD13" i="2"/>
  <c r="AC12" i="8"/>
  <c r="K13" i="2"/>
  <c r="M13" i="2"/>
  <c r="L12" i="8"/>
  <c r="H13" i="2"/>
  <c r="H135" i="2"/>
  <c r="AF135" i="2"/>
  <c r="S12" i="8"/>
  <c r="Y135" i="2"/>
  <c r="AB135" i="2"/>
  <c r="O135" i="2"/>
  <c r="Q135" i="2"/>
  <c r="P135" i="2"/>
  <c r="V135" i="2"/>
  <c r="Z12" i="8"/>
  <c r="I12" i="8"/>
  <c r="S135" i="2"/>
  <c r="D12" i="8"/>
  <c r="D19" i="8"/>
  <c r="Y12" i="8"/>
  <c r="Q12" i="8"/>
  <c r="AG135" i="2"/>
  <c r="B36" i="21"/>
  <c r="J12" i="8"/>
  <c r="AD135" i="2"/>
  <c r="F12" i="8"/>
  <c r="M135" i="2"/>
  <c r="B23" i="21"/>
  <c r="F135" i="2"/>
  <c r="C17" i="2"/>
  <c r="C6" i="6"/>
  <c r="C66" i="2"/>
  <c r="C68" i="2"/>
  <c r="C71" i="2"/>
  <c r="C73" i="2"/>
  <c r="C75" i="2"/>
  <c r="W111" i="2"/>
  <c r="D111" i="2"/>
  <c r="B6" i="5"/>
  <c r="T111" i="2"/>
  <c r="E111" i="2"/>
  <c r="V8" i="6"/>
  <c r="V5" i="9"/>
  <c r="V11" i="9"/>
  <c r="AE111" i="2"/>
  <c r="J43" i="2"/>
  <c r="H16" i="8"/>
  <c r="H19" i="8"/>
  <c r="G12" i="8"/>
  <c r="E19" i="8"/>
  <c r="E20" i="8"/>
  <c r="D5" i="9"/>
  <c r="D11" i="9"/>
  <c r="D8" i="6"/>
  <c r="H15" i="9"/>
  <c r="J44" i="2"/>
  <c r="F19" i="8"/>
  <c r="G45" i="2"/>
  <c r="E17" i="8"/>
  <c r="E22" i="8"/>
  <c r="E16" i="9"/>
  <c r="AB12" i="8"/>
  <c r="S8" i="6"/>
  <c r="S5" i="9"/>
  <c r="S11" i="9"/>
  <c r="C5" i="9"/>
  <c r="C11" i="9"/>
  <c r="C8" i="6"/>
  <c r="G111" i="2"/>
  <c r="H111" i="2"/>
  <c r="AD111" i="2"/>
  <c r="M111" i="2"/>
  <c r="AF111" i="2"/>
  <c r="Q111" i="2"/>
  <c r="I111" i="2"/>
  <c r="N111" i="2"/>
  <c r="X111" i="2"/>
  <c r="S111" i="2"/>
  <c r="O111" i="2"/>
  <c r="R111" i="2"/>
  <c r="V111" i="2"/>
  <c r="AB111" i="2"/>
  <c r="K111" i="2"/>
  <c r="AC111" i="2"/>
  <c r="P111" i="2"/>
  <c r="L111" i="2"/>
  <c r="U111" i="2"/>
  <c r="AG111" i="2"/>
  <c r="Z111" i="2"/>
  <c r="F111" i="2"/>
  <c r="AA111" i="2"/>
  <c r="J111" i="2"/>
  <c r="Y111" i="2"/>
  <c r="C20" i="8"/>
  <c r="C19" i="8"/>
  <c r="C18" i="2"/>
  <c r="C7" i="6"/>
  <c r="D20" i="8"/>
  <c r="I135" i="2"/>
  <c r="X135" i="2"/>
  <c r="D17" i="8"/>
  <c r="D22" i="8"/>
  <c r="D5" i="8"/>
  <c r="W135" i="2"/>
  <c r="L135" i="2"/>
  <c r="N135" i="2"/>
  <c r="K135" i="2"/>
  <c r="R135" i="2"/>
  <c r="T135" i="2"/>
  <c r="Z135" i="2"/>
  <c r="G15" i="9"/>
  <c r="AE135" i="2"/>
  <c r="C90" i="2"/>
  <c r="C95" i="2"/>
  <c r="C96" i="2"/>
  <c r="C102" i="2"/>
  <c r="N113" i="2"/>
  <c r="AE113" i="2"/>
  <c r="R113" i="2"/>
  <c r="E113" i="2"/>
  <c r="V113" i="2"/>
  <c r="H113" i="2"/>
  <c r="Z113" i="2"/>
  <c r="M113" i="2"/>
  <c r="AD113" i="2"/>
  <c r="P113" i="2"/>
  <c r="K113" i="2"/>
  <c r="U113" i="2"/>
  <c r="Q113" i="2"/>
  <c r="X113" i="2"/>
  <c r="S113" i="2"/>
  <c r="AC113" i="2"/>
  <c r="AB113" i="2"/>
  <c r="AF113" i="2"/>
  <c r="AA113" i="2"/>
  <c r="D113" i="2"/>
  <c r="Y113" i="2"/>
  <c r="G113" i="2"/>
  <c r="I113" i="2"/>
  <c r="L113" i="2"/>
  <c r="F113" i="2"/>
  <c r="W113" i="2"/>
  <c r="J113" i="2"/>
  <c r="T113" i="2"/>
  <c r="O113" i="2"/>
  <c r="AG113" i="2"/>
  <c r="T5" i="9"/>
  <c r="T11" i="9"/>
  <c r="T8" i="6"/>
  <c r="N5" i="9"/>
  <c r="N11" i="9"/>
  <c r="N8" i="6"/>
  <c r="AC8" i="6"/>
  <c r="AC5" i="9"/>
  <c r="AC11" i="9"/>
  <c r="AF8" i="6"/>
  <c r="AF5" i="9"/>
  <c r="AF11" i="9"/>
  <c r="AD8" i="6"/>
  <c r="AD5" i="9"/>
  <c r="AD11" i="9"/>
  <c r="E5" i="8"/>
  <c r="K8" i="6"/>
  <c r="K5" i="9"/>
  <c r="K11" i="9"/>
  <c r="R5" i="9"/>
  <c r="R11" i="9"/>
  <c r="R8" i="6"/>
  <c r="G8" i="6"/>
  <c r="G5" i="9"/>
  <c r="G11" i="9"/>
  <c r="X5" i="9"/>
  <c r="X11" i="9"/>
  <c r="X8" i="6"/>
  <c r="O8" i="6"/>
  <c r="O5" i="9"/>
  <c r="O11" i="9"/>
  <c r="W8" i="6"/>
  <c r="W5" i="9"/>
  <c r="W11" i="9"/>
  <c r="F8" i="6"/>
  <c r="F5" i="9"/>
  <c r="F11" i="9"/>
  <c r="G19" i="8"/>
  <c r="I15" i="9"/>
  <c r="K44" i="2"/>
  <c r="I5" i="9"/>
  <c r="I11" i="9"/>
  <c r="I8" i="6"/>
  <c r="AB8" i="6"/>
  <c r="AB5" i="9"/>
  <c r="AB11" i="9"/>
  <c r="M5" i="9"/>
  <c r="M11" i="9"/>
  <c r="M8" i="6"/>
  <c r="H45" i="2"/>
  <c r="F17" i="8"/>
  <c r="F16" i="9"/>
  <c r="L8" i="6"/>
  <c r="L5" i="9"/>
  <c r="L11" i="9"/>
  <c r="Z8" i="6"/>
  <c r="Z5" i="9"/>
  <c r="Z11" i="9"/>
  <c r="J8" i="6"/>
  <c r="J5" i="9"/>
  <c r="J11" i="9"/>
  <c r="H8" i="6"/>
  <c r="H5" i="9"/>
  <c r="H11" i="9"/>
  <c r="C18" i="9"/>
  <c r="K43" i="2"/>
  <c r="I16" i="8"/>
  <c r="I19" i="8"/>
  <c r="Q8" i="6"/>
  <c r="Q5" i="9"/>
  <c r="Q11" i="9"/>
  <c r="E8" i="6"/>
  <c r="E5" i="9"/>
  <c r="E11" i="9"/>
  <c r="AA8" i="6"/>
  <c r="AA5" i="9"/>
  <c r="AA11" i="9"/>
  <c r="P5" i="9"/>
  <c r="P11" i="9"/>
  <c r="P8" i="6"/>
  <c r="Y5" i="9"/>
  <c r="Y11" i="9"/>
  <c r="Y8" i="6"/>
  <c r="U5" i="9"/>
  <c r="U11" i="9"/>
  <c r="U8" i="6"/>
  <c r="AE5" i="9"/>
  <c r="AE11" i="9"/>
  <c r="AE8" i="6"/>
  <c r="D18" i="9"/>
  <c r="J15" i="9"/>
  <c r="L44" i="2"/>
  <c r="K6" i="9"/>
  <c r="K12" i="9"/>
  <c r="AB6" i="9"/>
  <c r="AB12" i="9"/>
  <c r="L6" i="9"/>
  <c r="L12" i="9"/>
  <c r="H6" i="9"/>
  <c r="H12" i="9"/>
  <c r="I115" i="2"/>
  <c r="L43" i="2"/>
  <c r="J16" i="8"/>
  <c r="J19" i="8"/>
  <c r="G17" i="8"/>
  <c r="G16" i="9"/>
  <c r="I45" i="2"/>
  <c r="AF6" i="9"/>
  <c r="AF12" i="9"/>
  <c r="F6" i="9"/>
  <c r="F12" i="9"/>
  <c r="G116" i="2"/>
  <c r="G115" i="2"/>
  <c r="G118" i="2"/>
  <c r="W6" i="9"/>
  <c r="W12" i="9"/>
  <c r="H116" i="2"/>
  <c r="G6" i="9"/>
  <c r="G12" i="9"/>
  <c r="H115" i="2"/>
  <c r="H118" i="2"/>
  <c r="F22" i="8"/>
  <c r="F20" i="8"/>
  <c r="R6" i="9"/>
  <c r="R12" i="9"/>
  <c r="N6" i="9"/>
  <c r="N12" i="9"/>
  <c r="X6" i="9"/>
  <c r="X12" i="9"/>
  <c r="P6" i="9"/>
  <c r="P12" i="9"/>
  <c r="U6" i="9"/>
  <c r="U12" i="9"/>
  <c r="S6" i="9"/>
  <c r="S12" i="9"/>
  <c r="C6" i="9"/>
  <c r="C12" i="9"/>
  <c r="D116" i="2"/>
  <c r="D115" i="2"/>
  <c r="D118" i="2"/>
  <c r="C113" i="2"/>
  <c r="C114" i="2"/>
  <c r="T6" i="9"/>
  <c r="T12" i="9"/>
  <c r="E116" i="2"/>
  <c r="E115" i="2"/>
  <c r="E118" i="2"/>
  <c r="D6" i="9"/>
  <c r="D12" i="9"/>
  <c r="Y6" i="9"/>
  <c r="Y12" i="9"/>
  <c r="F18" i="9"/>
  <c r="J115" i="2"/>
  <c r="I6" i="9"/>
  <c r="I12" i="9"/>
  <c r="Z6" i="9"/>
  <c r="Z12" i="9"/>
  <c r="J6" i="9"/>
  <c r="J12" i="9"/>
  <c r="K115" i="2"/>
  <c r="Q6" i="9"/>
  <c r="Q12" i="9"/>
  <c r="V6" i="9"/>
  <c r="V12" i="9"/>
  <c r="AE6" i="9"/>
  <c r="AE12" i="9"/>
  <c r="O6" i="9"/>
  <c r="O12" i="9"/>
  <c r="AD6" i="9"/>
  <c r="AD12" i="9"/>
  <c r="E18" i="9"/>
  <c r="G18" i="9"/>
  <c r="F5" i="8"/>
  <c r="F115" i="2"/>
  <c r="F118" i="2"/>
  <c r="E6" i="9"/>
  <c r="E12" i="9"/>
  <c r="F116" i="2"/>
  <c r="AA6" i="9"/>
  <c r="AA12" i="9"/>
  <c r="AC6" i="9"/>
  <c r="AC12" i="9"/>
  <c r="M6" i="9"/>
  <c r="M12" i="9"/>
  <c r="G122" i="2"/>
  <c r="F14" i="8"/>
  <c r="I122" i="2"/>
  <c r="H14" i="8"/>
  <c r="F122" i="2"/>
  <c r="E14" i="8"/>
  <c r="D122" i="2"/>
  <c r="C14" i="8"/>
  <c r="H122" i="2"/>
  <c r="G14" i="8"/>
  <c r="E122" i="2"/>
  <c r="D14" i="8"/>
  <c r="H120" i="2"/>
  <c r="E120" i="2"/>
  <c r="D120" i="2"/>
  <c r="G120" i="2"/>
  <c r="F120" i="2"/>
  <c r="M44" i="2"/>
  <c r="K15" i="9"/>
  <c r="G21" i="9"/>
  <c r="G20" i="9"/>
  <c r="M43" i="2"/>
  <c r="K16" i="8"/>
  <c r="K19" i="8"/>
  <c r="C20" i="9"/>
  <c r="C21" i="9"/>
  <c r="F20" i="9"/>
  <c r="F21" i="9"/>
  <c r="J20" i="9"/>
  <c r="I20" i="9"/>
  <c r="J45" i="2"/>
  <c r="H17" i="8"/>
  <c r="H16" i="9"/>
  <c r="H18" i="9"/>
  <c r="L115" i="2"/>
  <c r="D20" i="9"/>
  <c r="D21" i="9"/>
  <c r="G22" i="8"/>
  <c r="G20" i="8"/>
  <c r="I116" i="2"/>
  <c r="I118" i="2"/>
  <c r="K20" i="9"/>
  <c r="E21" i="9"/>
  <c r="E20" i="9"/>
  <c r="G5" i="8"/>
  <c r="H20" i="9"/>
  <c r="H21" i="9"/>
  <c r="C9" i="6"/>
  <c r="C7" i="9"/>
  <c r="C13" i="9"/>
  <c r="G24" i="8"/>
  <c r="G27" i="8"/>
  <c r="G6" i="8"/>
  <c r="G25" i="8"/>
  <c r="E24" i="8"/>
  <c r="E25" i="8"/>
  <c r="E27" i="8"/>
  <c r="E6" i="8"/>
  <c r="F7" i="9"/>
  <c r="F13" i="9"/>
  <c r="F9" i="6"/>
  <c r="F24" i="8"/>
  <c r="F25" i="8"/>
  <c r="F27" i="8"/>
  <c r="F6" i="8"/>
  <c r="L15" i="9"/>
  <c r="L20" i="9"/>
  <c r="N44" i="2"/>
  <c r="M115" i="2"/>
  <c r="I120" i="2"/>
  <c r="C25" i="8"/>
  <c r="C24" i="8"/>
  <c r="C27" i="8"/>
  <c r="C6" i="8"/>
  <c r="D7" i="9"/>
  <c r="D13" i="9"/>
  <c r="D9" i="6"/>
  <c r="H22" i="8"/>
  <c r="H20" i="8"/>
  <c r="H5" i="8"/>
  <c r="K45" i="2"/>
  <c r="I16" i="9"/>
  <c r="I17" i="8"/>
  <c r="J116" i="2"/>
  <c r="J118" i="2"/>
  <c r="G7" i="9"/>
  <c r="G13" i="9"/>
  <c r="G9" i="6"/>
  <c r="J122" i="2"/>
  <c r="I14" i="8"/>
  <c r="L16" i="8"/>
  <c r="L19" i="8"/>
  <c r="N43" i="2"/>
  <c r="E9" i="6"/>
  <c r="E7" i="9"/>
  <c r="E13" i="9"/>
  <c r="D24" i="8"/>
  <c r="D25" i="8"/>
  <c r="D27" i="8"/>
  <c r="D6" i="8"/>
  <c r="H24" i="8"/>
  <c r="H25" i="8"/>
  <c r="H27" i="8"/>
  <c r="H6" i="8"/>
  <c r="M15" i="9"/>
  <c r="M20" i="9"/>
  <c r="O44" i="2"/>
  <c r="N115" i="2"/>
  <c r="E7" i="8"/>
  <c r="E6" i="4"/>
  <c r="I22" i="8"/>
  <c r="I20" i="8"/>
  <c r="I27" i="8"/>
  <c r="I6" i="8"/>
  <c r="D6" i="4"/>
  <c r="D7" i="8"/>
  <c r="F6" i="4"/>
  <c r="F7" i="8"/>
  <c r="I18" i="9"/>
  <c r="I21" i="9"/>
  <c r="D23" i="9"/>
  <c r="D25" i="9"/>
  <c r="J120" i="2"/>
  <c r="F23" i="9"/>
  <c r="F25" i="9"/>
  <c r="M16" i="8"/>
  <c r="M19" i="8"/>
  <c r="O43" i="2"/>
  <c r="L45" i="2"/>
  <c r="J17" i="8"/>
  <c r="J16" i="9"/>
  <c r="K116" i="2"/>
  <c r="K118" i="2"/>
  <c r="I25" i="8"/>
  <c r="I24" i="8"/>
  <c r="H9" i="6"/>
  <c r="H7" i="9"/>
  <c r="H13" i="9"/>
  <c r="G7" i="8"/>
  <c r="G6" i="4"/>
  <c r="I5" i="8"/>
  <c r="C23" i="9"/>
  <c r="C25" i="9"/>
  <c r="E23" i="9"/>
  <c r="E25" i="9"/>
  <c r="G23" i="9"/>
  <c r="G25" i="9"/>
  <c r="D10" i="6"/>
  <c r="C6" i="4"/>
  <c r="F10" i="6"/>
  <c r="C12" i="6"/>
  <c r="C10" i="6"/>
  <c r="C7" i="8"/>
  <c r="E10" i="6"/>
  <c r="G10" i="6"/>
  <c r="C10" i="4"/>
  <c r="C18" i="6"/>
  <c r="E18" i="6"/>
  <c r="E10" i="4"/>
  <c r="J20" i="8"/>
  <c r="J22" i="8"/>
  <c r="H10" i="6"/>
  <c r="M45" i="2"/>
  <c r="K17" i="8"/>
  <c r="K16" i="9"/>
  <c r="L116" i="2"/>
  <c r="L118" i="2"/>
  <c r="P43" i="2"/>
  <c r="N16" i="8"/>
  <c r="N19" i="8"/>
  <c r="K120" i="2"/>
  <c r="F10" i="4"/>
  <c r="F18" i="6"/>
  <c r="N15" i="9"/>
  <c r="N20" i="9"/>
  <c r="P44" i="2"/>
  <c r="O115" i="2"/>
  <c r="L122" i="2"/>
  <c r="K14" i="8"/>
  <c r="D18" i="6"/>
  <c r="D10" i="4"/>
  <c r="H23" i="9"/>
  <c r="H25" i="9"/>
  <c r="H7" i="8"/>
  <c r="H6" i="4"/>
  <c r="B7" i="5"/>
  <c r="B8" i="5"/>
  <c r="D7" i="6"/>
  <c r="D12" i="6"/>
  <c r="K122" i="2"/>
  <c r="J14" i="8"/>
  <c r="L120" i="2"/>
  <c r="G10" i="4"/>
  <c r="G18" i="6"/>
  <c r="J5" i="8"/>
  <c r="J18" i="9"/>
  <c r="J21" i="9"/>
  <c r="I9" i="6"/>
  <c r="I7" i="9"/>
  <c r="I13" i="9"/>
  <c r="I6" i="4"/>
  <c r="I7" i="8"/>
  <c r="L16" i="9"/>
  <c r="L17" i="8"/>
  <c r="N45" i="2"/>
  <c r="M116" i="2"/>
  <c r="M118" i="2"/>
  <c r="I23" i="9"/>
  <c r="I25" i="9"/>
  <c r="K5" i="8"/>
  <c r="O15" i="9"/>
  <c r="O20" i="9"/>
  <c r="Q44" i="2"/>
  <c r="P115" i="2"/>
  <c r="J7" i="9"/>
  <c r="J13" i="9"/>
  <c r="J9" i="6"/>
  <c r="K9" i="6"/>
  <c r="K7" i="9"/>
  <c r="K13" i="9"/>
  <c r="J24" i="8"/>
  <c r="J27" i="8"/>
  <c r="J6" i="8"/>
  <c r="J25" i="8"/>
  <c r="O16" i="8"/>
  <c r="O19" i="8"/>
  <c r="Q43" i="2"/>
  <c r="I10" i="6"/>
  <c r="C7" i="5"/>
  <c r="E7" i="6"/>
  <c r="E12" i="6"/>
  <c r="E8" i="7"/>
  <c r="B10" i="5"/>
  <c r="K24" i="8"/>
  <c r="K25" i="8"/>
  <c r="K18" i="9"/>
  <c r="K21" i="9"/>
  <c r="K22" i="8"/>
  <c r="K20" i="8"/>
  <c r="K27" i="8"/>
  <c r="K6" i="8"/>
  <c r="C19" i="6"/>
  <c r="C20" i="6"/>
  <c r="C23" i="6"/>
  <c r="H10" i="4"/>
  <c r="H18" i="6"/>
  <c r="L5" i="8"/>
  <c r="L18" i="9"/>
  <c r="L21" i="9"/>
  <c r="I18" i="6"/>
  <c r="I10" i="4"/>
  <c r="J6" i="4"/>
  <c r="J7" i="8"/>
  <c r="J23" i="9"/>
  <c r="J25" i="9"/>
  <c r="J10" i="6"/>
  <c r="D19" i="6"/>
  <c r="D20" i="6"/>
  <c r="M120" i="2"/>
  <c r="M122" i="2"/>
  <c r="L14" i="8"/>
  <c r="R43" i="2"/>
  <c r="P16" i="8"/>
  <c r="P19" i="8"/>
  <c r="K23" i="9"/>
  <c r="K25" i="9"/>
  <c r="O45" i="2"/>
  <c r="M17" i="8"/>
  <c r="M16" i="9"/>
  <c r="N116" i="2"/>
  <c r="N118" i="2"/>
  <c r="N120" i="2"/>
  <c r="D7" i="5"/>
  <c r="F7" i="6"/>
  <c r="F12" i="6"/>
  <c r="K6" i="4"/>
  <c r="K7" i="8"/>
  <c r="P15" i="9"/>
  <c r="P20" i="9"/>
  <c r="R44" i="2"/>
  <c r="Q115" i="2"/>
  <c r="L22" i="8"/>
  <c r="L20" i="8"/>
  <c r="K10" i="6"/>
  <c r="M9" i="6"/>
  <c r="M7" i="9"/>
  <c r="M13" i="9"/>
  <c r="M18" i="9"/>
  <c r="M21" i="9"/>
  <c r="N122" i="2"/>
  <c r="M14" i="8"/>
  <c r="K18" i="6"/>
  <c r="K10" i="4"/>
  <c r="J10" i="4"/>
  <c r="J18" i="6"/>
  <c r="P45" i="2"/>
  <c r="N17" i="8"/>
  <c r="N16" i="9"/>
  <c r="O116" i="2"/>
  <c r="O118" i="2"/>
  <c r="L7" i="9"/>
  <c r="L13" i="9"/>
  <c r="L9" i="6"/>
  <c r="E7" i="5"/>
  <c r="G7" i="6"/>
  <c r="G12" i="6"/>
  <c r="E19" i="6"/>
  <c r="E20" i="6"/>
  <c r="B20" i="21"/>
  <c r="B25" i="21"/>
  <c r="B29" i="21"/>
  <c r="M5" i="8"/>
  <c r="Q15" i="9"/>
  <c r="Q20" i="9"/>
  <c r="S44" i="2"/>
  <c r="R115" i="2"/>
  <c r="M22" i="8"/>
  <c r="M20" i="8"/>
  <c r="S43" i="2"/>
  <c r="Q16" i="8"/>
  <c r="Q19" i="8"/>
  <c r="L25" i="8"/>
  <c r="L27" i="8"/>
  <c r="L6" i="8"/>
  <c r="L24" i="8"/>
  <c r="T43" i="2"/>
  <c r="R16" i="8"/>
  <c r="R19" i="8"/>
  <c r="N22" i="8"/>
  <c r="N20" i="8"/>
  <c r="M24" i="8"/>
  <c r="M27" i="8"/>
  <c r="M6" i="8"/>
  <c r="M25" i="8"/>
  <c r="M6" i="4"/>
  <c r="M7" i="8"/>
  <c r="M10" i="6"/>
  <c r="F19" i="6"/>
  <c r="F20" i="6"/>
  <c r="N5" i="8"/>
  <c r="O17" i="8"/>
  <c r="O16" i="9"/>
  <c r="Q45" i="2"/>
  <c r="P116" i="2"/>
  <c r="P118" i="2"/>
  <c r="L7" i="8"/>
  <c r="L6" i="4"/>
  <c r="L10" i="6"/>
  <c r="L23" i="9"/>
  <c r="L25" i="9"/>
  <c r="R15" i="9"/>
  <c r="R20" i="9"/>
  <c r="T44" i="2"/>
  <c r="S115" i="2"/>
  <c r="H7" i="6"/>
  <c r="H12" i="6"/>
  <c r="F7" i="5"/>
  <c r="O122" i="2"/>
  <c r="N14" i="8"/>
  <c r="O120" i="2"/>
  <c r="N18" i="9"/>
  <c r="N21" i="9"/>
  <c r="M23" i="9"/>
  <c r="M25" i="9"/>
  <c r="L18" i="6"/>
  <c r="L10" i="4"/>
  <c r="N24" i="8"/>
  <c r="N27" i="8"/>
  <c r="N6" i="8"/>
  <c r="N25" i="8"/>
  <c r="U44" i="2"/>
  <c r="S15" i="9"/>
  <c r="S20" i="9"/>
  <c r="T115" i="2"/>
  <c r="U43" i="2"/>
  <c r="S16" i="8"/>
  <c r="S19" i="8"/>
  <c r="M10" i="4"/>
  <c r="M18" i="6"/>
  <c r="I7" i="6"/>
  <c r="I12" i="6"/>
  <c r="G7" i="5"/>
  <c r="P122" i="2"/>
  <c r="O14" i="8"/>
  <c r="P120" i="2"/>
  <c r="R45" i="2"/>
  <c r="P17" i="8"/>
  <c r="P16" i="9"/>
  <c r="Q116" i="2"/>
  <c r="Q118" i="2"/>
  <c r="O5" i="8"/>
  <c r="O18" i="9"/>
  <c r="O21" i="9"/>
  <c r="G19" i="6"/>
  <c r="G20" i="6"/>
  <c r="N7" i="9"/>
  <c r="N13" i="9"/>
  <c r="N9" i="6"/>
  <c r="O22" i="8"/>
  <c r="O20" i="8"/>
  <c r="O7" i="9"/>
  <c r="O13" i="9"/>
  <c r="O9" i="6"/>
  <c r="O25" i="8"/>
  <c r="O24" i="8"/>
  <c r="O27" i="8"/>
  <c r="O6" i="8"/>
  <c r="N6" i="4"/>
  <c r="N7" i="8"/>
  <c r="N10" i="6"/>
  <c r="P5" i="8"/>
  <c r="T16" i="8"/>
  <c r="T19" i="8"/>
  <c r="V43" i="2"/>
  <c r="N23" i="9"/>
  <c r="N25" i="9"/>
  <c r="Q120" i="2"/>
  <c r="Q122" i="2"/>
  <c r="P14" i="8"/>
  <c r="P18" i="9"/>
  <c r="P21" i="9"/>
  <c r="V44" i="2"/>
  <c r="T15" i="9"/>
  <c r="T20" i="9"/>
  <c r="U115" i="2"/>
  <c r="P20" i="8"/>
  <c r="P22" i="8"/>
  <c r="H19" i="6"/>
  <c r="H20" i="6"/>
  <c r="S45" i="2"/>
  <c r="Q16" i="9"/>
  <c r="Q17" i="8"/>
  <c r="R116" i="2"/>
  <c r="R118" i="2"/>
  <c r="J7" i="6"/>
  <c r="J12" i="6"/>
  <c r="H7" i="5"/>
  <c r="I19" i="6"/>
  <c r="I20" i="6"/>
  <c r="P24" i="8"/>
  <c r="P25" i="8"/>
  <c r="P27" i="8"/>
  <c r="P6" i="8"/>
  <c r="U15" i="9"/>
  <c r="U20" i="9"/>
  <c r="W44" i="2"/>
  <c r="V115" i="2"/>
  <c r="P9" i="6"/>
  <c r="P7" i="9"/>
  <c r="P13" i="9"/>
  <c r="U16" i="8"/>
  <c r="U19" i="8"/>
  <c r="W43" i="2"/>
  <c r="R120" i="2"/>
  <c r="R122" i="2"/>
  <c r="Q14" i="8"/>
  <c r="N18" i="6"/>
  <c r="N10" i="4"/>
  <c r="O6" i="4"/>
  <c r="O7" i="8"/>
  <c r="O10" i="6"/>
  <c r="I7" i="5"/>
  <c r="K7" i="6"/>
  <c r="K12" i="6"/>
  <c r="O23" i="9"/>
  <c r="O25" i="9"/>
  <c r="Q18" i="9"/>
  <c r="Q21" i="9"/>
  <c r="Q5" i="8"/>
  <c r="Q22" i="8"/>
  <c r="Q20" i="8"/>
  <c r="T45" i="2"/>
  <c r="R17" i="8"/>
  <c r="R16" i="9"/>
  <c r="S116" i="2"/>
  <c r="S118" i="2"/>
  <c r="S120" i="2"/>
  <c r="S122" i="2"/>
  <c r="R14" i="8"/>
  <c r="P23" i="9"/>
  <c r="P25" i="9"/>
  <c r="J19" i="6"/>
  <c r="J20" i="6"/>
  <c r="R22" i="8"/>
  <c r="R20" i="8"/>
  <c r="P6" i="4"/>
  <c r="P7" i="8"/>
  <c r="P10" i="6"/>
  <c r="R18" i="9"/>
  <c r="R21" i="9"/>
  <c r="J7" i="5"/>
  <c r="L7" i="6"/>
  <c r="L12" i="6"/>
  <c r="R5" i="8"/>
  <c r="X44" i="2"/>
  <c r="V15" i="9"/>
  <c r="V20" i="9"/>
  <c r="W115" i="2"/>
  <c r="O10" i="4"/>
  <c r="O18" i="6"/>
  <c r="Q25" i="8"/>
  <c r="Q24" i="8"/>
  <c r="Q27" i="8"/>
  <c r="Q6" i="8"/>
  <c r="Q7" i="9"/>
  <c r="Q13" i="9"/>
  <c r="Q9" i="6"/>
  <c r="U45" i="2"/>
  <c r="S17" i="8"/>
  <c r="S16" i="9"/>
  <c r="T116" i="2"/>
  <c r="T118" i="2"/>
  <c r="V16" i="8"/>
  <c r="V19" i="8"/>
  <c r="X43" i="2"/>
  <c r="P10" i="4"/>
  <c r="P18" i="6"/>
  <c r="S18" i="9"/>
  <c r="S21" i="9"/>
  <c r="S20" i="8"/>
  <c r="S22" i="8"/>
  <c r="K19" i="6"/>
  <c r="K20" i="6"/>
  <c r="T16" i="9"/>
  <c r="T17" i="8"/>
  <c r="V45" i="2"/>
  <c r="U116" i="2"/>
  <c r="U118" i="2"/>
  <c r="S5" i="8"/>
  <c r="K7" i="5"/>
  <c r="M7" i="6"/>
  <c r="M12" i="6"/>
  <c r="R25" i="8"/>
  <c r="R24" i="8"/>
  <c r="R27" i="8"/>
  <c r="R6" i="8"/>
  <c r="R9" i="6"/>
  <c r="R7" i="9"/>
  <c r="R13" i="9"/>
  <c r="W16" i="8"/>
  <c r="W19" i="8"/>
  <c r="Y43" i="2"/>
  <c r="Q7" i="8"/>
  <c r="Q6" i="4"/>
  <c r="Q10" i="6"/>
  <c r="Y44" i="2"/>
  <c r="W15" i="9"/>
  <c r="W20" i="9"/>
  <c r="X115" i="2"/>
  <c r="T120" i="2"/>
  <c r="T122" i="2"/>
  <c r="S14" i="8"/>
  <c r="Q23" i="9"/>
  <c r="Q25" i="9"/>
  <c r="S9" i="6"/>
  <c r="S7" i="9"/>
  <c r="S13" i="9"/>
  <c r="S25" i="8"/>
  <c r="S24" i="8"/>
  <c r="S27" i="8"/>
  <c r="S6" i="8"/>
  <c r="Z43" i="2"/>
  <c r="X16" i="8"/>
  <c r="X19" i="8"/>
  <c r="R23" i="9"/>
  <c r="R25" i="9"/>
  <c r="U120" i="2"/>
  <c r="U122" i="2"/>
  <c r="T14" i="8"/>
  <c r="L19" i="6"/>
  <c r="L20" i="6"/>
  <c r="R6" i="4"/>
  <c r="R7" i="8"/>
  <c r="R10" i="6"/>
  <c r="L7" i="5"/>
  <c r="N7" i="6"/>
  <c r="N12" i="6"/>
  <c r="W45" i="2"/>
  <c r="U17" i="8"/>
  <c r="U16" i="9"/>
  <c r="V116" i="2"/>
  <c r="V118" i="2"/>
  <c r="T5" i="8"/>
  <c r="T22" i="8"/>
  <c r="T20" i="8"/>
  <c r="X15" i="9"/>
  <c r="X20" i="9"/>
  <c r="Z44" i="2"/>
  <c r="Y115" i="2"/>
  <c r="T18" i="9"/>
  <c r="T21" i="9"/>
  <c r="Q10" i="4"/>
  <c r="Q18" i="6"/>
  <c r="R18" i="6"/>
  <c r="R10" i="4"/>
  <c r="Y15" i="9"/>
  <c r="Y20" i="9"/>
  <c r="AA44" i="2"/>
  <c r="Z115" i="2"/>
  <c r="O7" i="6"/>
  <c r="O12" i="6"/>
  <c r="M7" i="5"/>
  <c r="V120" i="2"/>
  <c r="V122" i="2"/>
  <c r="U14" i="8"/>
  <c r="M19" i="6"/>
  <c r="M20" i="6"/>
  <c r="S23" i="9"/>
  <c r="S25" i="9"/>
  <c r="U18" i="9"/>
  <c r="U21" i="9"/>
  <c r="U5" i="8"/>
  <c r="U22" i="8"/>
  <c r="U20" i="8"/>
  <c r="T27" i="8"/>
  <c r="T6" i="8"/>
  <c r="T25" i="8"/>
  <c r="T24" i="8"/>
  <c r="Y16" i="8"/>
  <c r="Y19" i="8"/>
  <c r="AA43" i="2"/>
  <c r="S7" i="8"/>
  <c r="S6" i="4"/>
  <c r="S10" i="6"/>
  <c r="X45" i="2"/>
  <c r="V17" i="8"/>
  <c r="V16" i="9"/>
  <c r="W116" i="2"/>
  <c r="W118" i="2"/>
  <c r="T7" i="9"/>
  <c r="T13" i="9"/>
  <c r="T9" i="6"/>
  <c r="N19" i="6"/>
  <c r="N20" i="6"/>
  <c r="Z15" i="9"/>
  <c r="Z20" i="9"/>
  <c r="AB44" i="2"/>
  <c r="AA115" i="2"/>
  <c r="T23" i="9"/>
  <c r="T25" i="9"/>
  <c r="V5" i="8"/>
  <c r="S18" i="6"/>
  <c r="S10" i="4"/>
  <c r="V18" i="9"/>
  <c r="V21" i="9"/>
  <c r="U27" i="8"/>
  <c r="U6" i="8"/>
  <c r="U24" i="8"/>
  <c r="U25" i="8"/>
  <c r="Z16" i="8"/>
  <c r="Z19" i="8"/>
  <c r="AB43" i="2"/>
  <c r="V22" i="8"/>
  <c r="V20" i="8"/>
  <c r="U7" i="9"/>
  <c r="U13" i="9"/>
  <c r="U9" i="6"/>
  <c r="P7" i="6"/>
  <c r="P12" i="6"/>
  <c r="N7" i="5"/>
  <c r="W120" i="2"/>
  <c r="W122" i="2"/>
  <c r="V14" i="8"/>
  <c r="W17" i="8"/>
  <c r="W16" i="9"/>
  <c r="Y45" i="2"/>
  <c r="X116" i="2"/>
  <c r="X118" i="2"/>
  <c r="T6" i="4"/>
  <c r="T7" i="8"/>
  <c r="T10" i="6"/>
  <c r="T18" i="6"/>
  <c r="T10" i="4"/>
  <c r="O19" i="6"/>
  <c r="O20" i="6"/>
  <c r="U7" i="8"/>
  <c r="U6" i="4"/>
  <c r="U10" i="6"/>
  <c r="U23" i="9"/>
  <c r="U25" i="9"/>
  <c r="AC43" i="2"/>
  <c r="AA16" i="8"/>
  <c r="AA19" i="8"/>
  <c r="AC44" i="2"/>
  <c r="AA15" i="9"/>
  <c r="AA20" i="9"/>
  <c r="AB115" i="2"/>
  <c r="W5" i="8"/>
  <c r="V9" i="6"/>
  <c r="V7" i="9"/>
  <c r="V13" i="9"/>
  <c r="V24" i="8"/>
  <c r="V25" i="8"/>
  <c r="V27" i="8"/>
  <c r="V6" i="8"/>
  <c r="X120" i="2"/>
  <c r="X122" i="2"/>
  <c r="W14" i="8"/>
  <c r="W18" i="9"/>
  <c r="W21" i="9"/>
  <c r="O7" i="5"/>
  <c r="Q7" i="6"/>
  <c r="Q12" i="6"/>
  <c r="Z45" i="2"/>
  <c r="X17" i="8"/>
  <c r="X16" i="9"/>
  <c r="Y116" i="2"/>
  <c r="Y118" i="2"/>
  <c r="W22" i="8"/>
  <c r="W20" i="8"/>
  <c r="U18" i="6"/>
  <c r="U10" i="4"/>
  <c r="V23" i="9"/>
  <c r="V25" i="9"/>
  <c r="V6" i="4"/>
  <c r="V7" i="8"/>
  <c r="V10" i="6"/>
  <c r="AB15" i="9"/>
  <c r="AB20" i="9"/>
  <c r="AD44" i="2"/>
  <c r="AC115" i="2"/>
  <c r="P19" i="6"/>
  <c r="P20" i="6"/>
  <c r="P7" i="5"/>
  <c r="R7" i="6"/>
  <c r="R12" i="6"/>
  <c r="W24" i="8"/>
  <c r="W25" i="8"/>
  <c r="W27" i="8"/>
  <c r="W6" i="8"/>
  <c r="W7" i="9"/>
  <c r="W13" i="9"/>
  <c r="W9" i="6"/>
  <c r="X5" i="8"/>
  <c r="Y120" i="2"/>
  <c r="Y122" i="2"/>
  <c r="X14" i="8"/>
  <c r="X18" i="9"/>
  <c r="X21" i="9"/>
  <c r="X22" i="8"/>
  <c r="X20" i="8"/>
  <c r="AB16" i="8"/>
  <c r="AB19" i="8"/>
  <c r="AD43" i="2"/>
  <c r="AA45" i="2"/>
  <c r="Y16" i="9"/>
  <c r="Y17" i="8"/>
  <c r="Z116" i="2"/>
  <c r="Z118" i="2"/>
  <c r="Y20" i="8"/>
  <c r="Y22" i="8"/>
  <c r="Q19" i="6"/>
  <c r="Q20" i="6"/>
  <c r="AB45" i="2"/>
  <c r="Z17" i="8"/>
  <c r="Z16" i="9"/>
  <c r="AA116" i="2"/>
  <c r="AA118" i="2"/>
  <c r="AC16" i="8"/>
  <c r="AC19" i="8"/>
  <c r="AE43" i="2"/>
  <c r="AE44" i="2"/>
  <c r="AC15" i="9"/>
  <c r="AC20" i="9"/>
  <c r="AD115" i="2"/>
  <c r="Y18" i="9"/>
  <c r="Y21" i="9"/>
  <c r="Y5" i="8"/>
  <c r="V18" i="6"/>
  <c r="V10" i="4"/>
  <c r="X24" i="8"/>
  <c r="X27" i="8"/>
  <c r="X6" i="8"/>
  <c r="X25" i="8"/>
  <c r="W6" i="4"/>
  <c r="W7" i="8"/>
  <c r="W10" i="6"/>
  <c r="Q7" i="5"/>
  <c r="S7" i="6"/>
  <c r="S12" i="6"/>
  <c r="Z120" i="2"/>
  <c r="Z122" i="2"/>
  <c r="Y14" i="8"/>
  <c r="X9" i="6"/>
  <c r="X7" i="9"/>
  <c r="X13" i="9"/>
  <c r="W23" i="9"/>
  <c r="W25" i="9"/>
  <c r="W18" i="6"/>
  <c r="W10" i="4"/>
  <c r="Y25" i="8"/>
  <c r="Y24" i="8"/>
  <c r="Y27" i="8"/>
  <c r="Y6" i="8"/>
  <c r="AA120" i="2"/>
  <c r="AA122" i="2"/>
  <c r="Z14" i="8"/>
  <c r="Z18" i="9"/>
  <c r="Z21" i="9"/>
  <c r="X23" i="9"/>
  <c r="X25" i="9"/>
  <c r="T7" i="6"/>
  <c r="T12" i="6"/>
  <c r="R7" i="5"/>
  <c r="Z22" i="8"/>
  <c r="Z20" i="8"/>
  <c r="Z5" i="8"/>
  <c r="AC45" i="2"/>
  <c r="AA17" i="8"/>
  <c r="AA16" i="9"/>
  <c r="AB116" i="2"/>
  <c r="AB118" i="2"/>
  <c r="X6" i="4"/>
  <c r="X7" i="8"/>
  <c r="X10" i="6"/>
  <c r="Y9" i="6"/>
  <c r="Y7" i="9"/>
  <c r="Y13" i="9"/>
  <c r="AF44" i="2"/>
  <c r="AD15" i="9"/>
  <c r="AD20" i="9"/>
  <c r="AE115" i="2"/>
  <c r="R19" i="6"/>
  <c r="R20" i="6"/>
  <c r="AD16" i="8"/>
  <c r="AD19" i="8"/>
  <c r="AF43" i="2"/>
  <c r="X18" i="6"/>
  <c r="X10" i="4"/>
  <c r="S19" i="6"/>
  <c r="S20" i="6"/>
  <c r="AA18" i="9"/>
  <c r="AA21" i="9"/>
  <c r="Z25" i="8"/>
  <c r="Z27" i="8"/>
  <c r="Z6" i="8"/>
  <c r="Z24" i="8"/>
  <c r="AG43" i="2"/>
  <c r="AF16" i="8"/>
  <c r="AF19" i="8"/>
  <c r="AE16" i="8"/>
  <c r="AE19" i="8"/>
  <c r="AB16" i="9"/>
  <c r="AB17" i="8"/>
  <c r="AD45" i="2"/>
  <c r="AC116" i="2"/>
  <c r="AC118" i="2"/>
  <c r="Z7" i="9"/>
  <c r="Z13" i="9"/>
  <c r="Z9" i="6"/>
  <c r="Y23" i="9"/>
  <c r="Y25" i="9"/>
  <c r="AA22" i="8"/>
  <c r="AA20" i="8"/>
  <c r="Y7" i="8"/>
  <c r="Y6" i="4"/>
  <c r="Y10" i="6"/>
  <c r="U7" i="6"/>
  <c r="U12" i="6"/>
  <c r="S7" i="5"/>
  <c r="AA5" i="8"/>
  <c r="AE15" i="9"/>
  <c r="AE20" i="9"/>
  <c r="AG44" i="2"/>
  <c r="AF115" i="2"/>
  <c r="AB120" i="2"/>
  <c r="AB122" i="2"/>
  <c r="AA14" i="8"/>
  <c r="AC120" i="2"/>
  <c r="AC122" i="2"/>
  <c r="AB14" i="8"/>
  <c r="V7" i="6"/>
  <c r="V12" i="6"/>
  <c r="T7" i="5"/>
  <c r="Z7" i="8"/>
  <c r="Z6" i="4"/>
  <c r="Z10" i="6"/>
  <c r="AE45" i="2"/>
  <c r="AC17" i="8"/>
  <c r="AC16" i="9"/>
  <c r="AD116" i="2"/>
  <c r="AD118" i="2"/>
  <c r="Y10" i="4"/>
  <c r="Y18" i="6"/>
  <c r="Z23" i="9"/>
  <c r="Z25" i="9"/>
  <c r="AB22" i="8"/>
  <c r="AB20" i="8"/>
  <c r="AB18" i="9"/>
  <c r="AB21" i="9"/>
  <c r="AB5" i="8"/>
  <c r="AA7" i="9"/>
  <c r="AA13" i="9"/>
  <c r="AA9" i="6"/>
  <c r="AA25" i="8"/>
  <c r="AA24" i="8"/>
  <c r="AA27" i="8"/>
  <c r="AA6" i="8"/>
  <c r="T19" i="6"/>
  <c r="T20" i="6"/>
  <c r="AF15" i="9"/>
  <c r="AF20" i="9"/>
  <c r="AG115" i="2"/>
  <c r="AA6" i="4"/>
  <c r="AA7" i="8"/>
  <c r="AA10" i="6"/>
  <c r="AF45" i="2"/>
  <c r="AD17" i="8"/>
  <c r="AD16" i="9"/>
  <c r="AE116" i="2"/>
  <c r="AE118" i="2"/>
  <c r="W7" i="6"/>
  <c r="W12" i="6"/>
  <c r="U7" i="5"/>
  <c r="AA23" i="9"/>
  <c r="AA25" i="9"/>
  <c r="AC5" i="8"/>
  <c r="U19" i="6"/>
  <c r="U20" i="6"/>
  <c r="AD120" i="2"/>
  <c r="AD122" i="2"/>
  <c r="AC14" i="8"/>
  <c r="Z18" i="6"/>
  <c r="Z10" i="4"/>
  <c r="AC18" i="9"/>
  <c r="AC21" i="9"/>
  <c r="AB24" i="8"/>
  <c r="AB25" i="8"/>
  <c r="AB27" i="8"/>
  <c r="AB6" i="8"/>
  <c r="AC22" i="8"/>
  <c r="AC20" i="8"/>
  <c r="AB9" i="6"/>
  <c r="AB7" i="9"/>
  <c r="AB13" i="9"/>
  <c r="AE17" i="8"/>
  <c r="AE16" i="9"/>
  <c r="AG45" i="2"/>
  <c r="AF116" i="2"/>
  <c r="AF118" i="2"/>
  <c r="AD5" i="8"/>
  <c r="AC24" i="8"/>
  <c r="AC25" i="8"/>
  <c r="AC27" i="8"/>
  <c r="AC6" i="8"/>
  <c r="AC7" i="9"/>
  <c r="AC13" i="9"/>
  <c r="AC9" i="6"/>
  <c r="V19" i="6"/>
  <c r="V20" i="6"/>
  <c r="X7" i="6"/>
  <c r="X12" i="6"/>
  <c r="V7" i="5"/>
  <c r="AB23" i="9"/>
  <c r="AB25" i="9"/>
  <c r="AB6" i="4"/>
  <c r="AB7" i="8"/>
  <c r="AB10" i="6"/>
  <c r="AA10" i="4"/>
  <c r="AA18" i="6"/>
  <c r="AE122" i="2"/>
  <c r="AD14" i="8"/>
  <c r="AE120" i="2"/>
  <c r="AD18" i="9"/>
  <c r="AD21" i="9"/>
  <c r="AD22" i="8"/>
  <c r="AD20" i="8"/>
  <c r="AE5" i="8"/>
  <c r="AF120" i="2"/>
  <c r="AF122" i="2"/>
  <c r="AE14" i="8"/>
  <c r="AC7" i="8"/>
  <c r="AC6" i="4"/>
  <c r="AC10" i="6"/>
  <c r="AF17" i="8"/>
  <c r="AF16" i="9"/>
  <c r="AG116" i="2"/>
  <c r="AG118" i="2"/>
  <c r="AD7" i="9"/>
  <c r="AD13" i="9"/>
  <c r="AD9" i="6"/>
  <c r="AC23" i="9"/>
  <c r="AC25" i="9"/>
  <c r="AE18" i="9"/>
  <c r="AE21" i="9"/>
  <c r="AD25" i="8"/>
  <c r="AD24" i="8"/>
  <c r="AD27" i="8"/>
  <c r="AD6" i="8"/>
  <c r="AE22" i="8"/>
  <c r="AE20" i="8"/>
  <c r="AB10" i="4"/>
  <c r="AB18" i="6"/>
  <c r="Y7" i="6"/>
  <c r="Y12" i="6"/>
  <c r="W7" i="5"/>
  <c r="W19" i="6"/>
  <c r="W20" i="6"/>
  <c r="AC18" i="6"/>
  <c r="AC10" i="4"/>
  <c r="AG120" i="2"/>
  <c r="AG122" i="2"/>
  <c r="AF14" i="8"/>
  <c r="AF5" i="8"/>
  <c r="AF18" i="9"/>
  <c r="AF21" i="9"/>
  <c r="X7" i="5"/>
  <c r="Z7" i="6"/>
  <c r="Z12" i="6"/>
  <c r="AD6" i="4"/>
  <c r="AD7" i="8"/>
  <c r="AD10" i="6"/>
  <c r="AF22" i="8"/>
  <c r="AF20" i="8"/>
  <c r="X19" i="6"/>
  <c r="X20" i="6"/>
  <c r="AD23" i="9"/>
  <c r="AD25" i="9"/>
  <c r="AE24" i="8"/>
  <c r="AE27" i="8"/>
  <c r="AE6" i="8"/>
  <c r="AE25" i="8"/>
  <c r="AE9" i="6"/>
  <c r="AE7" i="9"/>
  <c r="AE13" i="9"/>
  <c r="AF24" i="8"/>
  <c r="AF27" i="8"/>
  <c r="AF6" i="8"/>
  <c r="AF25" i="8"/>
  <c r="AF7" i="9"/>
  <c r="AF13" i="9"/>
  <c r="AF9" i="6"/>
  <c r="AE7" i="8"/>
  <c r="AE6" i="4"/>
  <c r="AE10" i="6"/>
  <c r="Y19" i="6"/>
  <c r="Y20" i="6"/>
  <c r="AD18" i="6"/>
  <c r="AD10" i="4"/>
  <c r="B33" i="21"/>
  <c r="B38" i="21"/>
  <c r="B42" i="21"/>
  <c r="AE23" i="9"/>
  <c r="AE25" i="9"/>
  <c r="Y7" i="5"/>
  <c r="AA7" i="6"/>
  <c r="AA12" i="6"/>
  <c r="AF23" i="9"/>
  <c r="AF25" i="9"/>
  <c r="Z19" i="6"/>
  <c r="Z20" i="6"/>
  <c r="AB7" i="6"/>
  <c r="AB12" i="6"/>
  <c r="Z7" i="5"/>
  <c r="AE18" i="6"/>
  <c r="AE10" i="4"/>
  <c r="AF6" i="4"/>
  <c r="AF7" i="8"/>
  <c r="AF10" i="6"/>
  <c r="AC7" i="6"/>
  <c r="AC12" i="6"/>
  <c r="AA7" i="5"/>
  <c r="AF10" i="4"/>
  <c r="AF18" i="6"/>
  <c r="AA19" i="6"/>
  <c r="AA20" i="6"/>
  <c r="AD7" i="6"/>
  <c r="AD12" i="6"/>
  <c r="AB7" i="5"/>
  <c r="AB19" i="6"/>
  <c r="AB20" i="6"/>
  <c r="AC7" i="5"/>
  <c r="AE7" i="6"/>
  <c r="AE12" i="6"/>
  <c r="AC19" i="6"/>
  <c r="AC20" i="6"/>
  <c r="AD7" i="5"/>
  <c r="AF7" i="6"/>
  <c r="AF12" i="6"/>
  <c r="AE7" i="5"/>
  <c r="AD19" i="6"/>
  <c r="AD20" i="6"/>
  <c r="AE19" i="6"/>
  <c r="AE20" i="6"/>
  <c r="AF19" i="6"/>
  <c r="AF20" i="6"/>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<sst xmlns="http://schemas.openxmlformats.org/spreadsheetml/2006/main" count="277" uniqueCount="205">
  <si>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</si>
  <si>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</si>
  <si>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</si>
  <si>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</si>
  <si>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</si>
  <si>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</si>
  <si>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</si>
  <si>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</si>
  <si>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</si>
  <si>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</si>
  <si>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</si>
  <si>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</si>
  <si>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</si>
  <si>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</si>
  <si>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</si>
  <si>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</si>
  <si>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</si>
  <si>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</si>
  <si>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</si>
  <si>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</si>
  <si>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</si>
  <si>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</si>
  <si>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</si>
  <si>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</si>
  <si>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</si>
  <si>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</si>
  <si>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</si>
  <si>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</si>
  <si>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</si>
  <si>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</si>
  <si>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</si>
  <si>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</si>
  <si>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</si>
  <si>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</si>
  <si>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</si>
  <si>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</si>
  <si>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</si>
  <si>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</si>
  <si>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</si>
  <si>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</si>
  <si>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</si>
  <si>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</si>
  <si>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</si>
  <si>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</si>
  <si>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</si>
  <si>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</si>
  <si>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</si>
  <si>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</si>
  <si>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</si>
  <si>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</si>
  <si>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</si>
  <si>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</si>
  <si>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</si>
  <si>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</si>
  <si>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</si>
  <si>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</si>
  <si>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</si>
  <si>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</si>
  <si>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</si>
  <si>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</si>
  <si>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</si>
  <si>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</si>
  <si>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</si>
  <si>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</si>
  <si>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</si>
  <si>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</si>
  <si>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</si>
  <si>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</si>
  <si>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</si>
  <si>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</si>
  <si>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</si>
  <si>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</si>
  <si>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</si>
  <si>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</si>
  <si>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</si>
  <si>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</si>
  <si>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</si>
  <si>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</si>
  <si>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</si>
  <si>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</si>
  <si>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</si>
  <si>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</si>
  <si>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</si>
  <si>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</si>
  <si>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</si>
  <si>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</si>
  <si>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</si>
  <si>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</si>
  <si>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</si>
  <si>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</si>
  <si>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</si>
  <si>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</si>
  <si>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</si>
  <si>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</si>
  <si>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</si>
  <si>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</si>
  <si>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</si>
  <si>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</si>
  <si>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</si>
  <si>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</si>
  <si>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</si>
  <si>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</si>
  <si>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</si>
  <si>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</si>
  <si>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</si>
  <si>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</si>
  <si>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</si>
  <si>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</si>
  <si>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</si>
  <si>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</si>
  <si>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</si>
  <si>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</si>
  <si>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</si>
  <si>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</si>
  <si>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</si>
  <si>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</si>
  <si>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</si>
  <si>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</si>
  <si>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</si>
  <si>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</si>
  <si>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</si>
  <si>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</si>
  <si>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</si>
  <si>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</si>
  <si>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</si>
  <si>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</si>
  <si>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</si>
  <si>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</si>
  <si>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</si>
  <si>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</si>
  <si>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</si>
  <si>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</si>
  <si>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</si>
  <si>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</si>
  <si>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</si>
  <si>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</si>
  <si>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</si>
  <si>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</si>
  <si>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</si>
  <si>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</si>
  <si>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</si>
  <si>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</si>
  <si>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</si>
  <si>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</si>
  <si>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</si>
  <si>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</si>
  <si>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</si>
  <si>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</si>
  <si>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</si>
  <si>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</si>
  <si>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</si>
  <si>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</si>
  <si>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</si>
  <si>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</si>
  <si>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</si>
  <si>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</si>
  <si>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</si>
  <si>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</si>
  <si>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</si>
  <si>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</si>
  <si>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</si>
  <si>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</si>
  <si>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</si>
  <si>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</si>
  <si>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</si>
  <si>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</si>
  <si>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</si>
  <si>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</si>
  <si>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</si>
  <si>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</si>
  <si>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</si>
  <si>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</si>
  <si>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</si>
  <si>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</si>
  <si>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</si>
  <si>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</si>
  <si>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</si>
  <si>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</si>
  <si>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</si>
  <si>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</si>
  <si>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</si>
  <si>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</si>
  <si>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</si>
  <si>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</si>
  <si>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</si>
  <si>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</si>
  <si>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</si>
  <si>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</si>
  <si>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</si>
  <si>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</si>
  <si>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</si>
  <si>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</si>
  <si>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</si>
  <si>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</si>
  <si>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</si>
  <si>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</si>
  <si>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Christchurch Stand-alone Council</t>
  </si>
  <si>
    <t xml:space="preserve">For water and wastewater: RFI Table E1 and E2; Lines E1.22 - E1.19 + E2.21 - E2.18 
For stormwater: the Funding Impact Statement from the Council Annual Report 2019/20. The Annual Report was used given that the operating expenditure in E2b included both stormwater and flood protection </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</si>
  <si>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</si>
  <si>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</si>
  <si>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</si>
  <si>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</si>
  <si>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</si>
  <si>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Consistent with reaching a percentage split of 30% for short-medium life assets by 2051. This split is in line with international experience</t>
  </si>
  <si>
    <t>Consistent with reaching a percentage split of 70% for long life assets by 2051. This split is 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</si>
</sst>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200">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0" xfId="0" applyAlignment="1">
      <alignment vertical="top"/>
    </xf>
    <xf numFmtId="0" fontId="13" fillId="0" borderId="0" xfId="0" applyFont="1" applyFill="1" applyBorder="1" applyAlignment="1">
      <alignment vertical="top" wrapText="1"/>
    </xf>
    <xf numFmtId="0" fontId="16" fillId="0" borderId="0" xfId="0" applyFont="1" applyAlignment="1">
      <alignment horizontal="left" vertical="center"/>
    </xf>
    <xf numFmtId="0" fontId="18" fillId="0" borderId="0" xfId="0" applyFont="1" applyAlignment="1">
      <alignment horizontal="left" vertical="center" wrapText="1"/>
    </xf>
    <xf numFmtId="0" fontId="16" fillId="0" borderId="0" xfId="0" applyFont="1" applyFill="1" applyAlignment="1">
      <alignment horizontal="left" vertical="center"/>
    </xf>
    <xf numFmtId="0" fontId="17" fillId="0" borderId="0" xfId="0" applyFont="1" applyFill="1" applyAlignment="1">
      <alignment horizontal="left" vertical="center"/>
    </xf>
    <xf numFmtId="0" fontId="15" fillId="0" borderId="0" xfId="0" applyFont="1" applyFill="1" applyAlignment="1">
      <alignment horizontal="left" vertical="center"/>
    </xf>
    <xf numFmtId="0" fontId="0" fillId="0" borderId="0" xfId="0" applyAlignment="1">
      <alignment horizontal="left" vertical="center"/>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196</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8729683366.875</v>
      </c>
      <c r="C6" s="12">
        <f ca="1">B6+Depreciation!C18+'Cash Flow'!C13</f>
        <v>8937711738.8584023</v>
      </c>
      <c r="D6" s="1">
        <f ca="1">C6+Depreciation!D18</f>
        <v>9270763132.1195641</v>
      </c>
      <c r="E6" s="1">
        <f ca="1">D6+Depreciation!E18</f>
        <v>9619158978.9180832</v>
      </c>
      <c r="F6" s="1">
        <f ca="1">E6+Depreciation!F18</f>
        <v>9983540279.6536522</v>
      </c>
      <c r="G6" s="1">
        <f ca="1">F6+Depreciation!G18</f>
        <v>10363146165.998667</v>
      </c>
      <c r="H6" s="1">
        <f ca="1">G6+Depreciation!H18</f>
        <v>10758553234.942833</v>
      </c>
      <c r="I6" s="1">
        <f ca="1">H6+Depreciation!I18</f>
        <v>11170358777.377403</v>
      </c>
      <c r="J6" s="1">
        <f ca="1">I6+Depreciation!J18</f>
        <v>11599181496.559153</v>
      </c>
      <c r="K6" s="1">
        <f ca="1">J6+Depreciation!K18</f>
        <v>12045662250.976423</v>
      </c>
      <c r="L6" s="1">
        <f ca="1">K6+Depreciation!L18</f>
        <v>12511417222.287071</v>
      </c>
      <c r="M6" s="1">
        <f ca="1">L6+Depreciation!M18</f>
        <v>12997208609.835058</v>
      </c>
      <c r="N6" s="1">
        <f ca="1">M6+Depreciation!N18</f>
        <v>13503827244.162754</v>
      </c>
      <c r="O6" s="1">
        <f ca="1">N6+Depreciation!O18</f>
        <v>14032093626.878691</v>
      </c>
      <c r="P6" s="1">
        <f ca="1">O6+Depreciation!P18</f>
        <v>14582859007.407492</v>
      </c>
      <c r="Q6" s="1">
        <f ca="1">P6+Depreciation!Q18</f>
        <v>15157255501.02387</v>
      </c>
      <c r="R6" s="1">
        <f ca="1">Q6+Depreciation!R18</f>
        <v>15756220012.398544</v>
      </c>
      <c r="S6" s="1">
        <f ca="1">R6+Depreciation!S18</f>
        <v>16380724863.779366</v>
      </c>
      <c r="T6" s="1">
        <f ca="1">S6+Depreciation!T18</f>
        <v>17031779091.914602</v>
      </c>
      <c r="U6" s="1">
        <f ca="1">T6+Depreciation!U18</f>
        <v>17710429791.398499</v>
      </c>
      <c r="V6" s="1">
        <f ca="1">U6+Depreciation!V18</f>
        <v>18418362470.412563</v>
      </c>
      <c r="W6" s="1">
        <f ca="1">V6+Depreciation!W18</f>
        <v>19156756237.33046</v>
      </c>
      <c r="X6" s="1">
        <f ca="1">W6+Depreciation!X18</f>
        <v>19926835678.714718</v>
      </c>
      <c r="Y6" s="1">
        <f ca="1">X6+Depreciation!Y18</f>
        <v>20729872562.513863</v>
      </c>
      <c r="Z6" s="1">
        <f ca="1">Y6+Depreciation!Z18</f>
        <v>21567187603.694469</v>
      </c>
      <c r="AA6" s="1">
        <f ca="1">Z6+Depreciation!AA18</f>
        <v>22440152294.559944</v>
      </c>
      <c r="AB6" s="1">
        <f ca="1">AA6+Depreciation!AB18</f>
        <v>23350190802.087948</v>
      </c>
      <c r="AC6" s="1">
        <f ca="1">AB6+Depreciation!AC18</f>
        <v>24298781934.701435</v>
      </c>
      <c r="AD6" s="1">
        <f ca="1">AC6+Depreciation!AD18</f>
        <v>25287461180.974167</v>
      </c>
      <c r="AE6" s="1">
        <f ca="1">AD6+Depreciation!AE18</f>
        <v>26317822822.860542</v>
      </c>
      <c r="AF6" s="1"/>
      <c r="AG6" s="1"/>
      <c r="AH6" s="1"/>
      <c r="AI6" s="1"/>
      <c r="AJ6" s="1"/>
      <c r="AK6" s="1"/>
      <c r="AL6" s="1"/>
      <c r="AM6" s="1"/>
      <c r="AN6" s="1"/>
      <c r="AO6" s="1"/>
      <c r="AP6" s="1"/>
    </row>
    <row r="7" spans="1:42" x14ac:dyDescent="0.35">
      <c r="A7" t="s">
        <v>12</v>
      </c>
      <c r="B7" s="1">
        <f>Depreciation!C12</f>
        <v>4499804390.8670998</v>
      </c>
      <c r="C7" s="1">
        <f>Depreciation!D12</f>
        <v>4643627386.4780512</v>
      </c>
      <c r="D7" s="1">
        <f>Depreciation!E12</f>
        <v>4796739526.9015541</v>
      </c>
      <c r="E7" s="1">
        <f>Depreciation!F12</f>
        <v>4959588042.6581049</v>
      </c>
      <c r="F7" s="1">
        <f>Depreciation!G12</f>
        <v>5132605825.4052153</v>
      </c>
      <c r="G7" s="1">
        <f>Depreciation!H12</f>
        <v>5316242662.7584162</v>
      </c>
      <c r="H7" s="1">
        <f>Depreciation!I12</f>
        <v>5510965855.3042498</v>
      </c>
      <c r="I7" s="1">
        <f>Depreciation!J12</f>
        <v>5717260855.2726698</v>
      </c>
      <c r="J7" s="1">
        <f>Depreciation!K12</f>
        <v>5935631927.6099977</v>
      </c>
      <c r="K7" s="1">
        <f>Depreciation!L12</f>
        <v>6166625156.0900545</v>
      </c>
      <c r="L7" s="1">
        <f>Depreciation!M12</f>
        <v>6410808754.8132677</v>
      </c>
      <c r="M7" s="1">
        <f>Depreciation!N12</f>
        <v>6668773912.1435614</v>
      </c>
      <c r="N7" s="1">
        <f>Depreciation!O12</f>
        <v>6941135665.6104031</v>
      </c>
      <c r="O7" s="1">
        <f>Depreciation!P12</f>
        <v>7228533808.8823471</v>
      </c>
      <c r="P7" s="1">
        <f>Depreciation!Q12</f>
        <v>7531639667.9677372</v>
      </c>
      <c r="Q7" s="1">
        <f>Depreciation!R12</f>
        <v>7851151772.3125763</v>
      </c>
      <c r="R7" s="1">
        <f>Depreciation!S12</f>
        <v>8187796897.4268475</v>
      </c>
      <c r="S7" s="1">
        <f>Depreciation!T12</f>
        <v>8542331146.0529938</v>
      </c>
      <c r="T7" s="1">
        <f>Depreciation!U12</f>
        <v>8915541069.265686</v>
      </c>
      <c r="U7" s="1">
        <f>Depreciation!V12</f>
        <v>9308258867.1678696</v>
      </c>
      <c r="V7" s="1">
        <f>Depreciation!W12</f>
        <v>9721350876.7783031</v>
      </c>
      <c r="W7" s="1">
        <f>Depreciation!X12</f>
        <v>10155718904.62126</v>
      </c>
      <c r="X7" s="1">
        <f>Depreciation!Y12</f>
        <v>10612301609.645782</v>
      </c>
      <c r="Y7" s="1">
        <f>Depreciation!Z12</f>
        <v>11092075938.33098</v>
      </c>
      <c r="Z7" s="1">
        <f>Depreciation!AA12</f>
        <v>11596058613.901192</v>
      </c>
      <c r="AA7" s="1">
        <f>Depreciation!AB12</f>
        <v>12125307681.644482</v>
      </c>
      <c r="AB7" s="1">
        <f>Depreciation!AC12</f>
        <v>12680924112.400145</v>
      </c>
      <c r="AC7" s="1">
        <f>Depreciation!AD12</f>
        <v>13264053466.355602</v>
      </c>
      <c r="AD7" s="1">
        <f>Depreciation!AE12</f>
        <v>13875887619.37055</v>
      </c>
      <c r="AE7" s="1">
        <f>Depreciation!AF12</f>
        <v>14517666554.126345</v>
      </c>
      <c r="AF7" s="1"/>
      <c r="AG7" s="1"/>
      <c r="AH7" s="1"/>
      <c r="AI7" s="1"/>
      <c r="AJ7" s="1"/>
      <c r="AK7" s="1"/>
      <c r="AL7" s="1"/>
      <c r="AM7" s="1"/>
      <c r="AN7" s="1"/>
      <c r="AO7" s="1"/>
      <c r="AP7" s="1"/>
    </row>
    <row r="8" spans="1:42" x14ac:dyDescent="0.35">
      <c r="A8" t="s">
        <v>191</v>
      </c>
      <c r="B8" s="1">
        <f t="shared" ref="B8:AE8" si="1">B6-B7</f>
        <v>4229878976.0079002</v>
      </c>
      <c r="C8" s="1">
        <f t="shared" ca="1" si="1"/>
        <v>4294084352.3803511</v>
      </c>
      <c r="D8" s="1">
        <f ca="1">D6-D7</f>
        <v>4474023605.2180099</v>
      </c>
      <c r="E8" s="1">
        <f t="shared" ca="1" si="1"/>
        <v>4659570936.2599783</v>
      </c>
      <c r="F8" s="1">
        <f t="shared" ca="1" si="1"/>
        <v>4850934454.2484369</v>
      </c>
      <c r="G8" s="1">
        <f t="shared" ca="1" si="1"/>
        <v>5046903503.2402506</v>
      </c>
      <c r="H8" s="1">
        <f t="shared" ca="1" si="1"/>
        <v>5247587379.6385832</v>
      </c>
      <c r="I8" s="1">
        <f t="shared" ca="1" si="1"/>
        <v>5453097922.1047335</v>
      </c>
      <c r="J8" s="1">
        <f t="shared" ca="1" si="1"/>
        <v>5663549568.9491549</v>
      </c>
      <c r="K8" s="1">
        <f t="shared" ca="1" si="1"/>
        <v>5879037094.8863688</v>
      </c>
      <c r="L8" s="1">
        <f t="shared" ca="1" si="1"/>
        <v>6100608467.4738035</v>
      </c>
      <c r="M8" s="1">
        <f t="shared" ca="1" si="1"/>
        <v>6328434697.6914968</v>
      </c>
      <c r="N8" s="1">
        <f t="shared" ca="1" si="1"/>
        <v>6562691578.552351</v>
      </c>
      <c r="O8" s="1">
        <f t="shared" ca="1" si="1"/>
        <v>6803559817.9963436</v>
      </c>
      <c r="P8" s="1">
        <f t="shared" ca="1" si="1"/>
        <v>7051219339.4397545</v>
      </c>
      <c r="Q8" s="1">
        <f t="shared" ca="1" si="1"/>
        <v>7306103728.7112942</v>
      </c>
      <c r="R8" s="1">
        <f t="shared" ca="1" si="1"/>
        <v>7568423114.9716969</v>
      </c>
      <c r="S8" s="1">
        <f t="shared" ca="1" si="1"/>
        <v>7838393717.7263718</v>
      </c>
      <c r="T8" s="1">
        <f t="shared" ca="1" si="1"/>
        <v>8116238022.6489162</v>
      </c>
      <c r="U8" s="1">
        <f t="shared" ca="1" si="1"/>
        <v>8402170924.230629</v>
      </c>
      <c r="V8" s="1">
        <f t="shared" ca="1" si="1"/>
        <v>8697011593.6342602</v>
      </c>
      <c r="W8" s="1">
        <f t="shared" ca="1" si="1"/>
        <v>9001037332.7091999</v>
      </c>
      <c r="X8" s="1">
        <f t="shared" ca="1" si="1"/>
        <v>9314534069.0689354</v>
      </c>
      <c r="Y8" s="1">
        <f t="shared" ca="1" si="1"/>
        <v>9637796624.1828823</v>
      </c>
      <c r="Z8" s="1">
        <f t="shared" ca="1" si="1"/>
        <v>9971128989.7932777</v>
      </c>
      <c r="AA8" s="1">
        <f t="shared" ca="1" si="1"/>
        <v>10314844612.915462</v>
      </c>
      <c r="AB8" s="1">
        <f t="shared" ca="1" si="1"/>
        <v>10669266689.687803</v>
      </c>
      <c r="AC8" s="1">
        <f t="shared" ca="1" si="1"/>
        <v>11034728468.345833</v>
      </c>
      <c r="AD8" s="1">
        <f t="shared" ca="1" si="1"/>
        <v>11411573561.603617</v>
      </c>
      <c r="AE8" s="1">
        <f t="shared" ca="1" si="1"/>
        <v>11800156268.734198</v>
      </c>
      <c r="AF8" s="1"/>
      <c r="AG8" s="1"/>
      <c r="AH8" s="1"/>
      <c r="AI8" s="1"/>
      <c r="AJ8" s="1"/>
      <c r="AK8" s="1"/>
      <c r="AL8" s="1"/>
      <c r="AM8" s="1"/>
      <c r="AN8" s="1"/>
      <c r="AO8" s="1"/>
      <c r="AP8" s="1"/>
    </row>
    <row r="10" spans="1:42" x14ac:dyDescent="0.35">
      <c r="A10" t="s">
        <v>17</v>
      </c>
      <c r="B10" s="1">
        <f>B8-B11</f>
        <v>3201137358.8221822</v>
      </c>
      <c r="C10" s="1">
        <f ca="1">C8-C11</f>
        <v>3155047549.3121877</v>
      </c>
      <c r="D10" s="1">
        <f ca="1">D8-D11</f>
        <v>3307086242.6691794</v>
      </c>
      <c r="E10" s="1">
        <f t="shared" ref="E10:AE10" ca="1" si="2">E8-E11</f>
        <v>3461788549.624011</v>
      </c>
      <c r="F10" s="1">
        <f t="shared" ca="1" si="2"/>
        <v>3616922129.3061557</v>
      </c>
      <c r="G10" s="1">
        <f ca="1">G8-G11</f>
        <v>3773520813.6344757</v>
      </c>
      <c r="H10" s="1">
        <f t="shared" ca="1" si="2"/>
        <v>3931805030.1931248</v>
      </c>
      <c r="I10" s="1">
        <f t="shared" ca="1" si="2"/>
        <v>4092022120.9727144</v>
      </c>
      <c r="J10" s="1">
        <f t="shared" ca="1" si="2"/>
        <v>4254448502.8429432</v>
      </c>
      <c r="K10" s="1">
        <f t="shared" ca="1" si="2"/>
        <v>4419369647.8861437</v>
      </c>
      <c r="L10" s="1">
        <f t="shared" ca="1" si="2"/>
        <v>4586241434.0074673</v>
      </c>
      <c r="M10" s="1">
        <f t="shared" ca="1" si="2"/>
        <v>4755227720.0048094</v>
      </c>
      <c r="N10" s="1">
        <f t="shared" ca="1" si="2"/>
        <v>4926515007.765172</v>
      </c>
      <c r="O10" s="1">
        <f t="shared" ca="1" si="2"/>
        <v>5100314457.4417257</v>
      </c>
      <c r="P10" s="1">
        <f t="shared" ca="1" si="2"/>
        <v>5276858208.1440296</v>
      </c>
      <c r="Q10" s="1">
        <f t="shared" ca="1" si="2"/>
        <v>5456151059.1651812</v>
      </c>
      <c r="R10" s="1">
        <f t="shared" ca="1" si="2"/>
        <v>5638433217.3657856</v>
      </c>
      <c r="S10" s="1">
        <f t="shared" ca="1" si="2"/>
        <v>5823974281.7892208</v>
      </c>
      <c r="T10" s="1">
        <f t="shared" ca="1" si="2"/>
        <v>6013075767.1730747</v>
      </c>
      <c r="U10" s="1">
        <f t="shared" ca="1" si="2"/>
        <v>6206059764.3465958</v>
      </c>
      <c r="V10" s="1">
        <f t="shared" ca="1" si="2"/>
        <v>6402601380.9879026</v>
      </c>
      <c r="W10" s="1">
        <f t="shared" ca="1" si="2"/>
        <v>6602969282.4137087</v>
      </c>
      <c r="X10" s="1">
        <f t="shared" ca="1" si="2"/>
        <v>6807463660.5661259</v>
      </c>
      <c r="Y10" s="1">
        <f t="shared" ca="1" si="2"/>
        <v>7016418977.3582077</v>
      </c>
      <c r="Z10" s="1">
        <f t="shared" ca="1" si="2"/>
        <v>7230206902.0835457</v>
      </c>
      <c r="AA10" s="1">
        <f t="shared" ca="1" si="2"/>
        <v>7449239454.9732628</v>
      </c>
      <c r="AB10" s="1">
        <f t="shared" ca="1" si="2"/>
        <v>7657240810.0639305</v>
      </c>
      <c r="AC10" s="1">
        <f t="shared" ca="1" si="2"/>
        <v>7852831031.5209255</v>
      </c>
      <c r="AD10" s="1">
        <f t="shared" ca="1" si="2"/>
        <v>8034539319.6536674</v>
      </c>
      <c r="AE10" s="1">
        <f t="shared" ca="1" si="2"/>
        <v>8200799141.8826628</v>
      </c>
      <c r="AF10" s="1"/>
      <c r="AG10" s="1"/>
      <c r="AH10" s="1"/>
      <c r="AI10" s="1"/>
      <c r="AJ10" s="1"/>
      <c r="AK10" s="1"/>
      <c r="AL10" s="1"/>
      <c r="AM10" s="1"/>
      <c r="AN10" s="1"/>
      <c r="AO10" s="1"/>
    </row>
    <row r="11" spans="1:42" x14ac:dyDescent="0.35">
      <c r="A11" t="s">
        <v>9</v>
      </c>
      <c r="B11" s="1">
        <f>Assumptions!$C$20</f>
        <v>1028741617.1857181</v>
      </c>
      <c r="C11" s="1">
        <f ca="1">'Debt worksheet'!D5</f>
        <v>1139036803.0681634</v>
      </c>
      <c r="D11" s="1">
        <f ca="1">'Debt worksheet'!E5</f>
        <v>1166937362.5488305</v>
      </c>
      <c r="E11" s="1">
        <f ca="1">'Debt worksheet'!F5</f>
        <v>1197782386.635967</v>
      </c>
      <c r="F11" s="1">
        <f ca="1">'Debt worksheet'!G5</f>
        <v>1234012324.9422812</v>
      </c>
      <c r="G11" s="1">
        <f ca="1">'Debt worksheet'!H5</f>
        <v>1273382689.6057746</v>
      </c>
      <c r="H11" s="1">
        <f ca="1">'Debt worksheet'!I5</f>
        <v>1315782349.4454584</v>
      </c>
      <c r="I11" s="1">
        <f ca="1">'Debt worksheet'!J5</f>
        <v>1361075801.1320193</v>
      </c>
      <c r="J11" s="1">
        <f ca="1">'Debt worksheet'!K5</f>
        <v>1409101066.1062114</v>
      </c>
      <c r="K11" s="1">
        <f ca="1">'Debt worksheet'!L5</f>
        <v>1459667447.0002251</v>
      </c>
      <c r="L11" s="1">
        <f ca="1">'Debt worksheet'!M5</f>
        <v>1514367033.4663363</v>
      </c>
      <c r="M11" s="1">
        <f ca="1">'Debt worksheet'!N5</f>
        <v>1573206977.6866875</v>
      </c>
      <c r="N11" s="1">
        <f ca="1">'Debt worksheet'!O5</f>
        <v>1636176570.787179</v>
      </c>
      <c r="O11" s="1">
        <f ca="1">'Debt worksheet'!P5</f>
        <v>1703245360.5546179</v>
      </c>
      <c r="P11" s="1">
        <f ca="1">'Debt worksheet'!Q5</f>
        <v>1774361131.2957253</v>
      </c>
      <c r="Q11" s="1">
        <f ca="1">'Debt worksheet'!R5</f>
        <v>1849952669.5461133</v>
      </c>
      <c r="R11" s="1">
        <f ca="1">'Debt worksheet'!S5</f>
        <v>1929989897.605911</v>
      </c>
      <c r="S11" s="1">
        <f ca="1">'Debt worksheet'!T5</f>
        <v>2014419435.9371505</v>
      </c>
      <c r="T11" s="1">
        <f ca="1">'Debt worksheet'!U5</f>
        <v>2103162255.4758413</v>
      </c>
      <c r="U11" s="1">
        <f ca="1">'Debt worksheet'!V5</f>
        <v>2196111159.8840332</v>
      </c>
      <c r="V11" s="1">
        <f ca="1">'Debt worksheet'!W5</f>
        <v>2294410212.6463575</v>
      </c>
      <c r="W11" s="1">
        <f ca="1">'Debt worksheet'!X5</f>
        <v>2398068050.2954912</v>
      </c>
      <c r="X11" s="1">
        <f ca="1">'Debt worksheet'!Y5</f>
        <v>2507070408.502809</v>
      </c>
      <c r="Y11" s="1">
        <f ca="1">'Debt worksheet'!Z5</f>
        <v>2621377646.8246746</v>
      </c>
      <c r="Z11" s="1">
        <f ca="1">'Debt worksheet'!AA5</f>
        <v>2740922087.7097321</v>
      </c>
      <c r="AA11" s="1">
        <f ca="1">'Debt worksheet'!AB5</f>
        <v>2865605157.9421992</v>
      </c>
      <c r="AB11" s="1">
        <f ca="1">'Debt worksheet'!AC5</f>
        <v>3012025879.6238728</v>
      </c>
      <c r="AC11" s="1">
        <f ca="1">'Debt worksheet'!AD5</f>
        <v>3181897436.8249068</v>
      </c>
      <c r="AD11" s="1">
        <f ca="1">'Debt worksheet'!AE5</f>
        <v>3377034241.9499497</v>
      </c>
      <c r="AE11" s="1">
        <f ca="1">'Debt worksheet'!AF5</f>
        <v>3599357126.8515348</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73065664.553804547</v>
      </c>
      <c r="D5" s="4">
        <f ca="1">'Profit and Loss'!D9</f>
        <v>161327838.1695427</v>
      </c>
      <c r="E5" s="4">
        <f ca="1">'Profit and Loss'!E9</f>
        <v>164438682.28788006</v>
      </c>
      <c r="F5" s="4">
        <f ca="1">'Profit and Loss'!F9</f>
        <v>165302846.67270297</v>
      </c>
      <c r="G5" s="4">
        <f ca="1">'Profit and Loss'!G9</f>
        <v>167217738.93441162</v>
      </c>
      <c r="H5" s="4">
        <f ca="1">'Profit and Loss'!H9</f>
        <v>169370571.75128159</v>
      </c>
      <c r="I5" s="4">
        <f ca="1">'Profit and Loss'!I9</f>
        <v>171788898.20217663</v>
      </c>
      <c r="J5" s="4">
        <f ca="1">'Profit and Loss'!J9</f>
        <v>174502454.23913801</v>
      </c>
      <c r="K5" s="4">
        <f ca="1">'Profit and Loss'!K9</f>
        <v>177543301.18592852</v>
      </c>
      <c r="L5" s="4">
        <f ca="1">'Profit and Loss'!L9</f>
        <v>180062156.36448106</v>
      </c>
      <c r="M5" s="4">
        <f ca="1">'Profit and Loss'!M9</f>
        <v>182767844.60442311</v>
      </c>
      <c r="N5" s="4">
        <f ca="1">'Profit and Loss'!N9</f>
        <v>185683883.89691085</v>
      </c>
      <c r="O5" s="4">
        <f ca="1">'Profit and Loss'!O9</f>
        <v>188835839.48165697</v>
      </c>
      <c r="P5" s="4">
        <f ca="1">'Profit and Loss'!P9</f>
        <v>192251466.51574922</v>
      </c>
      <c r="Q5" s="4">
        <f ca="1">'Profit and Loss'!Q9</f>
        <v>195699096.28060055</v>
      </c>
      <c r="R5" s="4">
        <f ca="1">'Profit and Loss'!R9</f>
        <v>199415178.97003776</v>
      </c>
      <c r="S5" s="4">
        <f ca="1">'Profit and Loss'!S9</f>
        <v>203430187.93531007</v>
      </c>
      <c r="T5" s="4">
        <f ca="1">'Profit and Loss'!T9</f>
        <v>207777159.97039938</v>
      </c>
      <c r="U5" s="4">
        <f ca="1">'Profit and Loss'!U9</f>
        <v>212491871.86301267</v>
      </c>
      <c r="V5" s="4">
        <f ca="1">'Profit and Loss'!V9</f>
        <v>216915828.34955847</v>
      </c>
      <c r="W5" s="4">
        <f ca="1">'Profit and Loss'!W9</f>
        <v>221643919.65832961</v>
      </c>
      <c r="X5" s="4">
        <f ca="1">'Profit and Loss'!X9</f>
        <v>226709055.33398423</v>
      </c>
      <c r="Y5" s="4">
        <f ca="1">'Profit and Loss'!Y9</f>
        <v>232146940.45275801</v>
      </c>
      <c r="Z5" s="4">
        <f ca="1">'Profit and Loss'!Z9</f>
        <v>237996271.61035377</v>
      </c>
      <c r="AA5" s="4">
        <f ca="1">'Profit and Loss'!AA9</f>
        <v>244298945.06279737</v>
      </c>
      <c r="AB5" s="4">
        <f ca="1">'Profit and Loss'!AB9</f>
        <v>234368718.10303944</v>
      </c>
      <c r="AC5" s="4">
        <f ca="1">'Profit and Loss'!AC9</f>
        <v>223103144.65678978</v>
      </c>
      <c r="AD5" s="4">
        <f ca="1">'Profit and Loss'!AD9</f>
        <v>210413087.19223118</v>
      </c>
      <c r="AE5" s="4">
        <f ca="1">'Profit and Loss'!AE9</f>
        <v>196204603.9698422</v>
      </c>
      <c r="AF5" s="4">
        <f ca="1">'Profit and Loss'!AF9</f>
        <v>180378716.28068981</v>
      </c>
      <c r="AG5" s="4"/>
      <c r="AH5" s="4"/>
      <c r="AI5" s="4"/>
      <c r="AJ5" s="4"/>
      <c r="AK5" s="4"/>
      <c r="AL5" s="4"/>
      <c r="AM5" s="4"/>
      <c r="AN5" s="4"/>
      <c r="AO5" s="4"/>
      <c r="AP5" s="4"/>
    </row>
    <row r="6" spans="1:42" x14ac:dyDescent="0.35">
      <c r="A6" t="s">
        <v>21</v>
      </c>
      <c r="C6" s="4">
        <f>Depreciation!C8+Depreciation!C9</f>
        <v>134962707.42959955</v>
      </c>
      <c r="D6" s="4">
        <f>Depreciation!D8+Depreciation!D9</f>
        <v>143822995.61095178</v>
      </c>
      <c r="E6" s="4">
        <f>Depreciation!E8+Depreciation!E9</f>
        <v>153112140.42350259</v>
      </c>
      <c r="F6" s="4">
        <f>Depreciation!F8+Depreciation!F9</f>
        <v>162848515.75655112</v>
      </c>
      <c r="G6" s="4">
        <f>Depreciation!G8+Depreciation!G9</f>
        <v>173017782.74711049</v>
      </c>
      <c r="H6" s="4">
        <f>Depreciation!H8+Depreciation!H9</f>
        <v>183636837.35320118</v>
      </c>
      <c r="I6" s="4">
        <f>Depreciation!I8+Depreciation!I9</f>
        <v>194723192.54583329</v>
      </c>
      <c r="J6" s="4">
        <f>Depreciation!J8+Depreciation!J9</f>
        <v>206294999.96841988</v>
      </c>
      <c r="K6" s="4">
        <f>Depreciation!K8+Depreciation!K9</f>
        <v>218371072.33732799</v>
      </c>
      <c r="L6" s="4">
        <f>Depreciation!L8+Depreciation!L9</f>
        <v>230993228.48005664</v>
      </c>
      <c r="M6" s="4">
        <f>Depreciation!M8+Depreciation!M9</f>
        <v>244183598.72321302</v>
      </c>
      <c r="N6" s="4">
        <f>Depreciation!N8+Depreciation!N9</f>
        <v>257965157.33029354</v>
      </c>
      <c r="O6" s="4">
        <f>Depreciation!O8+Depreciation!O9</f>
        <v>272361753.46684122</v>
      </c>
      <c r="P6" s="4">
        <f>Depreciation!P8+Depreciation!P9</f>
        <v>287398143.27194464</v>
      </c>
      <c r="Q6" s="4">
        <f>Depreciation!Q8+Depreciation!Q9</f>
        <v>303105859.08539057</v>
      </c>
      <c r="R6" s="4">
        <f>Depreciation!R8+Depreciation!R9</f>
        <v>319512104.34483922</v>
      </c>
      <c r="S6" s="4">
        <f>Depreciation!S8+Depreciation!S9</f>
        <v>336645125.11427128</v>
      </c>
      <c r="T6" s="4">
        <f>Depreciation!T8+Depreciation!T9</f>
        <v>354534248.62614608</v>
      </c>
      <c r="U6" s="4">
        <f>Depreciation!U8+Depreciation!U9</f>
        <v>373209923.21269166</v>
      </c>
      <c r="V6" s="4">
        <f>Depreciation!V8+Depreciation!V9</f>
        <v>392717797.90218294</v>
      </c>
      <c r="W6" s="4">
        <f>Depreciation!W8+Depreciation!W9</f>
        <v>413092009.61043197</v>
      </c>
      <c r="X6" s="4">
        <f>Depreciation!X8+Depreciation!X9</f>
        <v>434368027.84295696</v>
      </c>
      <c r="Y6" s="4">
        <f>Depreciation!Y8+Depreciation!Y9</f>
        <v>456582705.02452254</v>
      </c>
      <c r="Z6" s="4">
        <f>Depreciation!Z8+Depreciation!Z9</f>
        <v>479774328.68519711</v>
      </c>
      <c r="AA6" s="4">
        <f>Depreciation!AA8+Depreciation!AA9</f>
        <v>503982675.57020992</v>
      </c>
      <c r="AB6" s="4">
        <f>Depreciation!AB8+Depreciation!AB9</f>
        <v>529249067.74328965</v>
      </c>
      <c r="AC6" s="4">
        <f>Depreciation!AC8+Depreciation!AC9</f>
        <v>555616430.75566268</v>
      </c>
      <c r="AD6" s="4">
        <f>Depreciation!AD8+Depreciation!AD9</f>
        <v>583129353.95545852</v>
      </c>
      <c r="AE6" s="4">
        <f>Depreciation!AE8+Depreciation!AE9</f>
        <v>611834153.01494741</v>
      </c>
      <c r="AF6" s="4">
        <f>Depreciation!AF8+Depreciation!AF9</f>
        <v>641778934.75579309</v>
      </c>
      <c r="AG6" s="4"/>
      <c r="AH6" s="4"/>
      <c r="AI6" s="4"/>
      <c r="AJ6" s="4"/>
      <c r="AK6" s="4"/>
      <c r="AL6" s="4"/>
      <c r="AM6" s="4"/>
      <c r="AN6" s="4"/>
      <c r="AO6" s="4"/>
      <c r="AP6" s="4"/>
    </row>
    <row r="7" spans="1:42" x14ac:dyDescent="0.35">
      <c r="A7" t="s">
        <v>23</v>
      </c>
      <c r="C7" s="4">
        <f ca="1">C6+C5</f>
        <v>208028371.9834041</v>
      </c>
      <c r="D7" s="4">
        <f ca="1">D6+D5</f>
        <v>305150833.78049445</v>
      </c>
      <c r="E7" s="4">
        <f t="shared" ref="E7:AF7" ca="1" si="1">E6+E5</f>
        <v>317550822.71138263</v>
      </c>
      <c r="F7" s="4">
        <f t="shared" ca="1" si="1"/>
        <v>328151362.42925406</v>
      </c>
      <c r="G7" s="4">
        <f ca="1">G6+G5</f>
        <v>340235521.68152213</v>
      </c>
      <c r="H7" s="4">
        <f t="shared" ca="1" si="1"/>
        <v>353007409.10448277</v>
      </c>
      <c r="I7" s="4">
        <f t="shared" ca="1" si="1"/>
        <v>366512090.74800992</v>
      </c>
      <c r="J7" s="4">
        <f t="shared" ca="1" si="1"/>
        <v>380797454.20755792</v>
      </c>
      <c r="K7" s="4">
        <f t="shared" ca="1" si="1"/>
        <v>395914373.52325654</v>
      </c>
      <c r="L7" s="4">
        <f t="shared" ca="1" si="1"/>
        <v>411055384.84453773</v>
      </c>
      <c r="M7" s="4">
        <f t="shared" ca="1" si="1"/>
        <v>426951443.32763612</v>
      </c>
      <c r="N7" s="4">
        <f t="shared" ca="1" si="1"/>
        <v>443649041.22720438</v>
      </c>
      <c r="O7" s="4">
        <f t="shared" ca="1" si="1"/>
        <v>461197592.94849819</v>
      </c>
      <c r="P7" s="4">
        <f t="shared" ca="1" si="1"/>
        <v>479649609.78769386</v>
      </c>
      <c r="Q7" s="4">
        <f t="shared" ca="1" si="1"/>
        <v>498804955.36599112</v>
      </c>
      <c r="R7" s="4">
        <f t="shared" ca="1" si="1"/>
        <v>518927283.31487697</v>
      </c>
      <c r="S7" s="4">
        <f t="shared" ca="1" si="1"/>
        <v>540075313.04958129</v>
      </c>
      <c r="T7" s="4">
        <f t="shared" ca="1" si="1"/>
        <v>562311408.59654546</v>
      </c>
      <c r="U7" s="4">
        <f t="shared" ca="1" si="1"/>
        <v>585701795.07570434</v>
      </c>
      <c r="V7" s="4">
        <f t="shared" ca="1" si="1"/>
        <v>609633626.25174141</v>
      </c>
      <c r="W7" s="4">
        <f t="shared" ca="1" si="1"/>
        <v>634735929.26876163</v>
      </c>
      <c r="X7" s="4">
        <f t="shared" ca="1" si="1"/>
        <v>661077083.17694116</v>
      </c>
      <c r="Y7" s="4">
        <f t="shared" ca="1" si="1"/>
        <v>688729645.47728062</v>
      </c>
      <c r="Z7" s="4">
        <f t="shared" ca="1" si="1"/>
        <v>717770600.29555082</v>
      </c>
      <c r="AA7" s="4">
        <f t="shared" ca="1" si="1"/>
        <v>748281620.63300729</v>
      </c>
      <c r="AB7" s="4">
        <f t="shared" ca="1" si="1"/>
        <v>763617785.84632909</v>
      </c>
      <c r="AC7" s="4">
        <f t="shared" ca="1" si="1"/>
        <v>778719575.41245246</v>
      </c>
      <c r="AD7" s="4">
        <f t="shared" ca="1" si="1"/>
        <v>793542441.1476897</v>
      </c>
      <c r="AE7" s="4">
        <f t="shared" ca="1" si="1"/>
        <v>808038756.98478961</v>
      </c>
      <c r="AF7" s="4">
        <f t="shared" ca="1" si="1"/>
        <v>822157651.03648293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318323557.86584944</v>
      </c>
      <c r="D10" s="9">
        <f>Investment!D25</f>
        <v>333051393.26116163</v>
      </c>
      <c r="E10" s="9">
        <f>Investment!E25</f>
        <v>348395846.79851919</v>
      </c>
      <c r="F10" s="9">
        <f>Investment!F25</f>
        <v>364381300.73556817</v>
      </c>
      <c r="G10" s="9">
        <f>Investment!G25</f>
        <v>379605886.34501547</v>
      </c>
      <c r="H10" s="9">
        <f>Investment!H25</f>
        <v>395407068.94416666</v>
      </c>
      <c r="I10" s="9">
        <f>Investment!I25</f>
        <v>411805542.43457079</v>
      </c>
      <c r="J10" s="9">
        <f>Investment!J25</f>
        <v>428822719.18175</v>
      </c>
      <c r="K10" s="9">
        <f>Investment!K25</f>
        <v>446480754.41727018</v>
      </c>
      <c r="L10" s="9">
        <f>Investment!L25</f>
        <v>465754971.3106488</v>
      </c>
      <c r="M10" s="9">
        <f>Investment!M25</f>
        <v>485791387.54798734</v>
      </c>
      <c r="N10" s="9">
        <f>Investment!N25</f>
        <v>506618634.32769597</v>
      </c>
      <c r="O10" s="9">
        <f>Investment!O25</f>
        <v>528266382.71593714</v>
      </c>
      <c r="P10" s="9">
        <f>Investment!P25</f>
        <v>550765380.52880132</v>
      </c>
      <c r="Q10" s="9">
        <f>Investment!Q25</f>
        <v>574396493.61637902</v>
      </c>
      <c r="R10" s="9">
        <f>Investment!R25</f>
        <v>598964511.37467468</v>
      </c>
      <c r="S10" s="9">
        <f>Investment!S25</f>
        <v>624504851.38082063</v>
      </c>
      <c r="T10" s="9">
        <f>Investment!T25</f>
        <v>651054228.13523626</v>
      </c>
      <c r="U10" s="9">
        <f>Investment!U25</f>
        <v>678650699.48389602</v>
      </c>
      <c r="V10" s="9">
        <f>Investment!V25</f>
        <v>707932679.01406574</v>
      </c>
      <c r="W10" s="9">
        <f>Investment!W25</f>
        <v>738393766.91789508</v>
      </c>
      <c r="X10" s="9">
        <f>Investment!X25</f>
        <v>770079441.38425899</v>
      </c>
      <c r="Y10" s="9">
        <f>Investment!Y25</f>
        <v>803036883.79914594</v>
      </c>
      <c r="Z10" s="9">
        <f>Investment!Z25</f>
        <v>837315041.18060851</v>
      </c>
      <c r="AA10" s="9">
        <f>Investment!AA25</f>
        <v>872964690.86547458</v>
      </c>
      <c r="AB10" s="9">
        <f>Investment!AB25</f>
        <v>910038507.52800274</v>
      </c>
      <c r="AC10" s="9">
        <f>Investment!AC25</f>
        <v>948591132.61348653</v>
      </c>
      <c r="AD10" s="9">
        <f>Investment!AD25</f>
        <v>988679246.27273273</v>
      </c>
      <c r="AE10" s="9">
        <f>Investment!AE25</f>
        <v>1030361641.8863745</v>
      </c>
      <c r="AF10" s="9">
        <f>Investment!AF25</f>
        <v>1073699303.271106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-110295185.88244534</v>
      </c>
      <c r="D12" s="1">
        <f t="shared" ref="D12:AF12" ca="1" si="2">D7-D9-D10</f>
        <v>-27900559.480667174</v>
      </c>
      <c r="E12" s="1">
        <f ca="1">E7-E9-E10</f>
        <v>-30845024.087136567</v>
      </c>
      <c r="F12" s="1">
        <f t="shared" ca="1" si="2"/>
        <v>-36229938.306314111</v>
      </c>
      <c r="G12" s="1">
        <f ca="1">G7-G9-G10</f>
        <v>-39370364.663493335</v>
      </c>
      <c r="H12" s="1">
        <f t="shared" ca="1" si="2"/>
        <v>-42399659.83968389</v>
      </c>
      <c r="I12" s="1">
        <f t="shared" ca="1" si="2"/>
        <v>-45293451.686560869</v>
      </c>
      <c r="J12" s="1">
        <f t="shared" ca="1" si="2"/>
        <v>-48025264.974192083</v>
      </c>
      <c r="K12" s="1">
        <f t="shared" ca="1" si="2"/>
        <v>-50566380.894013643</v>
      </c>
      <c r="L12" s="1">
        <f t="shared" ca="1" si="2"/>
        <v>-54699586.466111064</v>
      </c>
      <c r="M12" s="1">
        <f t="shared" ca="1" si="2"/>
        <v>-58839944.220351219</v>
      </c>
      <c r="N12" s="1">
        <f t="shared" ca="1" si="2"/>
        <v>-62969593.100491583</v>
      </c>
      <c r="O12" s="1">
        <f t="shared" ca="1" si="2"/>
        <v>-67068789.767438948</v>
      </c>
      <c r="P12" s="1">
        <f t="shared" ca="1" si="2"/>
        <v>-71115770.741107464</v>
      </c>
      <c r="Q12" s="1">
        <f t="shared" ca="1" si="2"/>
        <v>-75591538.250387907</v>
      </c>
      <c r="R12" s="1">
        <f t="shared" ca="1" si="2"/>
        <v>-80037228.059797704</v>
      </c>
      <c r="S12" s="1">
        <f t="shared" ca="1" si="2"/>
        <v>-84429538.331239343</v>
      </c>
      <c r="T12" s="1">
        <f t="shared" ca="1" si="2"/>
        <v>-88742819.538690805</v>
      </c>
      <c r="U12" s="1">
        <f t="shared" ca="1" si="2"/>
        <v>-92948904.408191681</v>
      </c>
      <c r="V12" s="1">
        <f t="shared" ca="1" si="2"/>
        <v>-98299052.762324333</v>
      </c>
      <c r="W12" s="1">
        <f t="shared" ca="1" si="2"/>
        <v>-103657837.64913344</v>
      </c>
      <c r="X12" s="1">
        <f t="shared" ca="1" si="2"/>
        <v>-109002358.20731783</v>
      </c>
      <c r="Y12" s="1">
        <f t="shared" ca="1" si="2"/>
        <v>-114307238.32186532</v>
      </c>
      <c r="Z12" s="1">
        <f t="shared" ca="1" si="2"/>
        <v>-119544440.88505769</v>
      </c>
      <c r="AA12" s="1">
        <f t="shared" ca="1" si="2"/>
        <v>-124683070.23246729</v>
      </c>
      <c r="AB12" s="1">
        <f t="shared" ca="1" si="2"/>
        <v>-146420721.68167365</v>
      </c>
      <c r="AC12" s="1">
        <f t="shared" ca="1" si="2"/>
        <v>-169871557.20103407</v>
      </c>
      <c r="AD12" s="1">
        <f t="shared" ca="1" si="2"/>
        <v>-195136805.12504303</v>
      </c>
      <c r="AE12" s="1">
        <f t="shared" ca="1" si="2"/>
        <v>-222322884.90158486</v>
      </c>
      <c r="AF12" s="1">
        <f t="shared" ca="1" si="2"/>
        <v>-251541652.23462307</v>
      </c>
      <c r="AG12" s="1"/>
      <c r="AH12" s="1"/>
      <c r="AI12" s="1"/>
      <c r="AJ12" s="1"/>
      <c r="AK12" s="1"/>
      <c r="AL12" s="1"/>
      <c r="AM12" s="1"/>
      <c r="AN12" s="1"/>
      <c r="AO12" s="1"/>
      <c r="AP12" s="1"/>
    </row>
    <row r="13" spans="1:42" x14ac:dyDescent="0.35">
      <c r="A13" t="s">
        <v>19</v>
      </c>
      <c r="C13" s="1">
        <f ca="1">C12</f>
        <v>-110295185.88244534</v>
      </c>
      <c r="D13" s="1">
        <f ca="1">D12</f>
        <v>-27900559.480667174</v>
      </c>
      <c r="E13" s="1">
        <f ca="1">E12</f>
        <v>-30845024.087136567</v>
      </c>
      <c r="F13" s="1">
        <f t="shared" ref="F13:AF13" ca="1" si="3">F12</f>
        <v>-36229938.306314111</v>
      </c>
      <c r="G13" s="1">
        <f ca="1">G12</f>
        <v>-39370364.663493335</v>
      </c>
      <c r="H13" s="1">
        <f t="shared" ca="1" si="3"/>
        <v>-42399659.83968389</v>
      </c>
      <c r="I13" s="1">
        <f t="shared" ca="1" si="3"/>
        <v>-45293451.686560869</v>
      </c>
      <c r="J13" s="1">
        <f t="shared" ca="1" si="3"/>
        <v>-48025264.974192083</v>
      </c>
      <c r="K13" s="1">
        <f t="shared" ca="1" si="3"/>
        <v>-50566380.894013643</v>
      </c>
      <c r="L13" s="1">
        <f t="shared" ca="1" si="3"/>
        <v>-54699586.466111064</v>
      </c>
      <c r="M13" s="1">
        <f t="shared" ca="1" si="3"/>
        <v>-58839944.220351219</v>
      </c>
      <c r="N13" s="1">
        <f t="shared" ca="1" si="3"/>
        <v>-62969593.100491583</v>
      </c>
      <c r="O13" s="1">
        <f t="shared" ca="1" si="3"/>
        <v>-67068789.767438948</v>
      </c>
      <c r="P13" s="1">
        <f t="shared" ca="1" si="3"/>
        <v>-71115770.741107464</v>
      </c>
      <c r="Q13" s="1">
        <f t="shared" ca="1" si="3"/>
        <v>-75591538.250387907</v>
      </c>
      <c r="R13" s="1">
        <f t="shared" ca="1" si="3"/>
        <v>-80037228.059797704</v>
      </c>
      <c r="S13" s="1">
        <f t="shared" ca="1" si="3"/>
        <v>-84429538.331239343</v>
      </c>
      <c r="T13" s="1">
        <f t="shared" ca="1" si="3"/>
        <v>-88742819.538690805</v>
      </c>
      <c r="U13" s="1">
        <f t="shared" ca="1" si="3"/>
        <v>-92948904.408191681</v>
      </c>
      <c r="V13" s="1">
        <f t="shared" ca="1" si="3"/>
        <v>-98299052.762324333</v>
      </c>
      <c r="W13" s="1">
        <f t="shared" ca="1" si="3"/>
        <v>-103657837.64913344</v>
      </c>
      <c r="X13" s="1">
        <f t="shared" ca="1" si="3"/>
        <v>-109002358.20731783</v>
      </c>
      <c r="Y13" s="1">
        <f t="shared" ca="1" si="3"/>
        <v>-114307238.32186532</v>
      </c>
      <c r="Z13" s="1">
        <f t="shared" ca="1" si="3"/>
        <v>-119544440.88505769</v>
      </c>
      <c r="AA13" s="1">
        <f t="shared" ca="1" si="3"/>
        <v>-124683070.23246729</v>
      </c>
      <c r="AB13" s="1">
        <f t="shared" ca="1" si="3"/>
        <v>-146420721.68167365</v>
      </c>
      <c r="AC13" s="1">
        <f t="shared" ca="1" si="3"/>
        <v>-169871557.20103407</v>
      </c>
      <c r="AD13" s="1">
        <f t="shared" ca="1" si="3"/>
        <v>-195136805.12504303</v>
      </c>
      <c r="AE13" s="1">
        <f t="shared" ca="1" si="3"/>
        <v>-222322884.90158486</v>
      </c>
      <c r="AF13" s="1">
        <f t="shared" ca="1" si="3"/>
        <v>-251541652.23462307</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8729683366.875</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4364841683.4375</v>
      </c>
      <c r="D7" s="9">
        <f>C12</f>
        <v>4499804390.8670998</v>
      </c>
      <c r="E7" s="9">
        <f>D12</f>
        <v>4643627386.4780512</v>
      </c>
      <c r="F7" s="9">
        <f t="shared" ref="F7:H7" si="1">E12</f>
        <v>4796739526.9015541</v>
      </c>
      <c r="G7" s="9">
        <f t="shared" si="1"/>
        <v>4959588042.6581049</v>
      </c>
      <c r="H7" s="9">
        <f t="shared" si="1"/>
        <v>5132605825.4052153</v>
      </c>
      <c r="I7" s="9">
        <f t="shared" ref="I7" si="2">H12</f>
        <v>5316242662.7584162</v>
      </c>
      <c r="J7" s="9">
        <f t="shared" ref="J7" si="3">I12</f>
        <v>5510965855.3042498</v>
      </c>
      <c r="K7" s="9">
        <f t="shared" ref="K7" si="4">J12</f>
        <v>5717260855.2726698</v>
      </c>
      <c r="L7" s="9">
        <f t="shared" ref="L7" si="5">K12</f>
        <v>5935631927.6099977</v>
      </c>
      <c r="M7" s="9">
        <f t="shared" ref="M7" si="6">L12</f>
        <v>6166625156.0900545</v>
      </c>
      <c r="N7" s="9">
        <f t="shared" ref="N7" si="7">M12</f>
        <v>6410808754.8132677</v>
      </c>
      <c r="O7" s="9">
        <f t="shared" ref="O7" si="8">N12</f>
        <v>6668773912.1435614</v>
      </c>
      <c r="P7" s="9">
        <f t="shared" ref="P7" si="9">O12</f>
        <v>6941135665.6104031</v>
      </c>
      <c r="Q7" s="9">
        <f t="shared" ref="Q7" si="10">P12</f>
        <v>7228533808.8823471</v>
      </c>
      <c r="R7" s="9">
        <f t="shared" ref="R7" si="11">Q12</f>
        <v>7531639667.9677372</v>
      </c>
      <c r="S7" s="9">
        <f t="shared" ref="S7" si="12">R12</f>
        <v>7851151772.3125763</v>
      </c>
      <c r="T7" s="9">
        <f t="shared" ref="T7" si="13">S12</f>
        <v>8187796897.4268475</v>
      </c>
      <c r="U7" s="9">
        <f t="shared" ref="U7" si="14">T12</f>
        <v>8542331146.0529938</v>
      </c>
      <c r="V7" s="9">
        <f t="shared" ref="V7" si="15">U12</f>
        <v>8915541069.265686</v>
      </c>
      <c r="W7" s="9">
        <f t="shared" ref="W7" si="16">V12</f>
        <v>9308258867.1678696</v>
      </c>
      <c r="X7" s="9">
        <f t="shared" ref="X7" si="17">W12</f>
        <v>9721350876.7783031</v>
      </c>
      <c r="Y7" s="9">
        <f t="shared" ref="Y7" si="18">X12</f>
        <v>10155718904.62126</v>
      </c>
      <c r="Z7" s="9">
        <f t="shared" ref="Z7" si="19">Y12</f>
        <v>10612301609.645782</v>
      </c>
      <c r="AA7" s="9">
        <f t="shared" ref="AA7" si="20">Z12</f>
        <v>11092075938.33098</v>
      </c>
      <c r="AB7" s="9">
        <f t="shared" ref="AB7" si="21">AA12</f>
        <v>11596058613.901192</v>
      </c>
      <c r="AC7" s="9">
        <f t="shared" ref="AC7" si="22">AB12</f>
        <v>12125307681.644482</v>
      </c>
      <c r="AD7" s="9">
        <f t="shared" ref="AD7" si="23">AC12</f>
        <v>12680924112.400145</v>
      </c>
      <c r="AE7" s="9">
        <f t="shared" ref="AE7" si="24">AD12</f>
        <v>13264053466.355602</v>
      </c>
      <c r="AF7" s="9">
        <f t="shared" ref="AF7" si="25">AE12</f>
        <v>13875887619.37055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130562047.01912956</v>
      </c>
      <c r="D8" s="9">
        <f>Assumptions!E111*Assumptions!E11</f>
        <v>134740032.52374169</v>
      </c>
      <c r="E8" s="9">
        <f>Assumptions!F111*Assumptions!F11</f>
        <v>139051713.5645014</v>
      </c>
      <c r="F8" s="9">
        <f>Assumptions!G111*Assumptions!G11</f>
        <v>143501368.39856547</v>
      </c>
      <c r="G8" s="9">
        <f>Assumptions!H111*Assumptions!H11</f>
        <v>148093412.18731958</v>
      </c>
      <c r="H8" s="9">
        <f>Assumptions!I111*Assumptions!I11</f>
        <v>152832401.37731379</v>
      </c>
      <c r="I8" s="9">
        <f>Assumptions!J111*Assumptions!J11</f>
        <v>157723038.2213878</v>
      </c>
      <c r="J8" s="9">
        <f>Assumptions!K111*Assumptions!K11</f>
        <v>162770175.44447222</v>
      </c>
      <c r="K8" s="9">
        <f>Assumptions!L111*Assumptions!L11</f>
        <v>167978821.05869538</v>
      </c>
      <c r="L8" s="9">
        <f>Assumptions!M111*Assumptions!M11</f>
        <v>173354143.33257359</v>
      </c>
      <c r="M8" s="9">
        <f>Assumptions!N111*Assumptions!N11</f>
        <v>178901475.91921595</v>
      </c>
      <c r="N8" s="9">
        <f>Assumptions!O111*Assumptions!O11</f>
        <v>184626323.14863086</v>
      </c>
      <c r="O8" s="9">
        <f>Assumptions!P111*Assumptions!P11</f>
        <v>190534365.48938707</v>
      </c>
      <c r="P8" s="9">
        <f>Assumptions!Q111*Assumptions!Q11</f>
        <v>196631465.18504742</v>
      </c>
      <c r="Q8" s="9">
        <f>Assumptions!R111*Assumptions!R11</f>
        <v>202923672.0709689</v>
      </c>
      <c r="R8" s="9">
        <f>Assumptions!S111*Assumptions!S11</f>
        <v>209417229.57723996</v>
      </c>
      <c r="S8" s="9">
        <f>Assumptions!T111*Assumptions!T11</f>
        <v>216118580.92371166</v>
      </c>
      <c r="T8" s="9">
        <f>Assumptions!U111*Assumptions!U11</f>
        <v>223034375.51327041</v>
      </c>
      <c r="U8" s="9">
        <f>Assumptions!V111*Assumptions!V11</f>
        <v>230171475.52969503</v>
      </c>
      <c r="V8" s="9">
        <f>Assumptions!W111*Assumptions!W11</f>
        <v>237536962.7466453</v>
      </c>
      <c r="W8" s="9">
        <f>Assumptions!X111*Assumptions!X11</f>
        <v>245138145.55453798</v>
      </c>
      <c r="X8" s="9">
        <f>Assumptions!Y111*Assumptions!Y11</f>
        <v>252982566.21228313</v>
      </c>
      <c r="Y8" s="9">
        <f>Assumptions!Z111*Assumptions!Z11</f>
        <v>261078008.33107617</v>
      </c>
      <c r="Z8" s="9">
        <f>Assumptions!AA111*Assumptions!AA11</f>
        <v>269432504.59767061</v>
      </c>
      <c r="AA8" s="9">
        <f>Assumptions!AB111*Assumptions!AB11</f>
        <v>278054344.74479616</v>
      </c>
      <c r="AB8" s="9">
        <f>Assumptions!AC111*Assumptions!AC11</f>
        <v>286952083.77662957</v>
      </c>
      <c r="AC8" s="9">
        <f>Assumptions!AD111*Assumptions!AD11</f>
        <v>296134550.45748168</v>
      </c>
      <c r="AD8" s="9">
        <f>Assumptions!AE111*Assumptions!AE11</f>
        <v>305610856.07212114</v>
      </c>
      <c r="AE8" s="9">
        <f>Assumptions!AF111*Assumptions!AF11</f>
        <v>315390403.466429</v>
      </c>
      <c r="AF8" s="9">
        <f>Assumptions!AG111*Assumptions!AG11</f>
        <v>325482896.37735468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4400660.4104699977</v>
      </c>
      <c r="D9" s="9">
        <f>Assumptions!E120*Assumptions!E11</f>
        <v>9082963.0872100741</v>
      </c>
      <c r="E9" s="9">
        <f>Assumptions!F120*Assumptions!F11</f>
        <v>14060426.859001193</v>
      </c>
      <c r="F9" s="9">
        <f>Assumptions!G120*Assumptions!G11</f>
        <v>19347147.357985646</v>
      </c>
      <c r="G9" s="9">
        <f>Assumptions!H120*Assumptions!H11</f>
        <v>24924370.559790909</v>
      </c>
      <c r="H9" s="9">
        <f>Assumptions!I120*Assumptions!I11</f>
        <v>30804435.975887384</v>
      </c>
      <c r="I9" s="9">
        <f>Assumptions!J120*Assumptions!J11</f>
        <v>37000154.324445471</v>
      </c>
      <c r="J9" s="9">
        <f>Assumptions!K120*Assumptions!K11</f>
        <v>43524824.523947656</v>
      </c>
      <c r="K9" s="9">
        <f>Assumptions!L120*Assumptions!L11</f>
        <v>50392251.278632604</v>
      </c>
      <c r="L9" s="9">
        <f>Assumptions!M120*Assumptions!M11</f>
        <v>57639085.147483051</v>
      </c>
      <c r="M9" s="9">
        <f>Assumptions!N120*Assumptions!N11</f>
        <v>65282122.803997084</v>
      </c>
      <c r="N9" s="9">
        <f>Assumptions!O120*Assumptions!O11</f>
        <v>73338834.181662664</v>
      </c>
      <c r="O9" s="9">
        <f>Assumptions!P120*Assumptions!P11</f>
        <v>81827387.977454171</v>
      </c>
      <c r="P9" s="9">
        <f>Assumptions!Q120*Assumptions!Q11</f>
        <v>90766678.086897254</v>
      </c>
      <c r="Q9" s="9">
        <f>Assumptions!R120*Assumptions!R11</f>
        <v>100182187.01442169</v>
      </c>
      <c r="R9" s="9">
        <f>Assumptions!S120*Assumptions!S11</f>
        <v>110094874.76759924</v>
      </c>
      <c r="S9" s="9">
        <f>Assumptions!T120*Assumptions!T11</f>
        <v>120526544.19055963</v>
      </c>
      <c r="T9" s="9">
        <f>Assumptions!U120*Assumptions!U11</f>
        <v>131499873.11287569</v>
      </c>
      <c r="U9" s="9">
        <f>Assumptions!V120*Assumptions!V11</f>
        <v>143038447.6829966</v>
      </c>
      <c r="V9" s="9">
        <f>Assumptions!W120*Assumptions!W11</f>
        <v>155180835.15553766</v>
      </c>
      <c r="W9" s="9">
        <f>Assumptions!X120*Assumptions!X11</f>
        <v>167953864.05589399</v>
      </c>
      <c r="X9" s="9">
        <f>Assumptions!Y120*Assumptions!Y11</f>
        <v>181385461.63067383</v>
      </c>
      <c r="Y9" s="9">
        <f>Assumptions!Z120*Assumptions!Z11</f>
        <v>195504696.69344634</v>
      </c>
      <c r="Z9" s="9">
        <f>Assumptions!AA120*Assumptions!AA11</f>
        <v>210341824.0875265</v>
      </c>
      <c r="AA9" s="9">
        <f>Assumptions!AB120*Assumptions!AB11</f>
        <v>225928330.82541376</v>
      </c>
      <c r="AB9" s="9">
        <f>Assumptions!AC120*Assumptions!AC11</f>
        <v>242296983.96666008</v>
      </c>
      <c r="AC9" s="9">
        <f>Assumptions!AD120*Assumptions!AD11</f>
        <v>259481880.29818097</v>
      </c>
      <c r="AD9" s="9">
        <f>Assumptions!AE120*Assumptions!AE11</f>
        <v>277518497.88333738</v>
      </c>
      <c r="AE9" s="9">
        <f>Assumptions!AF120*Assumptions!AF11</f>
        <v>296443749.54851842</v>
      </c>
      <c r="AF9" s="9">
        <f>Assumptions!AG120*Assumptions!AG11</f>
        <v>316296038.37843847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134962707.42959955</v>
      </c>
      <c r="D10" s="9">
        <f>SUM($C$8:D9)</f>
        <v>278785703.0405513</v>
      </c>
      <c r="E10" s="9">
        <f>SUM($C$8:E9)</f>
        <v>431897843.46405393</v>
      </c>
      <c r="F10" s="9">
        <f>SUM($C$8:F9)</f>
        <v>594746359.2206049</v>
      </c>
      <c r="G10" s="9">
        <f>SUM($C$8:G9)</f>
        <v>767764141.96771526</v>
      </c>
      <c r="H10" s="9">
        <f>SUM($C$8:H9)</f>
        <v>951400979.32091653</v>
      </c>
      <c r="I10" s="9">
        <f>SUM($C$8:I9)</f>
        <v>1146124171.8667498</v>
      </c>
      <c r="J10" s="9">
        <f>SUM($C$8:J9)</f>
        <v>1352419171.83517</v>
      </c>
      <c r="K10" s="9">
        <f>SUM($C$8:K9)</f>
        <v>1570790244.172498</v>
      </c>
      <c r="L10" s="9">
        <f>SUM($C$8:L9)</f>
        <v>1801783472.6525548</v>
      </c>
      <c r="M10" s="9">
        <f>SUM($C$8:M9)</f>
        <v>2045967071.3757677</v>
      </c>
      <c r="N10" s="9">
        <f>SUM($C$8:N9)</f>
        <v>2303932228.7060609</v>
      </c>
      <c r="O10" s="9">
        <f>SUM($C$8:O9)</f>
        <v>2576293982.1729021</v>
      </c>
      <c r="P10" s="9">
        <f>SUM($C$8:P9)</f>
        <v>2863692125.4448466</v>
      </c>
      <c r="Q10" s="9">
        <f>SUM($C$8:Q9)</f>
        <v>3166797984.5302372</v>
      </c>
      <c r="R10" s="9">
        <f>SUM($C$8:R9)</f>
        <v>3486310088.8750763</v>
      </c>
      <c r="S10" s="9">
        <f>SUM($C$8:S9)</f>
        <v>3822955213.9893475</v>
      </c>
      <c r="T10" s="9">
        <f>SUM($C$8:T9)</f>
        <v>4177489462.6154933</v>
      </c>
      <c r="U10" s="9">
        <f>SUM($C$8:U9)</f>
        <v>4550699385.828186</v>
      </c>
      <c r="V10" s="9">
        <f>SUM($C$8:V9)</f>
        <v>4943417183.7303686</v>
      </c>
      <c r="W10" s="9">
        <f>SUM($C$8:W9)</f>
        <v>5356509193.3407993</v>
      </c>
      <c r="X10" s="9">
        <f>SUM($C$8:X9)</f>
        <v>5790877221.1837559</v>
      </c>
      <c r="Y10" s="9">
        <f>SUM($C$8:Y9)</f>
        <v>6247459926.2082777</v>
      </c>
      <c r="Z10" s="9">
        <f>SUM($C$8:Z9)</f>
        <v>6727234254.8934746</v>
      </c>
      <c r="AA10" s="9">
        <f>SUM($C$8:AA9)</f>
        <v>7231216930.4636841</v>
      </c>
      <c r="AB10" s="9">
        <f>SUM($C$8:AB9)</f>
        <v>7760465998.206974</v>
      </c>
      <c r="AC10" s="9">
        <f>SUM($C$8:AC9)</f>
        <v>8316082428.962636</v>
      </c>
      <c r="AD10" s="9">
        <f>SUM($C$8:AD9)</f>
        <v>8899211782.9180946</v>
      </c>
      <c r="AE10" s="9">
        <f>SUM($C$8:AE9)</f>
        <v>9511045935.9330425</v>
      </c>
      <c r="AF10" s="9">
        <f>SUM($C$8:AF9)</f>
        <v>10152824870.688837</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4499804390.8670998</v>
      </c>
      <c r="D12" s="9">
        <f>D7+D8+D9</f>
        <v>4643627386.4780512</v>
      </c>
      <c r="E12" s="9">
        <f>E7+E8+E9</f>
        <v>4796739526.9015541</v>
      </c>
      <c r="F12" s="9">
        <f t="shared" ref="F12:H12" si="26">F7+F8+F9</f>
        <v>4959588042.6581049</v>
      </c>
      <c r="G12" s="9">
        <f t="shared" si="26"/>
        <v>5132605825.4052153</v>
      </c>
      <c r="H12" s="9">
        <f t="shared" si="26"/>
        <v>5316242662.7584162</v>
      </c>
      <c r="I12" s="9">
        <f t="shared" ref="I12:AF12" si="27">I7+I8+I9</f>
        <v>5510965855.3042498</v>
      </c>
      <c r="J12" s="9">
        <f t="shared" si="27"/>
        <v>5717260855.2726698</v>
      </c>
      <c r="K12" s="9">
        <f t="shared" si="27"/>
        <v>5935631927.6099977</v>
      </c>
      <c r="L12" s="9">
        <f t="shared" si="27"/>
        <v>6166625156.0900545</v>
      </c>
      <c r="M12" s="9">
        <f t="shared" si="27"/>
        <v>6410808754.8132677</v>
      </c>
      <c r="N12" s="9">
        <f t="shared" si="27"/>
        <v>6668773912.1435614</v>
      </c>
      <c r="O12" s="9">
        <f t="shared" si="27"/>
        <v>6941135665.6104031</v>
      </c>
      <c r="P12" s="9">
        <f t="shared" si="27"/>
        <v>7228533808.8823471</v>
      </c>
      <c r="Q12" s="9">
        <f t="shared" si="27"/>
        <v>7531639667.9677372</v>
      </c>
      <c r="R12" s="9">
        <f t="shared" si="27"/>
        <v>7851151772.3125763</v>
      </c>
      <c r="S12" s="9">
        <f t="shared" si="27"/>
        <v>8187796897.4268475</v>
      </c>
      <c r="T12" s="9">
        <f t="shared" si="27"/>
        <v>8542331146.0529938</v>
      </c>
      <c r="U12" s="9">
        <f t="shared" si="27"/>
        <v>8915541069.265686</v>
      </c>
      <c r="V12" s="9">
        <f t="shared" si="27"/>
        <v>9308258867.1678696</v>
      </c>
      <c r="W12" s="9">
        <f t="shared" si="27"/>
        <v>9721350876.7783031</v>
      </c>
      <c r="X12" s="9">
        <f t="shared" si="27"/>
        <v>10155718904.62126</v>
      </c>
      <c r="Y12" s="9">
        <f t="shared" si="27"/>
        <v>10612301609.645782</v>
      </c>
      <c r="Z12" s="9">
        <f t="shared" si="27"/>
        <v>11092075938.33098</v>
      </c>
      <c r="AA12" s="9">
        <f t="shared" si="27"/>
        <v>11596058613.901192</v>
      </c>
      <c r="AB12" s="9">
        <f t="shared" si="27"/>
        <v>12125307681.644482</v>
      </c>
      <c r="AC12" s="9">
        <f t="shared" si="27"/>
        <v>12680924112.400145</v>
      </c>
      <c r="AD12" s="9">
        <f t="shared" si="27"/>
        <v>13264053466.355602</v>
      </c>
      <c r="AE12" s="9">
        <f t="shared" si="27"/>
        <v>13875887619.37055</v>
      </c>
      <c r="AF12" s="9">
        <f t="shared" si="27"/>
        <v>14517666554.126345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318323557.86584944</v>
      </c>
      <c r="D18" s="9">
        <f>Investment!D25</f>
        <v>333051393.26116163</v>
      </c>
      <c r="E18" s="9">
        <f>Investment!E25</f>
        <v>348395846.79851919</v>
      </c>
      <c r="F18" s="9">
        <f>Investment!F25</f>
        <v>364381300.73556817</v>
      </c>
      <c r="G18" s="9">
        <f>Investment!G25</f>
        <v>379605886.34501547</v>
      </c>
      <c r="H18" s="9">
        <f>Investment!H25</f>
        <v>395407068.94416666</v>
      </c>
      <c r="I18" s="9">
        <f>Investment!I25</f>
        <v>411805542.43457079</v>
      </c>
      <c r="J18" s="9">
        <f>Investment!J25</f>
        <v>428822719.18175</v>
      </c>
      <c r="K18" s="9">
        <f>Investment!K25</f>
        <v>446480754.41727018</v>
      </c>
      <c r="L18" s="9">
        <f>Investment!L25</f>
        <v>465754971.3106488</v>
      </c>
      <c r="M18" s="9">
        <f>Investment!M25</f>
        <v>485791387.54798734</v>
      </c>
      <c r="N18" s="9">
        <f>Investment!N25</f>
        <v>506618634.32769597</v>
      </c>
      <c r="O18" s="9">
        <f>Investment!O25</f>
        <v>528266382.71593714</v>
      </c>
      <c r="P18" s="9">
        <f>Investment!P25</f>
        <v>550765380.52880132</v>
      </c>
      <c r="Q18" s="9">
        <f>Investment!Q25</f>
        <v>574396493.61637902</v>
      </c>
      <c r="R18" s="9">
        <f>Investment!R25</f>
        <v>598964511.37467468</v>
      </c>
      <c r="S18" s="9">
        <f>Investment!S25</f>
        <v>624504851.38082063</v>
      </c>
      <c r="T18" s="9">
        <f>Investment!T25</f>
        <v>651054228.13523626</v>
      </c>
      <c r="U18" s="9">
        <f>Investment!U25</f>
        <v>678650699.48389602</v>
      </c>
      <c r="V18" s="9">
        <f>Investment!V25</f>
        <v>707932679.01406574</v>
      </c>
      <c r="W18" s="9">
        <f>Investment!W25</f>
        <v>738393766.91789508</v>
      </c>
      <c r="X18" s="9">
        <f>Investment!X25</f>
        <v>770079441.38425899</v>
      </c>
      <c r="Y18" s="9">
        <f>Investment!Y25</f>
        <v>803036883.79914594</v>
      </c>
      <c r="Z18" s="9">
        <f>Investment!Z25</f>
        <v>837315041.18060851</v>
      </c>
      <c r="AA18" s="9">
        <f>Investment!AA25</f>
        <v>872964690.86547458</v>
      </c>
      <c r="AB18" s="9">
        <f>Investment!AB25</f>
        <v>910038507.52800274</v>
      </c>
      <c r="AC18" s="9">
        <f>Investment!AC25</f>
        <v>948591132.61348653</v>
      </c>
      <c r="AD18" s="9">
        <f>Investment!AD25</f>
        <v>988679246.27273273</v>
      </c>
      <c r="AE18" s="9">
        <f>Investment!AE25</f>
        <v>1030361641.8863745</v>
      </c>
      <c r="AF18" s="9">
        <f>Investment!AF25</f>
        <v>1073699303.271106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4683165241.3033495</v>
      </c>
      <c r="D19" s="9">
        <f>D18+C20</f>
        <v>4881253927.1349115</v>
      </c>
      <c r="E19" s="9">
        <f>E18+D20</f>
        <v>5085826778.3224792</v>
      </c>
      <c r="F19" s="9">
        <f t="shared" ref="F19:AF19" si="28">F18+E20</f>
        <v>5297095938.6345444</v>
      </c>
      <c r="G19" s="9">
        <f t="shared" si="28"/>
        <v>5513853309.2230091</v>
      </c>
      <c r="H19" s="9">
        <f t="shared" si="28"/>
        <v>5736242595.4200649</v>
      </c>
      <c r="I19" s="9">
        <f t="shared" si="28"/>
        <v>5964411300.5014343</v>
      </c>
      <c r="J19" s="9">
        <f t="shared" si="28"/>
        <v>6198510827.137351</v>
      </c>
      <c r="K19" s="9">
        <f t="shared" si="28"/>
        <v>6438696581.5862007</v>
      </c>
      <c r="L19" s="9">
        <f t="shared" si="28"/>
        <v>6686080480.5595217</v>
      </c>
      <c r="M19" s="9">
        <f t="shared" si="28"/>
        <v>6940878639.6274519</v>
      </c>
      <c r="N19" s="9">
        <f t="shared" si="28"/>
        <v>7203313675.2319345</v>
      </c>
      <c r="O19" s="9">
        <f t="shared" si="28"/>
        <v>7473614900.6175785</v>
      </c>
      <c r="P19" s="9">
        <f t="shared" si="28"/>
        <v>7752018527.6795378</v>
      </c>
      <c r="Q19" s="9">
        <f t="shared" si="28"/>
        <v>8039016878.0239725</v>
      </c>
      <c r="R19" s="9">
        <f t="shared" si="28"/>
        <v>8334875530.3132572</v>
      </c>
      <c r="S19" s="9">
        <f t="shared" si="28"/>
        <v>8639868277.3492393</v>
      </c>
      <c r="T19" s="9">
        <f t="shared" si="28"/>
        <v>8954277380.3702049</v>
      </c>
      <c r="U19" s="9">
        <f t="shared" si="28"/>
        <v>9278393831.2279549</v>
      </c>
      <c r="V19" s="9">
        <f t="shared" si="28"/>
        <v>9613116587.0293274</v>
      </c>
      <c r="W19" s="9">
        <f t="shared" si="28"/>
        <v>9958792556.0450382</v>
      </c>
      <c r="X19" s="9">
        <f t="shared" si="28"/>
        <v>10315779987.818863</v>
      </c>
      <c r="Y19" s="9">
        <f t="shared" si="28"/>
        <v>10684448843.775051</v>
      </c>
      <c r="Z19" s="9">
        <f t="shared" si="28"/>
        <v>11065181179.931137</v>
      </c>
      <c r="AA19" s="9">
        <f t="shared" si="28"/>
        <v>11458371542.111414</v>
      </c>
      <c r="AB19" s="9">
        <f t="shared" si="28"/>
        <v>11864427374.069206</v>
      </c>
      <c r="AC19" s="9">
        <f t="shared" si="28"/>
        <v>12283769438.939404</v>
      </c>
      <c r="AD19" s="9">
        <f t="shared" si="28"/>
        <v>12716832254.456474</v>
      </c>
      <c r="AE19" s="9">
        <f t="shared" si="28"/>
        <v>13164064542.38739</v>
      </c>
      <c r="AF19" s="9">
        <f t="shared" si="28"/>
        <v>13625929692.643549</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4548202533.8737497</v>
      </c>
      <c r="D20" s="9">
        <f>D19-D8-D9</f>
        <v>4737430931.5239601</v>
      </c>
      <c r="E20" s="9">
        <f t="shared" ref="E20:AF20" si="29">E19-E8-E9</f>
        <v>4932714637.8989763</v>
      </c>
      <c r="F20" s="9">
        <f t="shared" si="29"/>
        <v>5134247422.8779936</v>
      </c>
      <c r="G20" s="9">
        <f t="shared" si="29"/>
        <v>5340835526.4758987</v>
      </c>
      <c r="H20" s="9">
        <f t="shared" si="29"/>
        <v>5552605758.066864</v>
      </c>
      <c r="I20" s="9">
        <f t="shared" si="29"/>
        <v>5769688107.9556007</v>
      </c>
      <c r="J20" s="9">
        <f t="shared" si="29"/>
        <v>5992215827.168931</v>
      </c>
      <c r="K20" s="9">
        <f t="shared" si="29"/>
        <v>6220325509.2488728</v>
      </c>
      <c r="L20" s="9">
        <f t="shared" si="29"/>
        <v>6455087252.0794649</v>
      </c>
      <c r="M20" s="9">
        <f t="shared" si="29"/>
        <v>6696695040.9042387</v>
      </c>
      <c r="N20" s="9">
        <f t="shared" si="29"/>
        <v>6945348517.9016409</v>
      </c>
      <c r="O20" s="9">
        <f t="shared" si="29"/>
        <v>7201253147.1507368</v>
      </c>
      <c r="P20" s="9">
        <f t="shared" si="29"/>
        <v>7464620384.4075937</v>
      </c>
      <c r="Q20" s="9">
        <f t="shared" si="29"/>
        <v>7735911018.9385824</v>
      </c>
      <c r="R20" s="9">
        <f t="shared" si="29"/>
        <v>8015363425.9684181</v>
      </c>
      <c r="S20" s="9">
        <f t="shared" si="29"/>
        <v>8303223152.2349682</v>
      </c>
      <c r="T20" s="9">
        <f t="shared" si="29"/>
        <v>8599743131.7440586</v>
      </c>
      <c r="U20" s="9">
        <f t="shared" si="29"/>
        <v>8905183908.0152626</v>
      </c>
      <c r="V20" s="9">
        <f t="shared" si="29"/>
        <v>9220398789.1271439</v>
      </c>
      <c r="W20" s="9">
        <f t="shared" si="29"/>
        <v>9545700546.4346046</v>
      </c>
      <c r="X20" s="9">
        <f t="shared" si="29"/>
        <v>9881411959.9759045</v>
      </c>
      <c r="Y20" s="9">
        <f t="shared" si="29"/>
        <v>10227866138.750528</v>
      </c>
      <c r="Z20" s="9">
        <f t="shared" si="29"/>
        <v>10585406851.245939</v>
      </c>
      <c r="AA20" s="9">
        <f t="shared" si="29"/>
        <v>10954388866.541203</v>
      </c>
      <c r="AB20" s="9">
        <f t="shared" si="29"/>
        <v>11335178306.325916</v>
      </c>
      <c r="AC20" s="9">
        <f t="shared" si="29"/>
        <v>11728153008.183741</v>
      </c>
      <c r="AD20" s="9">
        <f t="shared" si="29"/>
        <v>12133702900.501017</v>
      </c>
      <c r="AE20" s="9">
        <f t="shared" si="29"/>
        <v>12552230389.372442</v>
      </c>
      <c r="AF20" s="9">
        <f t="shared" si="29"/>
        <v>12984150757.887754</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1028741617.1857181</v>
      </c>
      <c r="D22" s="9">
        <f ca="1">'Balance Sheet'!C11</f>
        <v>1139036803.0681634</v>
      </c>
      <c r="E22" s="9">
        <f ca="1">'Balance Sheet'!D11</f>
        <v>1166937362.5488305</v>
      </c>
      <c r="F22" s="9">
        <f ca="1">'Balance Sheet'!E11</f>
        <v>1197782386.635967</v>
      </c>
      <c r="G22" s="9">
        <f ca="1">'Balance Sheet'!F11</f>
        <v>1234012324.9422812</v>
      </c>
      <c r="H22" s="9">
        <f ca="1">'Balance Sheet'!G11</f>
        <v>1273382689.6057746</v>
      </c>
      <c r="I22" s="9">
        <f ca="1">'Balance Sheet'!H11</f>
        <v>1315782349.4454584</v>
      </c>
      <c r="J22" s="9">
        <f ca="1">'Balance Sheet'!I11</f>
        <v>1361075801.1320193</v>
      </c>
      <c r="K22" s="9">
        <f ca="1">'Balance Sheet'!J11</f>
        <v>1409101066.1062114</v>
      </c>
      <c r="L22" s="9">
        <f ca="1">'Balance Sheet'!K11</f>
        <v>1459667447.0002251</v>
      </c>
      <c r="M22" s="9">
        <f ca="1">'Balance Sheet'!L11</f>
        <v>1514367033.4663363</v>
      </c>
      <c r="N22" s="9">
        <f ca="1">'Balance Sheet'!M11</f>
        <v>1573206977.6866875</v>
      </c>
      <c r="O22" s="9">
        <f ca="1">'Balance Sheet'!N11</f>
        <v>1636176570.787179</v>
      </c>
      <c r="P22" s="9">
        <f ca="1">'Balance Sheet'!O11</f>
        <v>1703245360.5546179</v>
      </c>
      <c r="Q22" s="9">
        <f ca="1">'Balance Sheet'!P11</f>
        <v>1774361131.2957253</v>
      </c>
      <c r="R22" s="9">
        <f ca="1">'Balance Sheet'!Q11</f>
        <v>1849952669.5461133</v>
      </c>
      <c r="S22" s="9">
        <f ca="1">'Balance Sheet'!R11</f>
        <v>1929989897.605911</v>
      </c>
      <c r="T22" s="9">
        <f ca="1">'Balance Sheet'!S11</f>
        <v>2014419435.9371505</v>
      </c>
      <c r="U22" s="9">
        <f ca="1">'Balance Sheet'!T11</f>
        <v>2103162255.4758413</v>
      </c>
      <c r="V22" s="9">
        <f ca="1">'Balance Sheet'!U11</f>
        <v>2196111159.8840332</v>
      </c>
      <c r="W22" s="9">
        <f ca="1">'Balance Sheet'!V11</f>
        <v>2294410212.6463575</v>
      </c>
      <c r="X22" s="9">
        <f ca="1">'Balance Sheet'!W11</f>
        <v>2398068050.2954912</v>
      </c>
      <c r="Y22" s="9">
        <f ca="1">'Balance Sheet'!X11</f>
        <v>2507070408.502809</v>
      </c>
      <c r="Z22" s="9">
        <f ca="1">'Balance Sheet'!Y11</f>
        <v>2621377646.8246746</v>
      </c>
      <c r="AA22" s="9">
        <f ca="1">'Balance Sheet'!Z11</f>
        <v>2740922087.7097321</v>
      </c>
      <c r="AB22" s="9">
        <f ca="1">'Balance Sheet'!AA11</f>
        <v>2865605157.9421992</v>
      </c>
      <c r="AC22" s="9">
        <f ca="1">'Balance Sheet'!AB11</f>
        <v>3012025879.6238728</v>
      </c>
      <c r="AD22" s="9">
        <f ca="1">'Balance Sheet'!AC11</f>
        <v>3181897436.8249068</v>
      </c>
      <c r="AE22" s="9">
        <f ca="1">'Balance Sheet'!AD11</f>
        <v>3377034241.9499497</v>
      </c>
      <c r="AF22" s="9">
        <f ca="1">'Balance Sheet'!AE11</f>
        <v>3599357126.8515348</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3519460916.6880317</v>
      </c>
      <c r="D23" s="9">
        <f t="shared" ref="D23:AF23" ca="1" si="30">D20-D22</f>
        <v>3598394128.4557967</v>
      </c>
      <c r="E23" s="9">
        <f t="shared" ca="1" si="30"/>
        <v>3765777275.3501458</v>
      </c>
      <c r="F23" s="9">
        <f t="shared" ca="1" si="30"/>
        <v>3936465036.2420263</v>
      </c>
      <c r="G23" s="9">
        <f t="shared" ca="1" si="30"/>
        <v>4106823201.5336175</v>
      </c>
      <c r="H23" s="9">
        <f t="shared" ca="1" si="30"/>
        <v>4279223068.4610891</v>
      </c>
      <c r="I23" s="9">
        <f t="shared" ca="1" si="30"/>
        <v>4453905758.5101423</v>
      </c>
      <c r="J23" s="9">
        <f ca="1">J20-J22</f>
        <v>4631140026.036912</v>
      </c>
      <c r="K23" s="9">
        <f t="shared" ca="1" si="30"/>
        <v>4811224443.1426611</v>
      </c>
      <c r="L23" s="9">
        <f t="shared" ca="1" si="30"/>
        <v>4995419805.0792398</v>
      </c>
      <c r="M23" s="9">
        <f t="shared" ca="1" si="30"/>
        <v>5182328007.4379025</v>
      </c>
      <c r="N23" s="9">
        <f t="shared" ca="1" si="30"/>
        <v>5372141540.2149534</v>
      </c>
      <c r="O23" s="9">
        <f t="shared" ca="1" si="30"/>
        <v>5565076576.3635578</v>
      </c>
      <c r="P23" s="9">
        <f t="shared" ca="1" si="30"/>
        <v>5761375023.8529758</v>
      </c>
      <c r="Q23" s="9">
        <f t="shared" ca="1" si="30"/>
        <v>5961549887.6428566</v>
      </c>
      <c r="R23" s="9">
        <f t="shared" ca="1" si="30"/>
        <v>6165410756.4223051</v>
      </c>
      <c r="S23" s="9">
        <f t="shared" ca="1" si="30"/>
        <v>6373233254.6290569</v>
      </c>
      <c r="T23" s="9">
        <f t="shared" ca="1" si="30"/>
        <v>6585323695.8069077</v>
      </c>
      <c r="U23" s="9">
        <f t="shared" ca="1" si="30"/>
        <v>6802021652.5394211</v>
      </c>
      <c r="V23" s="9">
        <f t="shared" ca="1" si="30"/>
        <v>7024287629.2431107</v>
      </c>
      <c r="W23" s="9">
        <f t="shared" ca="1" si="30"/>
        <v>7251290333.7882471</v>
      </c>
      <c r="X23" s="9">
        <f t="shared" ca="1" si="30"/>
        <v>7483343909.6804132</v>
      </c>
      <c r="Y23" s="9">
        <f t="shared" ca="1" si="30"/>
        <v>7720795730.2477188</v>
      </c>
      <c r="Z23" s="9">
        <f t="shared" ca="1" si="30"/>
        <v>7964029204.4212646</v>
      </c>
      <c r="AA23" s="9">
        <f t="shared" ca="1" si="30"/>
        <v>8213466778.8314705</v>
      </c>
      <c r="AB23" s="9">
        <f t="shared" ca="1" si="30"/>
        <v>8469573148.3837166</v>
      </c>
      <c r="AC23" s="9">
        <f t="shared" ca="1" si="30"/>
        <v>8716127128.5598679</v>
      </c>
      <c r="AD23" s="9">
        <f t="shared" ca="1" si="30"/>
        <v>8951805463.6761093</v>
      </c>
      <c r="AE23" s="9">
        <f t="shared" ca="1" si="30"/>
        <v>9175196147.422493</v>
      </c>
      <c r="AF23" s="9">
        <f t="shared" ca="1" si="30"/>
        <v>9384793631.0362206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1028741617.1857181</v>
      </c>
      <c r="D5" s="1">
        <f ca="1">C5+C6</f>
        <v>1139036803.0681634</v>
      </c>
      <c r="E5" s="1">
        <f t="shared" ref="E5:AF5" ca="1" si="1">D5+D6</f>
        <v>1166937362.5488305</v>
      </c>
      <c r="F5" s="1">
        <f t="shared" ca="1" si="1"/>
        <v>1197782386.635967</v>
      </c>
      <c r="G5" s="1">
        <f t="shared" ca="1" si="1"/>
        <v>1234012324.9422812</v>
      </c>
      <c r="H5" s="1">
        <f t="shared" ca="1" si="1"/>
        <v>1273382689.6057746</v>
      </c>
      <c r="I5" s="1">
        <f t="shared" ca="1" si="1"/>
        <v>1315782349.4454584</v>
      </c>
      <c r="J5" s="1">
        <f t="shared" ca="1" si="1"/>
        <v>1361075801.1320193</v>
      </c>
      <c r="K5" s="1">
        <f t="shared" ca="1" si="1"/>
        <v>1409101066.1062114</v>
      </c>
      <c r="L5" s="1">
        <f t="shared" ca="1" si="1"/>
        <v>1459667447.0002251</v>
      </c>
      <c r="M5" s="1">
        <f t="shared" ca="1" si="1"/>
        <v>1514367033.4663363</v>
      </c>
      <c r="N5" s="1">
        <f t="shared" ca="1" si="1"/>
        <v>1573206977.6866875</v>
      </c>
      <c r="O5" s="1">
        <f t="shared" ca="1" si="1"/>
        <v>1636176570.787179</v>
      </c>
      <c r="P5" s="1">
        <f t="shared" ca="1" si="1"/>
        <v>1703245360.5546179</v>
      </c>
      <c r="Q5" s="1">
        <f t="shared" ca="1" si="1"/>
        <v>1774361131.2957253</v>
      </c>
      <c r="R5" s="1">
        <f t="shared" ca="1" si="1"/>
        <v>1849952669.5461133</v>
      </c>
      <c r="S5" s="1">
        <f t="shared" ca="1" si="1"/>
        <v>1929989897.605911</v>
      </c>
      <c r="T5" s="1">
        <f t="shared" ca="1" si="1"/>
        <v>2014419435.9371505</v>
      </c>
      <c r="U5" s="1">
        <f t="shared" ca="1" si="1"/>
        <v>2103162255.4758413</v>
      </c>
      <c r="V5" s="1">
        <f t="shared" ca="1" si="1"/>
        <v>2196111159.8840332</v>
      </c>
      <c r="W5" s="1">
        <f t="shared" ca="1" si="1"/>
        <v>2294410212.6463575</v>
      </c>
      <c r="X5" s="1">
        <f t="shared" ca="1" si="1"/>
        <v>2398068050.2954912</v>
      </c>
      <c r="Y5" s="1">
        <f t="shared" ca="1" si="1"/>
        <v>2507070408.502809</v>
      </c>
      <c r="Z5" s="1">
        <f t="shared" ca="1" si="1"/>
        <v>2621377646.8246746</v>
      </c>
      <c r="AA5" s="1">
        <f t="shared" ca="1" si="1"/>
        <v>2740922087.7097321</v>
      </c>
      <c r="AB5" s="1">
        <f t="shared" ca="1" si="1"/>
        <v>2865605157.9421992</v>
      </c>
      <c r="AC5" s="1">
        <f t="shared" ca="1" si="1"/>
        <v>3012025879.6238728</v>
      </c>
      <c r="AD5" s="1">
        <f t="shared" ca="1" si="1"/>
        <v>3181897436.8249068</v>
      </c>
      <c r="AE5" s="1">
        <f t="shared" ca="1" si="1"/>
        <v>3377034241.9499497</v>
      </c>
      <c r="AF5" s="1">
        <f t="shared" ca="1" si="1"/>
        <v>3599357126.8515348</v>
      </c>
      <c r="AG5" s="1"/>
      <c r="AH5" s="1"/>
      <c r="AI5" s="1"/>
      <c r="AJ5" s="1"/>
      <c r="AK5" s="1"/>
      <c r="AL5" s="1"/>
      <c r="AM5" s="1"/>
      <c r="AN5" s="1"/>
      <c r="AO5" s="1"/>
      <c r="AP5" s="1"/>
    </row>
    <row r="6" spans="1:42" x14ac:dyDescent="0.35">
      <c r="A6" s="63" t="s">
        <v>3</v>
      </c>
      <c r="C6" s="1">
        <f ca="1">-'Cash Flow'!C13</f>
        <v>110295185.88244534</v>
      </c>
      <c r="D6" s="1">
        <f ca="1">-'Cash Flow'!D13</f>
        <v>27900559.480667174</v>
      </c>
      <c r="E6" s="1">
        <f ca="1">-'Cash Flow'!E13</f>
        <v>30845024.087136567</v>
      </c>
      <c r="F6" s="1">
        <f ca="1">-'Cash Flow'!F13</f>
        <v>36229938.306314111</v>
      </c>
      <c r="G6" s="1">
        <f ca="1">-'Cash Flow'!G13</f>
        <v>39370364.663493335</v>
      </c>
      <c r="H6" s="1">
        <f ca="1">-'Cash Flow'!H13</f>
        <v>42399659.83968389</v>
      </c>
      <c r="I6" s="1">
        <f ca="1">-'Cash Flow'!I13</f>
        <v>45293451.686560869</v>
      </c>
      <c r="J6" s="1">
        <f ca="1">-'Cash Flow'!J13</f>
        <v>48025264.974192083</v>
      </c>
      <c r="K6" s="1">
        <f ca="1">-'Cash Flow'!K13</f>
        <v>50566380.894013643</v>
      </c>
      <c r="L6" s="1">
        <f ca="1">-'Cash Flow'!L13</f>
        <v>54699586.466111064</v>
      </c>
      <c r="M6" s="1">
        <f ca="1">-'Cash Flow'!M13</f>
        <v>58839944.220351219</v>
      </c>
      <c r="N6" s="1">
        <f ca="1">-'Cash Flow'!N13</f>
        <v>62969593.100491583</v>
      </c>
      <c r="O6" s="1">
        <f ca="1">-'Cash Flow'!O13</f>
        <v>67068789.767438948</v>
      </c>
      <c r="P6" s="1">
        <f ca="1">-'Cash Flow'!P13</f>
        <v>71115770.741107464</v>
      </c>
      <c r="Q6" s="1">
        <f ca="1">-'Cash Flow'!Q13</f>
        <v>75591538.250387907</v>
      </c>
      <c r="R6" s="1">
        <f ca="1">-'Cash Flow'!R13</f>
        <v>80037228.059797704</v>
      </c>
      <c r="S6" s="1">
        <f ca="1">-'Cash Flow'!S13</f>
        <v>84429538.331239343</v>
      </c>
      <c r="T6" s="1">
        <f ca="1">-'Cash Flow'!T13</f>
        <v>88742819.538690805</v>
      </c>
      <c r="U6" s="1">
        <f ca="1">-'Cash Flow'!U13</f>
        <v>92948904.408191681</v>
      </c>
      <c r="V6" s="1">
        <f ca="1">-'Cash Flow'!V13</f>
        <v>98299052.762324333</v>
      </c>
      <c r="W6" s="1">
        <f ca="1">-'Cash Flow'!W13</f>
        <v>103657837.64913344</v>
      </c>
      <c r="X6" s="1">
        <f ca="1">-'Cash Flow'!X13</f>
        <v>109002358.20731783</v>
      </c>
      <c r="Y6" s="1">
        <f ca="1">-'Cash Flow'!Y13</f>
        <v>114307238.32186532</v>
      </c>
      <c r="Z6" s="1">
        <f ca="1">-'Cash Flow'!Z13</f>
        <v>119544440.88505769</v>
      </c>
      <c r="AA6" s="1">
        <f ca="1">-'Cash Flow'!AA13</f>
        <v>124683070.23246729</v>
      </c>
      <c r="AB6" s="1">
        <f ca="1">-'Cash Flow'!AB13</f>
        <v>146420721.68167365</v>
      </c>
      <c r="AC6" s="1">
        <f ca="1">-'Cash Flow'!AC13</f>
        <v>169871557.20103407</v>
      </c>
      <c r="AD6" s="1">
        <f ca="1">-'Cash Flow'!AD13</f>
        <v>195136805.12504303</v>
      </c>
      <c r="AE6" s="1">
        <f ca="1">-'Cash Flow'!AE13</f>
        <v>222322884.90158486</v>
      </c>
      <c r="AF6" s="1">
        <f ca="1">-'Cash Flow'!AF13</f>
        <v>251541652.23462307</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39866288.107385725</v>
      </c>
      <c r="D8" s="1">
        <f ca="1">IF(SUM(D5:D6)&gt;0,Assumptions!$C$26*SUM(D5:D6),Assumptions!$C$27*(SUM(D5:D6)))</f>
        <v>40842807.689209074</v>
      </c>
      <c r="E8" s="1">
        <f ca="1">IF(SUM(E5:E6)&gt;0,Assumptions!$C$26*SUM(E5:E6),Assumptions!$C$27*(SUM(E5:E6)))</f>
        <v>41922383.532258846</v>
      </c>
      <c r="F8" s="1">
        <f ca="1">IF(SUM(F5:F6)&gt;0,Assumptions!$C$26*SUM(F5:F6),Assumptions!$C$27*(SUM(F5:F6)))</f>
        <v>43190431.37297985</v>
      </c>
      <c r="G8" s="1">
        <f ca="1">IF(SUM(G5:G6)&gt;0,Assumptions!$C$26*SUM(G5:G6),Assumptions!$C$27*(SUM(G5:G6)))</f>
        <v>44568394.136202119</v>
      </c>
      <c r="H8" s="1">
        <f ca="1">IF(SUM(H5:H6)&gt;0,Assumptions!$C$26*SUM(H5:H6),Assumptions!$C$27*(SUM(H5:H6)))</f>
        <v>46052382.230591051</v>
      </c>
      <c r="I8" s="1">
        <f ca="1">IF(SUM(I5:I6)&gt;0,Assumptions!$C$26*SUM(I5:I6),Assumptions!$C$27*(SUM(I5:I6)))</f>
        <v>47637653.039620683</v>
      </c>
      <c r="J8" s="1">
        <f ca="1">IF(SUM(J5:J6)&gt;0,Assumptions!$C$26*SUM(J5:J6),Assumptions!$C$27*(SUM(J5:J6)))</f>
        <v>49318537.313717403</v>
      </c>
      <c r="K8" s="1">
        <f ca="1">IF(SUM(K5:K6)&gt;0,Assumptions!$C$26*SUM(K5:K6),Assumptions!$C$27*(SUM(K5:K6)))</f>
        <v>51088360.645007879</v>
      </c>
      <c r="L8" s="1">
        <f ca="1">IF(SUM(L5:L6)&gt;0,Assumptions!$C$26*SUM(L5:L6),Assumptions!$C$27*(SUM(L5:L6)))</f>
        <v>53002846.171321772</v>
      </c>
      <c r="M8" s="1">
        <f ca="1">IF(SUM(M5:M6)&gt;0,Assumptions!$C$26*SUM(M5:M6),Assumptions!$C$27*(SUM(M5:M6)))</f>
        <v>55062244.219034068</v>
      </c>
      <c r="N8" s="1">
        <f ca="1">IF(SUM(N5:N6)&gt;0,Assumptions!$C$26*SUM(N5:N6),Assumptions!$C$27*(SUM(N5:N6)))</f>
        <v>57266179.977551267</v>
      </c>
      <c r="O8" s="1">
        <f ca="1">IF(SUM(O5:O6)&gt;0,Assumptions!$C$26*SUM(O5:O6),Assumptions!$C$27*(SUM(O5:O6)))</f>
        <v>59613587.619411632</v>
      </c>
      <c r="P8" s="1">
        <f ca="1">IF(SUM(P5:P6)&gt;0,Assumptions!$C$26*SUM(P5:P6),Assumptions!$C$27*(SUM(P5:P6)))</f>
        <v>62102639.595350392</v>
      </c>
      <c r="Q8" s="1">
        <f ca="1">IF(SUM(Q5:Q6)&gt;0,Assumptions!$C$26*SUM(Q5:Q6),Assumptions!$C$27*(SUM(Q5:Q6)))</f>
        <v>64748343.434113972</v>
      </c>
      <c r="R8" s="1">
        <f ca="1">IF(SUM(R5:R6)&gt;0,Assumptions!$C$26*SUM(R5:R6),Assumptions!$C$27*(SUM(R5:R6)))</f>
        <v>67549646.416206896</v>
      </c>
      <c r="S8" s="1">
        <f ca="1">IF(SUM(S5:S6)&gt;0,Assumptions!$C$26*SUM(S5:S6),Assumptions!$C$27*(SUM(S5:S6)))</f>
        <v>70504680.257800266</v>
      </c>
      <c r="T8" s="1">
        <f ca="1">IF(SUM(T5:T6)&gt;0,Assumptions!$C$26*SUM(T5:T6),Assumptions!$C$27*(SUM(T5:T6)))</f>
        <v>73610678.941654459</v>
      </c>
      <c r="U8" s="1">
        <f ca="1">IF(SUM(U5:U6)&gt;0,Assumptions!$C$26*SUM(U5:U6),Assumptions!$C$27*(SUM(U5:U6)))</f>
        <v>76863890.595941171</v>
      </c>
      <c r="V8" s="1">
        <f ca="1">IF(SUM(V5:V6)&gt;0,Assumptions!$C$26*SUM(V5:V6),Assumptions!$C$27*(SUM(V5:V6)))</f>
        <v>80304357.442622527</v>
      </c>
      <c r="W8" s="1">
        <f ca="1">IF(SUM(W5:W6)&gt;0,Assumptions!$C$26*SUM(W5:W6),Assumptions!$C$27*(SUM(W5:W6)))</f>
        <v>83932381.760342196</v>
      </c>
      <c r="X8" s="1">
        <f ca="1">IF(SUM(X5:X6)&gt;0,Assumptions!$C$26*SUM(X5:X6),Assumptions!$C$27*(SUM(X5:X6)))</f>
        <v>87747464.297598332</v>
      </c>
      <c r="Y8" s="1">
        <f ca="1">IF(SUM(Y5:Y6)&gt;0,Assumptions!$C$26*SUM(Y5:Y6),Assumptions!$C$27*(SUM(Y5:Y6)))</f>
        <v>91748217.638863623</v>
      </c>
      <c r="Z8" s="1">
        <f ca="1">IF(SUM(Z5:Z6)&gt;0,Assumptions!$C$26*SUM(Z5:Z6),Assumptions!$C$27*(SUM(Z5:Z6)))</f>
        <v>95932273.069840625</v>
      </c>
      <c r="AA8" s="1">
        <f ca="1">IF(SUM(AA5:AA6)&gt;0,Assumptions!$C$26*SUM(AA5:AA6),Assumptions!$C$27*(SUM(AA5:AA6)))</f>
        <v>100296180.52797699</v>
      </c>
      <c r="AB8" s="1">
        <f ca="1">IF(SUM(AB5:AB6)&gt;0,Assumptions!$C$26*SUM(AB5:AB6),Assumptions!$C$27*(SUM(AB5:AB6)))</f>
        <v>105420905.78683555</v>
      </c>
      <c r="AC8" s="1">
        <f ca="1">IF(SUM(AC5:AC6)&gt;0,Assumptions!$C$26*SUM(AC5:AC6),Assumptions!$C$27*(SUM(AC5:AC6)))</f>
        <v>111366410.28887175</v>
      </c>
      <c r="AD8" s="1">
        <f ca="1">IF(SUM(AD5:AD6)&gt;0,Assumptions!$C$26*SUM(AD5:AD6),Assumptions!$C$27*(SUM(AD5:AD6)))</f>
        <v>118196198.46824825</v>
      </c>
      <c r="AE8" s="1">
        <f ca="1">IF(SUM(AE5:AE6)&gt;0,Assumptions!$C$26*SUM(AE5:AE6),Assumptions!$C$27*(SUM(AE5:AE6)))</f>
        <v>125977499.43980373</v>
      </c>
      <c r="AF8" s="1">
        <f ca="1">IF(SUM(AF5:AF6)&gt;0,Assumptions!$C$26*SUM(AF5:AF6),Assumptions!$C$27*(SUM(AF5:AF6)))</f>
        <v>134781457.26801553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62.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35">
      <c r="A7" s="181" t="s">
        <v>97</v>
      </c>
      <c r="B7" s="187">
        <f>Assumptions!C24</f>
        <v>187884000</v>
      </c>
      <c r="C7" s="182" t="str">
        <f>Assumptions!B24</f>
        <v>RFI Table F10; Lines F10.62 + F10.70</v>
      </c>
    </row>
    <row r="8" spans="1:3" ht="34" x14ac:dyDescent="0.35">
      <c r="A8" s="181" t="s">
        <v>174</v>
      </c>
      <c r="B8" s="188">
        <f>Assumptions!$C$133</f>
        <v>0.7</v>
      </c>
      <c r="C8" s="182" t="s">
        <v>198</v>
      </c>
    </row>
    <row r="9" spans="1:3" ht="18.5" x14ac:dyDescent="0.35">
      <c r="A9" s="181"/>
      <c r="B9" s="189"/>
      <c r="C9" s="182"/>
    </row>
    <row r="10" spans="1:3" ht="51.5" customHeight="1" x14ac:dyDescent="0.35">
      <c r="A10" s="183" t="s">
        <v>103</v>
      </c>
      <c r="B10" s="190">
        <f>Assumptions!C135</f>
        <v>142574.07407407407</v>
      </c>
      <c r="C10" s="182" t="s">
        <v>199</v>
      </c>
    </row>
    <row r="11" spans="1:3" ht="18.5" x14ac:dyDescent="0.35">
      <c r="A11" s="183"/>
      <c r="B11" s="191"/>
      <c r="C11" s="182"/>
    </row>
    <row r="12" spans="1:3" ht="18.5" x14ac:dyDescent="0.35">
      <c r="A12" s="183" t="s">
        <v>184</v>
      </c>
      <c r="B12" s="187">
        <f>(B7*B8)/B10</f>
        <v>922.45943629042722</v>
      </c>
      <c r="C12" s="182"/>
    </row>
    <row r="13" spans="1:3" ht="18.5" x14ac:dyDescent="0.35">
      <c r="A13" s="184"/>
      <c r="B13" s="192"/>
      <c r="C13" s="182"/>
    </row>
    <row r="14" spans="1:3" ht="18.5" x14ac:dyDescent="0.35">
      <c r="A14" s="183" t="s">
        <v>104</v>
      </c>
      <c r="B14" s="193">
        <v>1</v>
      </c>
      <c r="C14" s="182"/>
    </row>
    <row r="15" spans="1:3" ht="18.5" x14ac:dyDescent="0.35">
      <c r="A15" s="184"/>
      <c r="B15" s="194"/>
      <c r="C15" s="182"/>
    </row>
    <row r="16" spans="1:3" ht="18.5" x14ac:dyDescent="0.35">
      <c r="A16" s="184" t="s">
        <v>179</v>
      </c>
      <c r="B16" s="195">
        <f>B12/B14</f>
        <v>922.45943629042722</v>
      </c>
      <c r="C16" s="182"/>
    </row>
    <row r="17" spans="1:3" ht="18.5" x14ac:dyDescent="0.35">
      <c r="A17" s="183"/>
      <c r="B17" s="196"/>
      <c r="C17" s="182"/>
    </row>
    <row r="18" spans="1:3" ht="18.5" x14ac:dyDescent="0.35">
      <c r="A18" s="185" t="s">
        <v>178</v>
      </c>
      <c r="B18" s="196"/>
      <c r="C18" s="182"/>
    </row>
    <row r="19" spans="1:3" ht="18.5" x14ac:dyDescent="0.35">
      <c r="A19" s="183"/>
      <c r="B19" s="196"/>
      <c r="C19" s="182"/>
    </row>
    <row r="20" spans="1:3" ht="34" x14ac:dyDescent="0.35">
      <c r="A20" s="183" t="s">
        <v>66</v>
      </c>
      <c r="B20" s="187">
        <f>'Profit and Loss'!L5</f>
        <v>638585449.06931305</v>
      </c>
      <c r="C20" s="182" t="s">
        <v>200</v>
      </c>
    </row>
    <row r="21" spans="1:3" ht="34" x14ac:dyDescent="0.35">
      <c r="A21" s="183" t="str">
        <f>A8</f>
        <v>Assumed revenue from households</v>
      </c>
      <c r="B21" s="188">
        <f>B8</f>
        <v>0.7</v>
      </c>
      <c r="C21" s="182" t="s">
        <v>198</v>
      </c>
    </row>
    <row r="22" spans="1:3" ht="18.5" x14ac:dyDescent="0.35">
      <c r="A22" s="183"/>
      <c r="B22" s="191"/>
      <c r="C22" s="182"/>
    </row>
    <row r="23" spans="1:3" ht="34" x14ac:dyDescent="0.35">
      <c r="A23" s="183" t="s">
        <v>102</v>
      </c>
      <c r="B23" s="190">
        <f>Assumptions!M135</f>
        <v>156508.57430963541</v>
      </c>
      <c r="C23" s="182" t="s">
        <v>201</v>
      </c>
    </row>
    <row r="24" spans="1:3" ht="18.5" x14ac:dyDescent="0.35">
      <c r="A24" s="183"/>
      <c r="B24" s="191"/>
      <c r="C24" s="182"/>
    </row>
    <row r="25" spans="1:3" ht="18.5" x14ac:dyDescent="0.35">
      <c r="A25" s="183" t="s">
        <v>183</v>
      </c>
      <c r="B25" s="187">
        <f>(B20*B21)/B23</f>
        <v>2856.1362616731667</v>
      </c>
      <c r="C25" s="182"/>
    </row>
    <row r="26" spans="1:3" ht="18.5" x14ac:dyDescent="0.35">
      <c r="A26" s="183"/>
      <c r="B26" s="187"/>
      <c r="C26" s="182"/>
    </row>
    <row r="27" spans="1:3" ht="34" x14ac:dyDescent="0.35">
      <c r="A27" s="183" t="s">
        <v>104</v>
      </c>
      <c r="B27" s="193">
        <f>1.022^11</f>
        <v>1.2704566586717592</v>
      </c>
      <c r="C27" s="182" t="s">
        <v>202</v>
      </c>
    </row>
    <row r="28" spans="1:3" ht="18.5" x14ac:dyDescent="0.35">
      <c r="A28" s="184"/>
      <c r="B28" s="192"/>
      <c r="C28" s="182"/>
    </row>
    <row r="29" spans="1:3" ht="18.5" x14ac:dyDescent="0.35">
      <c r="A29" s="184" t="s">
        <v>180</v>
      </c>
      <c r="B29" s="187">
        <f>B25/B27</f>
        <v>2248.1178261202617</v>
      </c>
      <c r="C29" s="182"/>
    </row>
    <row r="30" spans="1:3" ht="18.5" x14ac:dyDescent="0.35">
      <c r="A30" s="184"/>
      <c r="B30" s="192"/>
      <c r="C30" s="182"/>
    </row>
    <row r="31" spans="1:3" ht="18.5" x14ac:dyDescent="0.35">
      <c r="A31" s="185" t="s">
        <v>186</v>
      </c>
      <c r="B31" s="197"/>
      <c r="C31" s="182"/>
    </row>
    <row r="32" spans="1:3" ht="18.5" x14ac:dyDescent="0.35">
      <c r="A32" s="183"/>
      <c r="B32" s="187"/>
      <c r="C32" s="182"/>
    </row>
    <row r="33" spans="1:3" ht="34" x14ac:dyDescent="0.35">
      <c r="A33" s="183" t="s">
        <v>67</v>
      </c>
      <c r="B33" s="187">
        <f>'Profit and Loss'!AF5</f>
        <v>1437387604.4256623</v>
      </c>
      <c r="C33" s="182" t="s">
        <v>200</v>
      </c>
    </row>
    <row r="34" spans="1:3" ht="34" x14ac:dyDescent="0.35">
      <c r="A34" s="183" t="str">
        <f>A21</f>
        <v>Assumed revenue from households</v>
      </c>
      <c r="B34" s="188">
        <f>B21</f>
        <v>0.7</v>
      </c>
      <c r="C34" s="182" t="s">
        <v>198</v>
      </c>
    </row>
    <row r="35" spans="1:3" ht="18.5" x14ac:dyDescent="0.35">
      <c r="A35" s="183"/>
      <c r="B35" s="191"/>
      <c r="C35" s="182"/>
    </row>
    <row r="36" spans="1:3" ht="34" x14ac:dyDescent="0.35">
      <c r="A36" s="183" t="s">
        <v>101</v>
      </c>
      <c r="B36" s="190">
        <f>Assumptions!AG135</f>
        <v>188596.35129940498</v>
      </c>
      <c r="C36" s="182" t="s">
        <v>201</v>
      </c>
    </row>
    <row r="37" spans="1:3" ht="18.5" x14ac:dyDescent="0.35">
      <c r="A37" s="183"/>
      <c r="B37" s="191"/>
      <c r="C37" s="182"/>
    </row>
    <row r="38" spans="1:3" ht="18.5" x14ac:dyDescent="0.35">
      <c r="A38" s="183" t="s">
        <v>182</v>
      </c>
      <c r="B38" s="187">
        <f>(B33*B34)/B36</f>
        <v>5335.0519040563113</v>
      </c>
      <c r="C38" s="182"/>
    </row>
    <row r="39" spans="1:3" ht="18.5" x14ac:dyDescent="0.35">
      <c r="A39" s="183"/>
      <c r="B39" s="191"/>
      <c r="C39" s="182"/>
    </row>
    <row r="40" spans="1:3" ht="34" x14ac:dyDescent="0.35">
      <c r="A40" s="183" t="s">
        <v>104</v>
      </c>
      <c r="B40" s="193">
        <f>1.022^31</f>
        <v>1.9632597808456462</v>
      </c>
      <c r="C40" s="182" t="s">
        <v>202</v>
      </c>
    </row>
    <row r="41" spans="1:3" ht="18.5" x14ac:dyDescent="0.35">
      <c r="A41" s="184"/>
      <c r="B41" s="192"/>
      <c r="C41" s="186"/>
    </row>
    <row r="42" spans="1:3" ht="18.5" x14ac:dyDescent="0.35">
      <c r="A42" s="184" t="s">
        <v>181</v>
      </c>
      <c r="B42" s="187">
        <f>B38/B40</f>
        <v>2717.4457278182072</v>
      </c>
      <c r="C42" s="18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8" t="s">
        <v>28</v>
      </c>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row>
    <row r="4" spans="1:33" s="120" customFormat="1" ht="16" thickBot="1" x14ac:dyDescent="0.4">
      <c r="A4" s="115" t="s">
        <v>26</v>
      </c>
      <c r="B4" s="115" t="s">
        <v>195</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138</v>
      </c>
      <c r="C13" s="127">
        <v>9.3685238099892043E-3</v>
      </c>
      <c r="D13" s="128">
        <f t="shared" ref="D13:AG13" si="3">(1+$C$13)^D8</f>
        <v>1.0093685238099892</v>
      </c>
      <c r="E13" s="128">
        <f t="shared" si="3"/>
        <v>1.0188248168583567</v>
      </c>
      <c r="F13" s="128">
        <f t="shared" si="3"/>
        <v>1.0283697014133022</v>
      </c>
      <c r="G13" s="128">
        <f t="shared" si="3"/>
        <v>1.038004007446464</v>
      </c>
      <c r="H13" s="128">
        <f t="shared" si="3"/>
        <v>1.0477285727050905</v>
      </c>
      <c r="I13" s="128">
        <f t="shared" si="3"/>
        <v>1.057544242784884</v>
      </c>
      <c r="J13" s="128">
        <f t="shared" si="3"/>
        <v>1.0674518712035312</v>
      </c>
      <c r="K13" s="128">
        <f t="shared" si="3"/>
        <v>1.077452319474919</v>
      </c>
      <c r="L13" s="128">
        <f t="shared" si="3"/>
        <v>1.0875464571840479</v>
      </c>
      <c r="M13" s="128">
        <f t="shared" si="3"/>
        <v>1.0977351620626461</v>
      </c>
      <c r="N13" s="128">
        <f t="shared" si="3"/>
        <v>1.1080193200654924</v>
      </c>
      <c r="O13" s="128">
        <f t="shared" si="3"/>
        <v>1.1183998254474539</v>
      </c>
      <c r="P13" s="128">
        <f t="shared" si="3"/>
        <v>1.1288775808412461</v>
      </c>
      <c r="Q13" s="128">
        <f t="shared" si="3"/>
        <v>1.1394534973359203</v>
      </c>
      <c r="R13" s="128">
        <f t="shared" si="3"/>
        <v>1.1501284945560872</v>
      </c>
      <c r="S13" s="128">
        <f t="shared" si="3"/>
        <v>1.1609035007418831</v>
      </c>
      <c r="T13" s="128">
        <f t="shared" si="3"/>
        <v>1.1717794528296832</v>
      </c>
      <c r="U13" s="128">
        <f t="shared" si="3"/>
        <v>1.1827572965335742</v>
      </c>
      <c r="V13" s="128">
        <f t="shared" si="3"/>
        <v>1.1938379864275876</v>
      </c>
      <c r="W13" s="128">
        <f t="shared" si="3"/>
        <v>1.2050224860287038</v>
      </c>
      <c r="X13" s="128">
        <f t="shared" si="3"/>
        <v>1.2163117678806361</v>
      </c>
      <c r="Y13" s="128">
        <f t="shared" si="3"/>
        <v>1.2277068136383957</v>
      </c>
      <c r="Z13" s="128">
        <f t="shared" si="3"/>
        <v>1.2392086141536531</v>
      </c>
      <c r="AA13" s="128">
        <f t="shared" si="3"/>
        <v>1.2508181695608953</v>
      </c>
      <c r="AB13" s="128">
        <f t="shared" si="3"/>
        <v>1.2625364893643936</v>
      </c>
      <c r="AC13" s="128">
        <f t="shared" si="3"/>
        <v>1.2743645925259843</v>
      </c>
      <c r="AD13" s="128">
        <f t="shared" si="3"/>
        <v>1.2863035075536711</v>
      </c>
      <c r="AE13" s="128">
        <f t="shared" si="3"/>
        <v>1.2983542725910602</v>
      </c>
      <c r="AF13" s="128">
        <f t="shared" si="3"/>
        <v>1.3105179355076308</v>
      </c>
      <c r="AG13" s="128">
        <f t="shared" si="3"/>
        <v>1.3227955539898517</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131</v>
      </c>
      <c r="B17" s="77" t="s">
        <v>170</v>
      </c>
      <c r="C17" s="136">
        <f>AVERAGE(C49:C50)</f>
        <v>8729683366.875</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4364841683.4375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137</v>
      </c>
      <c r="C20" s="137">
        <v>1028741617.1857181</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187884000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46.5" x14ac:dyDescent="0.35">
      <c r="A25" s="77" t="s">
        <v>1</v>
      </c>
      <c r="B25" s="106" t="s">
        <v>197</v>
      </c>
      <c r="C25" s="136">
        <v>85323317.000000015</v>
      </c>
      <c r="D25" s="140"/>
      <c r="E25" s="180"/>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130</v>
      </c>
      <c r="C31" s="127">
        <v>-6.1678806390480602E-2</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130</v>
      </c>
      <c r="C32" s="127">
        <v>-5.510000000000001E-2</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v>-7.5135175196494597E-3</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v>-3.093435860336613E-3</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v>-2.0902886332567761E-3</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v>-6.701212663514089E-3</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v>-2.7503134888859915E-3</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v>-1.8556424466225074E-3</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0.99248648248035054</v>
      </c>
      <c r="I43" s="142">
        <f>H43*(1+$C$35)</f>
        <v>0.98502941790621912</v>
      </c>
      <c r="J43" s="142">
        <f>I43*(1+$C$35)</f>
        <v>0.97762838211741065</v>
      </c>
      <c r="K43" s="142">
        <f>J43*(1+$C$35)</f>
        <v>0.9702829541406649</v>
      </c>
      <c r="L43" s="142">
        <f>K43*(1+$C$35)</f>
        <v>0.9629927161657118</v>
      </c>
      <c r="M43" s="142">
        <f>L43*(1+$C$36)</f>
        <v>0.96001375996428184</v>
      </c>
      <c r="N43" s="142">
        <f>M43*(1+$C$36)</f>
        <v>0.95704401897279179</v>
      </c>
      <c r="O43" s="142">
        <f>N43*(1+$C$36)</f>
        <v>0.95408346468458072</v>
      </c>
      <c r="P43" s="142">
        <f>O43*(1+$C$36)</f>
        <v>0.95113206868117128</v>
      </c>
      <c r="Q43" s="142">
        <f>P43*(1+$C$36)</f>
        <v>0.94818980263199681</v>
      </c>
      <c r="R43" s="142">
        <f>Q43*(1+$C$37)</f>
        <v>0.9462078122653852</v>
      </c>
      <c r="S43" s="142">
        <f>R43*(1+$C$37)</f>
        <v>0.94422996483070809</v>
      </c>
      <c r="T43" s="142">
        <f>S43*(1+$C$37)</f>
        <v>0.94225625166804206</v>
      </c>
      <c r="U43" s="142">
        <f>T43*(1+$C$37)</f>
        <v>0.94028666413556516</v>
      </c>
      <c r="V43" s="142">
        <f>U43*(1+$C$37)</f>
        <v>0.93832119360951971</v>
      </c>
      <c r="W43" s="142">
        <f t="shared" ref="W43:AG43" si="4">V43</f>
        <v>0.93832119360951971</v>
      </c>
      <c r="X43" s="142">
        <f t="shared" si="4"/>
        <v>0.93832119360951971</v>
      </c>
      <c r="Y43" s="142">
        <f t="shared" si="4"/>
        <v>0.93832119360951971</v>
      </c>
      <c r="Z43" s="142">
        <f t="shared" si="4"/>
        <v>0.93832119360951971</v>
      </c>
      <c r="AA43" s="142">
        <f t="shared" si="4"/>
        <v>0.93832119360951971</v>
      </c>
      <c r="AB43" s="142">
        <f t="shared" si="4"/>
        <v>0.93832119360951971</v>
      </c>
      <c r="AC43" s="142">
        <f t="shared" si="4"/>
        <v>0.93832119360951971</v>
      </c>
      <c r="AD43" s="142">
        <f t="shared" si="4"/>
        <v>0.93832119360951971</v>
      </c>
      <c r="AE43" s="142">
        <f t="shared" si="4"/>
        <v>0.93832119360951971</v>
      </c>
      <c r="AF43" s="142">
        <f t="shared" si="4"/>
        <v>0.93832119360951971</v>
      </c>
      <c r="AG43" s="142">
        <f t="shared" si="4"/>
        <v>0.93832119360951971</v>
      </c>
    </row>
    <row r="44" spans="1:33" x14ac:dyDescent="0.35">
      <c r="A44" s="69" t="s">
        <v>61</v>
      </c>
      <c r="B44" s="69" t="s">
        <v>87</v>
      </c>
      <c r="C44" s="141">
        <v>1</v>
      </c>
      <c r="D44" s="142">
        <v>1</v>
      </c>
      <c r="E44" s="142">
        <v>1</v>
      </c>
      <c r="F44" s="142">
        <v>1</v>
      </c>
      <c r="G44" s="142">
        <v>1</v>
      </c>
      <c r="H44" s="142">
        <f>G44*(1+$C$39)</f>
        <v>0.99329878733648591</v>
      </c>
      <c r="I44" s="142">
        <f>H44*(1+$C$39)</f>
        <v>0.98664248092413342</v>
      </c>
      <c r="J44" s="142">
        <f>I44*(1+$C$39)</f>
        <v>0.98003077983660369</v>
      </c>
      <c r="K44" s="142">
        <f>J44*(1+$C$39)</f>
        <v>0.973463385164129</v>
      </c>
      <c r="L44" s="142">
        <f>K44*(1+$C$39)</f>
        <v>0.9669399999999998</v>
      </c>
      <c r="M44" s="142">
        <f>L44*(1+$C$40)</f>
        <v>0.96428061187505643</v>
      </c>
      <c r="N44" s="142">
        <f>M44*(1+$C$40)</f>
        <v>0.96162853790114522</v>
      </c>
      <c r="O44" s="142">
        <f>N44*(1+$C$40)</f>
        <v>0.95898375796205804</v>
      </c>
      <c r="P44" s="142">
        <f>O44*(1+$C$40)</f>
        <v>0.95634625199691237</v>
      </c>
      <c r="Q44" s="142">
        <f>P44*(1+$C$40)</f>
        <v>0.95371599999999968</v>
      </c>
      <c r="R44" s="142">
        <f>Q44*(1+$C$41)</f>
        <v>0.95194624410837669</v>
      </c>
      <c r="S44" s="142">
        <f>R44*(1+$C$41)</f>
        <v>0.95017977225090633</v>
      </c>
      <c r="T44" s="142">
        <f>S44*(1+$C$41)</f>
        <v>0.94841657833359549</v>
      </c>
      <c r="U44" s="142">
        <f>T44*(1+$C$41)</f>
        <v>0.94665665627375917</v>
      </c>
      <c r="V44" s="142">
        <f>U44*(1+$C$41)</f>
        <v>0.94489999999999985</v>
      </c>
      <c r="W44" s="142">
        <f t="shared" ref="W44:AG44" si="5">V44</f>
        <v>0.94489999999999985</v>
      </c>
      <c r="X44" s="142">
        <f t="shared" si="5"/>
        <v>0.94489999999999985</v>
      </c>
      <c r="Y44" s="142">
        <f t="shared" si="5"/>
        <v>0.94489999999999985</v>
      </c>
      <c r="Z44" s="142">
        <f t="shared" si="5"/>
        <v>0.94489999999999985</v>
      </c>
      <c r="AA44" s="142">
        <f t="shared" si="5"/>
        <v>0.94489999999999985</v>
      </c>
      <c r="AB44" s="142">
        <f t="shared" si="5"/>
        <v>0.94489999999999985</v>
      </c>
      <c r="AC44" s="142">
        <f t="shared" si="5"/>
        <v>0.94489999999999985</v>
      </c>
      <c r="AD44" s="142">
        <f t="shared" si="5"/>
        <v>0.94489999999999985</v>
      </c>
      <c r="AE44" s="142">
        <f t="shared" si="5"/>
        <v>0.94489999999999985</v>
      </c>
      <c r="AF44" s="142">
        <f t="shared" si="5"/>
        <v>0.94489999999999985</v>
      </c>
      <c r="AG44" s="142">
        <f t="shared" si="5"/>
        <v>0.94489999999999985</v>
      </c>
    </row>
    <row r="45" spans="1:33" x14ac:dyDescent="0.35">
      <c r="A45" s="69" t="s">
        <v>88</v>
      </c>
      <c r="B45" s="69" t="s">
        <v>87</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134</v>
      </c>
      <c r="C49" s="71">
        <v>7249480337.5199986</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135</v>
      </c>
      <c r="C50" s="71">
        <v>10209886396.230003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21411658.501647696</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42648368.247250803</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32030013.374449249</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58362204.476467252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109368281.93432096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83865243.205394104</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126513611.45264491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79" t="s">
        <v>176</v>
      </c>
      <c r="C77" s="87">
        <v>2252047000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3440516678.019454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2715903882.2276325</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87</v>
      </c>
      <c r="C82" s="87">
        <f>C79+$C$77</f>
        <v>5692563678.019454</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87</v>
      </c>
      <c r="C83" s="87">
        <f>C80+$C$77</f>
        <v>4967950882.2276325</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132</v>
      </c>
      <c r="C85" s="150">
        <v>375200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394700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384950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87</v>
      </c>
      <c r="C89" s="150">
        <f>C82/$C$87</f>
        <v>14787.800176696854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87</v>
      </c>
      <c r="C90" s="150">
        <f>C83/$C$87</f>
        <v>12905.444557027231</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87</v>
      </c>
      <c r="C94" s="87">
        <f>IF(C89&lt;$C$92,C89*$C$87,$C$92*$C$87)</f>
        <v>5692563678.019454</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87</v>
      </c>
      <c r="C95" s="87">
        <f>IF(C90&lt;$C$92,C90*$C$87,$C$92*$C$87)</f>
        <v>4967950882.2276325</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87</v>
      </c>
      <c r="C96" s="87">
        <f>AVERAGE(C94:C95)</f>
        <v>5330257280.1235428</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5330257280.1235428</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177675242.67078477</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203</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204</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7">$C$75</f>
        <v>126513611.45264491</v>
      </c>
      <c r="E111" s="149">
        <f t="shared" si="7"/>
        <v>126513611.45264491</v>
      </c>
      <c r="F111" s="149">
        <f t="shared" si="7"/>
        <v>126513611.45264491</v>
      </c>
      <c r="G111" s="149">
        <f t="shared" si="7"/>
        <v>126513611.45264491</v>
      </c>
      <c r="H111" s="149">
        <f t="shared" si="7"/>
        <v>126513611.45264491</v>
      </c>
      <c r="I111" s="149">
        <f t="shared" si="7"/>
        <v>126513611.45264491</v>
      </c>
      <c r="J111" s="149">
        <f t="shared" si="7"/>
        <v>126513611.45264491</v>
      </c>
      <c r="K111" s="149">
        <f t="shared" si="7"/>
        <v>126513611.45264491</v>
      </c>
      <c r="L111" s="149">
        <f t="shared" si="7"/>
        <v>126513611.45264491</v>
      </c>
      <c r="M111" s="149">
        <f t="shared" si="7"/>
        <v>126513611.45264491</v>
      </c>
      <c r="N111" s="149">
        <f t="shared" si="7"/>
        <v>126513611.45264491</v>
      </c>
      <c r="O111" s="149">
        <f t="shared" si="7"/>
        <v>126513611.45264491</v>
      </c>
      <c r="P111" s="149">
        <f t="shared" si="7"/>
        <v>126513611.45264491</v>
      </c>
      <c r="Q111" s="149">
        <f t="shared" si="7"/>
        <v>126513611.45264491</v>
      </c>
      <c r="R111" s="149">
        <f t="shared" si="7"/>
        <v>126513611.45264491</v>
      </c>
      <c r="S111" s="149">
        <f t="shared" si="7"/>
        <v>126513611.45264491</v>
      </c>
      <c r="T111" s="149">
        <f t="shared" si="7"/>
        <v>126513611.45264491</v>
      </c>
      <c r="U111" s="149">
        <f t="shared" si="7"/>
        <v>126513611.45264491</v>
      </c>
      <c r="V111" s="149">
        <f t="shared" si="7"/>
        <v>126513611.45264491</v>
      </c>
      <c r="W111" s="149">
        <f t="shared" si="7"/>
        <v>126513611.45264491</v>
      </c>
      <c r="X111" s="149">
        <f t="shared" si="7"/>
        <v>126513611.45264491</v>
      </c>
      <c r="Y111" s="149">
        <f t="shared" si="7"/>
        <v>126513611.45264491</v>
      </c>
      <c r="Z111" s="149">
        <f t="shared" si="7"/>
        <v>126513611.45264491</v>
      </c>
      <c r="AA111" s="149">
        <f t="shared" si="7"/>
        <v>126513611.45264491</v>
      </c>
      <c r="AB111" s="149">
        <f t="shared" si="7"/>
        <v>126513611.45264491</v>
      </c>
      <c r="AC111" s="149">
        <f t="shared" si="7"/>
        <v>126513611.45264491</v>
      </c>
      <c r="AD111" s="149">
        <f t="shared" si="7"/>
        <v>126513611.45264491</v>
      </c>
      <c r="AE111" s="149">
        <f t="shared" si="7"/>
        <v>126513611.45264491</v>
      </c>
      <c r="AF111" s="149">
        <f t="shared" si="7"/>
        <v>126513611.45264491</v>
      </c>
      <c r="AG111" s="149">
        <f t="shared" si="7"/>
        <v>126513611.45264491</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5330257280.1235456</v>
      </c>
      <c r="D113" s="149">
        <f t="shared" ref="D113:AG113" si="8">$C$102</f>
        <v>177675242.67078477</v>
      </c>
      <c r="E113" s="149">
        <f t="shared" si="8"/>
        <v>177675242.67078477</v>
      </c>
      <c r="F113" s="149">
        <f t="shared" si="8"/>
        <v>177675242.67078477</v>
      </c>
      <c r="G113" s="149">
        <f t="shared" si="8"/>
        <v>177675242.67078477</v>
      </c>
      <c r="H113" s="149">
        <f t="shared" si="8"/>
        <v>177675242.67078477</v>
      </c>
      <c r="I113" s="149">
        <f t="shared" si="8"/>
        <v>177675242.67078477</v>
      </c>
      <c r="J113" s="149">
        <f t="shared" si="8"/>
        <v>177675242.67078477</v>
      </c>
      <c r="K113" s="149">
        <f t="shared" si="8"/>
        <v>177675242.67078477</v>
      </c>
      <c r="L113" s="149">
        <f t="shared" si="8"/>
        <v>177675242.67078477</v>
      </c>
      <c r="M113" s="149">
        <f t="shared" si="8"/>
        <v>177675242.67078477</v>
      </c>
      <c r="N113" s="149">
        <f t="shared" si="8"/>
        <v>177675242.67078477</v>
      </c>
      <c r="O113" s="149">
        <f t="shared" si="8"/>
        <v>177675242.67078477</v>
      </c>
      <c r="P113" s="149">
        <f t="shared" si="8"/>
        <v>177675242.67078477</v>
      </c>
      <c r="Q113" s="149">
        <f t="shared" si="8"/>
        <v>177675242.67078477</v>
      </c>
      <c r="R113" s="149">
        <f t="shared" si="8"/>
        <v>177675242.67078477</v>
      </c>
      <c r="S113" s="149">
        <f t="shared" si="8"/>
        <v>177675242.67078477</v>
      </c>
      <c r="T113" s="149">
        <f t="shared" si="8"/>
        <v>177675242.67078477</v>
      </c>
      <c r="U113" s="149">
        <f t="shared" si="8"/>
        <v>177675242.67078477</v>
      </c>
      <c r="V113" s="149">
        <f t="shared" si="8"/>
        <v>177675242.67078477</v>
      </c>
      <c r="W113" s="149">
        <f t="shared" si="8"/>
        <v>177675242.67078477</v>
      </c>
      <c r="X113" s="149">
        <f t="shared" si="8"/>
        <v>177675242.67078477</v>
      </c>
      <c r="Y113" s="149">
        <f t="shared" si="8"/>
        <v>177675242.67078477</v>
      </c>
      <c r="Z113" s="149">
        <f t="shared" si="8"/>
        <v>177675242.67078477</v>
      </c>
      <c r="AA113" s="149">
        <f t="shared" si="8"/>
        <v>177675242.67078477</v>
      </c>
      <c r="AB113" s="149">
        <f t="shared" si="8"/>
        <v>177675242.67078477</v>
      </c>
      <c r="AC113" s="149">
        <f t="shared" si="8"/>
        <v>177675242.67078477</v>
      </c>
      <c r="AD113" s="149">
        <f t="shared" si="8"/>
        <v>177675242.67078477</v>
      </c>
      <c r="AE113" s="149">
        <f t="shared" si="8"/>
        <v>177675242.67078477</v>
      </c>
      <c r="AF113" s="149">
        <f t="shared" si="8"/>
        <v>177675242.67078477</v>
      </c>
      <c r="AG113" s="149">
        <f t="shared" si="8"/>
        <v>177675242.67078477</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9">(E113*E$44)-E113</f>
        <v>0</v>
      </c>
      <c r="F115" s="149">
        <f t="shared" si="9"/>
        <v>0</v>
      </c>
      <c r="G115" s="149">
        <f t="shared" si="9"/>
        <v>0</v>
      </c>
      <c r="H115" s="149">
        <f>(H113*H$44)-H113</f>
        <v>-1190639.5861783922</v>
      </c>
      <c r="I115" s="149">
        <f t="shared" si="9"/>
        <v>-2373300.4432842433</v>
      </c>
      <c r="J115" s="149">
        <f t="shared" si="9"/>
        <v>-3548036.0384777784</v>
      </c>
      <c r="K115" s="149">
        <f t="shared" si="9"/>
        <v>-4714899.4806245267</v>
      </c>
      <c r="L115" s="149">
        <f t="shared" si="9"/>
        <v>-5873943.5226961672</v>
      </c>
      <c r="M115" s="149">
        <f t="shared" si="9"/>
        <v>-6346450.9531512856</v>
      </c>
      <c r="N115" s="149">
        <f t="shared" si="9"/>
        <v>-6817658.8400468528</v>
      </c>
      <c r="O115" s="149">
        <f t="shared" si="9"/>
        <v>-7287570.7575349808</v>
      </c>
      <c r="P115" s="149">
        <f t="shared" si="9"/>
        <v>-7756190.2699378729</v>
      </c>
      <c r="Q115" s="149">
        <f t="shared" si="9"/>
        <v>-8223520.931774646</v>
      </c>
      <c r="R115" s="149">
        <f t="shared" si="9"/>
        <v>-8537962.7392868102</v>
      </c>
      <c r="S115" s="149">
        <f t="shared" si="9"/>
        <v>-8851821.0552339852</v>
      </c>
      <c r="T115" s="149">
        <f t="shared" si="9"/>
        <v>-9165096.9623678327</v>
      </c>
      <c r="U115" s="149">
        <f t="shared" si="9"/>
        <v>-9477791.5414309204</v>
      </c>
      <c r="V115" s="149">
        <f t="shared" si="9"/>
        <v>-9789905.8711602688</v>
      </c>
      <c r="W115" s="149">
        <f t="shared" si="9"/>
        <v>-9789905.8711602688</v>
      </c>
      <c r="X115" s="149">
        <f t="shared" si="9"/>
        <v>-9789905.8711602688</v>
      </c>
      <c r="Y115" s="149">
        <f t="shared" si="9"/>
        <v>-9789905.8711602688</v>
      </c>
      <c r="Z115" s="149">
        <f t="shared" si="9"/>
        <v>-9789905.8711602688</v>
      </c>
      <c r="AA115" s="149">
        <f t="shared" si="9"/>
        <v>-9789905.8711602688</v>
      </c>
      <c r="AB115" s="149">
        <f t="shared" si="9"/>
        <v>-9789905.8711602688</v>
      </c>
      <c r="AC115" s="149">
        <f t="shared" si="9"/>
        <v>-9789905.8711602688</v>
      </c>
      <c r="AD115" s="149">
        <f t="shared" si="9"/>
        <v>-9789905.8711602688</v>
      </c>
      <c r="AE115" s="149">
        <f t="shared" si="9"/>
        <v>-9789905.8711602688</v>
      </c>
      <c r="AF115" s="149">
        <f t="shared" si="9"/>
        <v>-9789905.8711602688</v>
      </c>
      <c r="AG115" s="149">
        <f t="shared" si="9"/>
        <v>-9789905.8711602688</v>
      </c>
    </row>
    <row r="116" spans="1:33" s="153" customFormat="1" x14ac:dyDescent="0.35">
      <c r="A116" s="69" t="s">
        <v>90</v>
      </c>
      <c r="B116" s="69" t="s">
        <v>87</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177675242.67078477</v>
      </c>
      <c r="E118" s="149">
        <f t="shared" ref="E118:AG118" si="11">E113+E115+E116</f>
        <v>177675242.67078477</v>
      </c>
      <c r="F118" s="149">
        <f>F113+F115+F116</f>
        <v>177675242.67078477</v>
      </c>
      <c r="G118" s="149">
        <f t="shared" si="11"/>
        <v>177675242.67078477</v>
      </c>
      <c r="H118" s="149">
        <f t="shared" si="11"/>
        <v>176484603.08460638</v>
      </c>
      <c r="I118" s="149">
        <f t="shared" si="11"/>
        <v>175301942.22750053</v>
      </c>
      <c r="J118" s="149">
        <f t="shared" si="11"/>
        <v>174127206.63230699</v>
      </c>
      <c r="K118" s="149">
        <f t="shared" si="11"/>
        <v>172960343.19016024</v>
      </c>
      <c r="L118" s="149">
        <f t="shared" si="11"/>
        <v>171801299.1480886</v>
      </c>
      <c r="M118" s="149">
        <f t="shared" si="11"/>
        <v>171328791.71763349</v>
      </c>
      <c r="N118" s="149">
        <f t="shared" si="11"/>
        <v>170857583.83073792</v>
      </c>
      <c r="O118" s="149">
        <f t="shared" si="11"/>
        <v>170387671.91324979</v>
      </c>
      <c r="P118" s="149">
        <f t="shared" si="11"/>
        <v>169919052.4008469</v>
      </c>
      <c r="Q118" s="149">
        <f t="shared" si="11"/>
        <v>169451721.73901013</v>
      </c>
      <c r="R118" s="149">
        <f t="shared" si="11"/>
        <v>169137279.93149796</v>
      </c>
      <c r="S118" s="149">
        <f t="shared" si="11"/>
        <v>168823421.61555079</v>
      </c>
      <c r="T118" s="149">
        <f t="shared" si="11"/>
        <v>168510145.70841694</v>
      </c>
      <c r="U118" s="149">
        <f t="shared" si="11"/>
        <v>168197451.12935385</v>
      </c>
      <c r="V118" s="149">
        <f t="shared" si="11"/>
        <v>167885336.7996245</v>
      </c>
      <c r="W118" s="149">
        <f t="shared" si="11"/>
        <v>167885336.7996245</v>
      </c>
      <c r="X118" s="149">
        <f t="shared" si="11"/>
        <v>167885336.7996245</v>
      </c>
      <c r="Y118" s="149">
        <f t="shared" si="11"/>
        <v>167885336.7996245</v>
      </c>
      <c r="Z118" s="149">
        <f t="shared" si="11"/>
        <v>167885336.7996245</v>
      </c>
      <c r="AA118" s="149">
        <f t="shared" si="11"/>
        <v>167885336.7996245</v>
      </c>
      <c r="AB118" s="149">
        <f t="shared" si="11"/>
        <v>167885336.7996245</v>
      </c>
      <c r="AC118" s="149">
        <f t="shared" si="11"/>
        <v>167885336.7996245</v>
      </c>
      <c r="AD118" s="149">
        <f t="shared" si="11"/>
        <v>167885336.7996245</v>
      </c>
      <c r="AE118" s="149">
        <f t="shared" si="11"/>
        <v>167885336.7996245</v>
      </c>
      <c r="AF118" s="149">
        <f t="shared" si="11"/>
        <v>167885336.7996245</v>
      </c>
      <c r="AG118" s="149">
        <f t="shared" si="11"/>
        <v>167885336.7996245</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4264205.8240988348</v>
      </c>
      <c r="E120" s="149">
        <f>(SUM($D$118:E118)*$C$104/$C$106)+(SUM($D$118:E118)*$C$105/$C$107)</f>
        <v>8528411.6481976695</v>
      </c>
      <c r="F120" s="149">
        <f>(SUM($D$118:F118)*$C$104/$C$106)+(SUM($D$118:F118)*$C$105/$C$107)</f>
        <v>12792617.472296502</v>
      </c>
      <c r="G120" s="149">
        <f>(SUM($D$118:G118)*$C$104/$C$106)+(SUM($D$118:G118)*$C$105/$C$107)</f>
        <v>17056823.296395339</v>
      </c>
      <c r="H120" s="149">
        <f>(SUM($D$118:H118)*$C$104/$C$106)+(SUM($D$118:H118)*$C$105/$C$107)</f>
        <v>21292453.770425893</v>
      </c>
      <c r="I120" s="149">
        <f>(SUM($D$118:I118)*$C$104/$C$106)+(SUM($D$118:I118)*$C$105/$C$107)</f>
        <v>25499700.383885905</v>
      </c>
      <c r="J120" s="149">
        <f>(SUM($D$118:J118)*$C$104/$C$106)+(SUM($D$118:J118)*$C$105/$C$107)</f>
        <v>29678753.343061272</v>
      </c>
      <c r="K120" s="149">
        <f>(SUM($D$118:K118)*$C$104/$C$106)+(SUM($D$118:K118)*$C$105/$C$107)</f>
        <v>33829801.579625115</v>
      </c>
      <c r="L120" s="149">
        <f>(SUM($D$118:L118)*$C$104/$C$106)+(SUM($D$118:L118)*$C$105/$C$107)</f>
        <v>37953032.759179249</v>
      </c>
      <c r="M120" s="149">
        <f>(SUM($D$118:M118)*$C$104/$C$106)+(SUM($D$118:M118)*$C$105/$C$107)</f>
        <v>42064923.760402448</v>
      </c>
      <c r="N120" s="149">
        <f>(SUM($D$118:N118)*$C$104/$C$106)+(SUM($D$118:N118)*$C$105/$C$107)</f>
        <v>46165505.772340156</v>
      </c>
      <c r="O120" s="149">
        <f>(SUM($D$118:O118)*$C$104/$C$106)+(SUM($D$118:O118)*$C$105/$C$107)</f>
        <v>50254809.898258157</v>
      </c>
      <c r="P120" s="149">
        <f>(SUM($D$118:P118)*$C$104/$C$106)+(SUM($D$118:P118)*$C$105/$C$107)</f>
        <v>54332867.155878477</v>
      </c>
      <c r="Q120" s="149">
        <f>(SUM($D$118:Q118)*$C$104/$C$106)+(SUM($D$118:Q118)*$C$105/$C$107)</f>
        <v>58399708.477614731</v>
      </c>
      <c r="R120" s="149">
        <f>(SUM($D$118:R118)*$C$104/$C$106)+(SUM($D$118:R118)*$C$105/$C$107)</f>
        <v>62459003.195970684</v>
      </c>
      <c r="S120" s="149">
        <f>(SUM($D$118:S118)*$C$104/$C$106)+(SUM($D$118:S118)*$C$105/$C$107)</f>
        <v>66510765.314743899</v>
      </c>
      <c r="T120" s="149">
        <f>(SUM($D$118:T118)*$C$104/$C$106)+(SUM($D$118:T118)*$C$105/$C$107)</f>
        <v>70555008.811745912</v>
      </c>
      <c r="U120" s="149">
        <f>(SUM($D$118:U118)*$C$104/$C$106)+(SUM($D$118:U118)*$C$105/$C$107)</f>
        <v>74591747.638850406</v>
      </c>
      <c r="V120" s="149">
        <f>(SUM($D$118:V118)*$C$104/$C$106)+(SUM($D$118:V118)*$C$105/$C$107)</f>
        <v>78620995.722041398</v>
      </c>
      <c r="W120" s="149">
        <f>(SUM($D$118:W118)*$C$104/$C$106)+(SUM($D$118:W118)*$C$105/$C$107)</f>
        <v>82650243.805232376</v>
      </c>
      <c r="X120" s="149">
        <f>(SUM($D$118:X118)*$C$104/$C$106)+(SUM($D$118:X118)*$C$105/$C$107)</f>
        <v>86679491.888423353</v>
      </c>
      <c r="Y120" s="149">
        <f>(SUM($D$118:Y118)*$C$104/$C$106)+(SUM($D$118:Y118)*$C$105/$C$107)</f>
        <v>90708739.971614346</v>
      </c>
      <c r="Z120" s="149">
        <f>(SUM($D$118:Z118)*$C$104/$C$106)+(SUM($D$118:Z118)*$C$105/$C$107)</f>
        <v>94737988.054805338</v>
      </c>
      <c r="AA120" s="149">
        <f>(SUM($D$118:AA118)*$C$104/$C$106)+(SUM($D$118:AA118)*$C$105/$C$107)</f>
        <v>98767236.137996331</v>
      </c>
      <c r="AB120" s="149">
        <f>(SUM($D$118:AB118)*$C$104/$C$106)+(SUM($D$118:AB118)*$C$105/$C$107)</f>
        <v>102796484.22118731</v>
      </c>
      <c r="AC120" s="149">
        <f>(SUM($D$118:AC118)*$C$104/$C$106)+(SUM($D$118:AC118)*$C$105/$C$107)</f>
        <v>106825732.3043783</v>
      </c>
      <c r="AD120" s="149">
        <f>(SUM($D$118:AD118)*$C$104/$C$106)+(SUM($D$118:AD118)*$C$105/$C$107)</f>
        <v>110854980.38756929</v>
      </c>
      <c r="AE120" s="149">
        <f>(SUM($D$118:AE118)*$C$104/$C$106)+(SUM($D$118:AE118)*$C$105/$C$107)</f>
        <v>114884228.47076029</v>
      </c>
      <c r="AF120" s="149">
        <f>(SUM($D$118:AF118)*$C$104/$C$106)+(SUM($D$118:AF118)*$C$105/$C$107)</f>
        <v>118913476.55395126</v>
      </c>
      <c r="AG120" s="149">
        <f>(SUM($D$118:AG118)*$C$104/$C$106)+(SUM($D$118:AG118)*$C$105/$C$107)</f>
        <v>122942724.63714227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5330257.280123543</v>
      </c>
      <c r="E122" s="72">
        <f>(SUM($D$118:E118)*$C$109)</f>
        <v>10660514.560247086</v>
      </c>
      <c r="F122" s="72">
        <f>(SUM($D$118:F118)*$C$109)</f>
        <v>15990771.840370629</v>
      </c>
      <c r="G122" s="72">
        <f>(SUM($D$118:G118)*$C$109)</f>
        <v>21321029.120494172</v>
      </c>
      <c r="H122" s="72">
        <f>(SUM($D$118:H118)*$C$109)</f>
        <v>26615567.213032365</v>
      </c>
      <c r="I122" s="72">
        <f>(SUM($D$118:I118)*$C$109)</f>
        <v>31874625.479857381</v>
      </c>
      <c r="J122" s="72">
        <f>(SUM($D$118:J118)*$C$109)</f>
        <v>37098441.678826585</v>
      </c>
      <c r="K122" s="72">
        <f>(SUM($D$118:K118)*$C$109)</f>
        <v>42287251.974531397</v>
      </c>
      <c r="L122" s="72">
        <f>(SUM($D$118:L118)*$C$109)</f>
        <v>47441290.948974058</v>
      </c>
      <c r="M122" s="72">
        <f>(SUM($D$118:M118)*$C$109)</f>
        <v>52581154.700503059</v>
      </c>
      <c r="N122" s="72">
        <f>(SUM($D$118:N118)*$C$109)</f>
        <v>57706882.215425193</v>
      </c>
      <c r="O122" s="72">
        <f>(SUM($D$118:O118)*$C$109)</f>
        <v>62818512.372822687</v>
      </c>
      <c r="P122" s="72">
        <f>(SUM($D$118:P118)*$C$109)</f>
        <v>67916083.94484809</v>
      </c>
      <c r="Q122" s="72">
        <f>(SUM($D$118:Q118)*$C$109)</f>
        <v>72999635.597018406</v>
      </c>
      <c r="R122" s="72">
        <f>(SUM($D$118:R118)*$C$109)</f>
        <v>78073753.994963348</v>
      </c>
      <c r="S122" s="72">
        <f>(SUM($D$118:S118)*$C$109)</f>
        <v>83138456.643429875</v>
      </c>
      <c r="T122" s="72">
        <f>(SUM($D$118:T118)*$C$109)</f>
        <v>88193761.014682382</v>
      </c>
      <c r="U122" s="72">
        <f>(SUM($D$118:U118)*$C$109)</f>
        <v>93239684.548563004</v>
      </c>
      <c r="V122" s="72">
        <f>(SUM($D$118:V118)*$C$109)</f>
        <v>98276244.65255174</v>
      </c>
      <c r="W122" s="72">
        <f>(SUM($D$118:W118)*$C$109)</f>
        <v>103312804.75654048</v>
      </c>
      <c r="X122" s="72">
        <f>(SUM($D$118:X118)*$C$109)</f>
        <v>108349364.8605292</v>
      </c>
      <c r="Y122" s="72">
        <f>(SUM($D$118:Y118)*$C$109)</f>
        <v>113385924.96451794</v>
      </c>
      <c r="Z122" s="72">
        <f>(SUM($D$118:Z118)*$C$109)</f>
        <v>118422485.06850667</v>
      </c>
      <c r="AA122" s="72">
        <f>(SUM($D$118:AA118)*$C$109)</f>
        <v>123459045.17249541</v>
      </c>
      <c r="AB122" s="72">
        <f>(SUM($D$118:AB118)*$C$109)</f>
        <v>128495605.27648413</v>
      </c>
      <c r="AC122" s="72">
        <f>(SUM($D$118:AC118)*$C$109)</f>
        <v>133532165.38047288</v>
      </c>
      <c r="AD122" s="72">
        <f>(SUM($D$118:AD118)*$C$109)</f>
        <v>138568725.48446161</v>
      </c>
      <c r="AE122" s="72">
        <f>(SUM($D$118:AE118)*$C$109)</f>
        <v>143605285.58845034</v>
      </c>
      <c r="AF122" s="72">
        <f>(SUM($D$118:AF118)*$C$109)</f>
        <v>148641845.69243908</v>
      </c>
      <c r="AG122" s="72">
        <f>(SUM($D$118:AG118)*$C$109)</f>
        <v>153678405.79642782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132</v>
      </c>
      <c r="C126" s="126">
        <v>375200</v>
      </c>
      <c r="D126" s="140"/>
    </row>
    <row r="127" spans="1:33" x14ac:dyDescent="0.35">
      <c r="A127" s="77" t="s">
        <v>151</v>
      </c>
      <c r="B127" s="77" t="s">
        <v>133</v>
      </c>
      <c r="C127" s="126">
        <v>394700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384950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142574.07407407407</v>
      </c>
      <c r="D135" s="157">
        <f t="shared" ref="D135:AG135" si="12">$C$135*D13</f>
        <v>143909.7826817242</v>
      </c>
      <c r="E135" s="157">
        <f t="shared" si="12"/>
        <v>145258.0049072683</v>
      </c>
      <c r="F135" s="157">
        <f t="shared" si="12"/>
        <v>146618.85798483359</v>
      </c>
      <c r="G135" s="157">
        <f t="shared" si="12"/>
        <v>147992.4602468579</v>
      </c>
      <c r="H135" s="157">
        <f t="shared" si="12"/>
        <v>149378.93113437947</v>
      </c>
      <c r="I135" s="157">
        <f t="shared" si="12"/>
        <v>150778.39120742262</v>
      </c>
      <c r="J135" s="157">
        <f t="shared" si="12"/>
        <v>152190.96215548125</v>
      </c>
      <c r="K135" s="157">
        <f t="shared" si="12"/>
        <v>153616.76680810002</v>
      </c>
      <c r="L135" s="157">
        <f t="shared" si="12"/>
        <v>155055.92914555527</v>
      </c>
      <c r="M135" s="157">
        <f t="shared" si="12"/>
        <v>156508.57430963541</v>
      </c>
      <c r="N135" s="157">
        <f t="shared" si="12"/>
        <v>157974.8286145227</v>
      </c>
      <c r="O135" s="157">
        <f t="shared" si="12"/>
        <v>159454.81955777679</v>
      </c>
      <c r="P135" s="157">
        <f t="shared" si="12"/>
        <v>160948.67583142137</v>
      </c>
      <c r="Q135" s="157">
        <f t="shared" si="12"/>
        <v>162456.52733313426</v>
      </c>
      <c r="R135" s="157">
        <f t="shared" si="12"/>
        <v>163978.50517754289</v>
      </c>
      <c r="S135" s="157">
        <f t="shared" si="12"/>
        <v>165514.74170762516</v>
      </c>
      <c r="T135" s="157">
        <f t="shared" si="12"/>
        <v>167065.37050621724</v>
      </c>
      <c r="U135" s="157">
        <f t="shared" si="12"/>
        <v>168630.5264076294</v>
      </c>
      <c r="V135" s="157">
        <f t="shared" si="12"/>
        <v>170210.34550937032</v>
      </c>
      <c r="W135" s="157">
        <f t="shared" si="12"/>
        <v>171804.96518398129</v>
      </c>
      <c r="X135" s="157">
        <f t="shared" si="12"/>
        <v>173414.52409098181</v>
      </c>
      <c r="Y135" s="157">
        <f t="shared" si="12"/>
        <v>175039.1621889261</v>
      </c>
      <c r="Z135" s="157">
        <f t="shared" si="12"/>
        <v>176679.02074757361</v>
      </c>
      <c r="AA135" s="157">
        <f t="shared" si="12"/>
        <v>178334.24236017282</v>
      </c>
      <c r="AB135" s="157">
        <f t="shared" si="12"/>
        <v>180004.97095586048</v>
      </c>
      <c r="AC135" s="157">
        <f t="shared" si="12"/>
        <v>181691.3518121769</v>
      </c>
      <c r="AD135" s="157">
        <f t="shared" si="12"/>
        <v>183393.5315676984</v>
      </c>
      <c r="AE135" s="157">
        <f t="shared" si="12"/>
        <v>185111.65823478837</v>
      </c>
      <c r="AF135" s="157">
        <f t="shared" si="12"/>
        <v>186845.88121246759</v>
      </c>
      <c r="AG135" s="157">
        <f t="shared" si="12"/>
        <v>188596.35129940498</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0.8</v>
      </c>
      <c r="F4" s="65">
        <v>0.3</v>
      </c>
      <c r="G4" s="65">
        <v>0.04</v>
      </c>
      <c r="H4" s="65">
        <v>3.5000000000000003E-2</v>
      </c>
      <c r="I4" s="65">
        <v>3.5000000000000003E-2</v>
      </c>
      <c r="J4" s="65">
        <v>3.5000000000000003E-2</v>
      </c>
      <c r="K4" s="65">
        <v>3.5000000000000003E-2</v>
      </c>
      <c r="L4" s="65">
        <v>3.5000000000000003E-2</v>
      </c>
      <c r="M4" s="65">
        <v>3.5000000000000003E-2</v>
      </c>
      <c r="N4" s="65">
        <v>3.5000000000000003E-2</v>
      </c>
      <c r="O4" s="65">
        <v>3.5000000000000003E-2</v>
      </c>
      <c r="P4" s="65">
        <v>3.5000000000000003E-2</v>
      </c>
      <c r="Q4" s="65">
        <v>3.5000000000000003E-2</v>
      </c>
      <c r="R4" s="65">
        <v>3.5000000000000003E-2</v>
      </c>
      <c r="S4" s="65">
        <v>3.5000000000000003E-2</v>
      </c>
      <c r="T4" s="65">
        <v>3.5000000000000003E-2</v>
      </c>
      <c r="U4" s="65">
        <v>3.5000000000000003E-2</v>
      </c>
      <c r="V4" s="65">
        <v>3.5000000000000003E-2</v>
      </c>
      <c r="W4" s="65">
        <v>3.5000000000000003E-2</v>
      </c>
      <c r="X4" s="65">
        <v>3.5000000000000003E-2</v>
      </c>
      <c r="Y4" s="65">
        <v>3.5000000000000003E-2</v>
      </c>
      <c r="Z4" s="65">
        <v>3.5000000000000003E-2</v>
      </c>
      <c r="AA4" s="65">
        <v>3.5000000000000003E-2</v>
      </c>
      <c r="AB4" s="65">
        <v>3.5000000000000003E-2</v>
      </c>
      <c r="AC4" s="65">
        <v>3.5000000000000003E-2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3.0136599671097044</v>
      </c>
      <c r="C6" s="25"/>
      <c r="D6" s="25"/>
      <c r="E6" s="27">
        <f>'Debt worksheet'!C5/'Profit and Loss'!C5</f>
        <v>3.0136599671097044</v>
      </c>
      <c r="F6" s="28">
        <f ca="1">'Debt worksheet'!D5/'Profit and Loss'!D5</f>
        <v>2.5429193500278626</v>
      </c>
      <c r="G6" s="28">
        <f ca="1">'Debt worksheet'!E5/'Profit and Loss'!E5</f>
        <v>2.48175712934251</v>
      </c>
      <c r="H6" s="28">
        <f ca="1">'Debt worksheet'!F5/'Profit and Loss'!F5</f>
        <v>2.4383696728756088</v>
      </c>
      <c r="I6" s="28">
        <f ca="1">'Debt worksheet'!G5/'Profit and Loss'!G5</f>
        <v>2.4046452519587733</v>
      </c>
      <c r="J6" s="28">
        <f ca="1">'Debt worksheet'!H5/'Profit and Loss'!H5</f>
        <v>2.3752009196304642</v>
      </c>
      <c r="K6" s="28">
        <f ca="1">'Debt worksheet'!I5/'Profit and Loss'!I5</f>
        <v>2.349283129066976</v>
      </c>
      <c r="L6" s="28">
        <f ca="1">'Debt worksheet'!J5/'Profit and Loss'!J5</f>
        <v>2.3261810256726045</v>
      </c>
      <c r="M6" s="28">
        <f ca="1">'Debt worksheet'!K5/'Profit and Loss'!K5</f>
        <v>2.3052245307890522</v>
      </c>
      <c r="N6" s="28">
        <f ca="1">'Debt worksheet'!L5/'Profit and Loss'!L5</f>
        <v>2.2857825043266691</v>
      </c>
      <c r="O6" s="28">
        <f ca="1">'Debt worksheet'!M5/'Profit and Loss'!M5</f>
        <v>2.2699799492265438</v>
      </c>
      <c r="P6" s="28">
        <f ca="1">'Debt worksheet'!N5/'Profit and Loss'!N5</f>
        <v>2.2572862227614618</v>
      </c>
      <c r="Q6" s="28">
        <f ca="1">'Debt worksheet'!O5/'Profit and Loss'!O5</f>
        <v>2.2471953579160258</v>
      </c>
      <c r="R6" s="28">
        <f ca="1">'Debt worksheet'!P5/'Profit and Loss'!P5</f>
        <v>2.2392251684374149</v>
      </c>
      <c r="S6" s="28">
        <f ca="1">'Debt worksheet'!Q5/'Profit and Loss'!Q5</f>
        <v>2.2329163834279169</v>
      </c>
      <c r="T6" s="28">
        <f ca="1">'Debt worksheet'!R5/'Profit and Loss'!R5</f>
        <v>2.228440048467732</v>
      </c>
      <c r="U6" s="28">
        <f ca="1">'Debt worksheet'!S5/'Profit and Loss'!S5</f>
        <v>2.225385561189865</v>
      </c>
      <c r="V6" s="28">
        <f ca="1">'Debt worksheet'!T5/'Profit and Loss'!T5</f>
        <v>2.2233612173260382</v>
      </c>
      <c r="W6" s="28">
        <f ca="1">'Debt worksheet'!U5/'Profit and Loss'!U5</f>
        <v>2.2219935532734958</v>
      </c>
      <c r="X6" s="28">
        <f ca="1">'Debt worksheet'!V5/'Profit and Loss'!V5</f>
        <v>2.2209267092817426</v>
      </c>
      <c r="Y6" s="28">
        <f ca="1">'Debt worksheet'!W5/'Profit and Loss'!W5</f>
        <v>2.2210629513780082</v>
      </c>
      <c r="Z6" s="28">
        <f ca="1">'Debt worksheet'!X5/'Profit and Loss'!X5</f>
        <v>2.2220877052380534</v>
      </c>
      <c r="AA6" s="28">
        <f ca="1">'Debt worksheet'!Y5/'Profit and Loss'!Y5</f>
        <v>2.2236995949715452</v>
      </c>
      <c r="AB6" s="28">
        <f ca="1">'Debt worksheet'!Z5/'Profit and Loss'!Z5</f>
        <v>2.2256100335172762</v>
      </c>
      <c r="AC6" s="28">
        <f ca="1">'Debt worksheet'!AA5/'Profit and Loss'!AA5</f>
        <v>2.2275428243873692</v>
      </c>
      <c r="AD6" s="28">
        <f ca="1">'Debt worksheet'!AB5/'Profit and Loss'!AB5</f>
        <v>2.2575899770729388</v>
      </c>
      <c r="AE6" s="28">
        <f ca="1">'Debt worksheet'!AC5/'Profit and Loss'!AC5</f>
        <v>2.3003120993916157</v>
      </c>
      <c r="AF6" s="28">
        <f ca="1">'Debt worksheet'!AD5/'Profit and Loss'!AD5</f>
        <v>2.3556653191081338</v>
      </c>
      <c r="AG6" s="28">
        <f ca="1">'Debt worksheet'!AE5/'Profit and Loss'!AE5</f>
        <v>2.4236071345092318</v>
      </c>
      <c r="AH6" s="28">
        <f ca="1">'Debt worksheet'!AF5/'Profit and Loss'!AF5</f>
        <v>2.5040964008380548</v>
      </c>
      <c r="AI6" s="31"/>
    </row>
    <row r="7" spans="1:35" ht="21" x14ac:dyDescent="0.5">
      <c r="A7" s="19" t="s">
        <v>39</v>
      </c>
      <c r="B7" s="26">
        <f ca="1">MIN('Price and Financial ratios'!E7:AH7)</f>
        <v>0.20221634714506634</v>
      </c>
      <c r="C7" s="26"/>
      <c r="D7" s="26"/>
      <c r="E7" s="56">
        <f ca="1">'Cash Flow'!C7/'Debt worksheet'!C5</f>
        <v>0.20221634714506634</v>
      </c>
      <c r="F7" s="32">
        <f ca="1">'Cash Flow'!D7/'Debt worksheet'!D5</f>
        <v>0.26790252339391118</v>
      </c>
      <c r="G7" s="32">
        <f ca="1">'Cash Flow'!E7/'Debt worksheet'!E5</f>
        <v>0.27212328005145581</v>
      </c>
      <c r="H7" s="32">
        <f ca="1">'Cash Flow'!F7/'Debt worksheet'!F5</f>
        <v>0.27396576046746179</v>
      </c>
      <c r="I7" s="32">
        <f ca="1">'Cash Flow'!G7/'Debt worksheet'!G5</f>
        <v>0.27571484887514075</v>
      </c>
      <c r="J7" s="32">
        <f ca="1">'Cash Flow'!H7/'Debt worksheet'!H5</f>
        <v>0.27722020409573023</v>
      </c>
      <c r="K7" s="32">
        <f ca="1">'Cash Flow'!I7/'Debt worksheet'!I5</f>
        <v>0.2785506971593576</v>
      </c>
      <c r="L7" s="32">
        <f ca="1">'Cash Flow'!J7/'Debt worksheet'!J5</f>
        <v>0.27977681617059474</v>
      </c>
      <c r="M7" s="17">
        <f ca="1">'Cash Flow'!K7/'Debt worksheet'!K5</f>
        <v>0.28096946560213187</v>
      </c>
      <c r="N7" s="17">
        <f ca="1">'Cash Flow'!L7/'Debt worksheet'!L5</f>
        <v>0.28160892790292824</v>
      </c>
      <c r="O7" s="17">
        <f ca="1">'Cash Flow'!M7/'Debt worksheet'!M5</f>
        <v>0.28193392611720974</v>
      </c>
      <c r="P7" s="17">
        <f ca="1">'Cash Flow'!N7/'Debt worksheet'!N5</f>
        <v>0.28200297069592545</v>
      </c>
      <c r="Q7" s="17">
        <f ca="1">'Cash Flow'!O7/'Debt worksheet'!O5</f>
        <v>0.28187519683563977</v>
      </c>
      <c r="R7" s="17">
        <f ca="1">'Cash Flow'!P7/'Debt worksheet'!P5</f>
        <v>0.28160922724105253</v>
      </c>
      <c r="S7" s="17">
        <f ca="1">'Cash Flow'!Q7/'Debt worksheet'!Q5</f>
        <v>0.28111805796925865</v>
      </c>
      <c r="T7" s="17">
        <f ca="1">'Cash Flow'!R7/'Debt worksheet'!R5</f>
        <v>0.28050841075960936</v>
      </c>
      <c r="U7" s="17">
        <f ca="1">'Cash Flow'!S7/'Debt worksheet'!S5</f>
        <v>0.27983323317885078</v>
      </c>
      <c r="V7" s="17">
        <f ca="1">'Cash Flow'!T7/'Debt worksheet'!T5</f>
        <v>0.27914316083579005</v>
      </c>
      <c r="W7" s="17">
        <f ca="1">'Cash Flow'!U7/'Debt worksheet'!U5</f>
        <v>0.27848626208023547</v>
      </c>
      <c r="X7" s="17">
        <f ca="1">'Cash Flow'!V7/'Debt worksheet'!V5</f>
        <v>0.27759688916836678</v>
      </c>
      <c r="Y7" s="17">
        <f ca="1">'Cash Flow'!W7/'Debt worksheet'!W5</f>
        <v>0.27664448395941432</v>
      </c>
      <c r="Z7" s="17">
        <f ca="1">'Cash Flow'!X7/'Debt worksheet'!X5</f>
        <v>0.27567069378847814</v>
      </c>
      <c r="AA7" s="17">
        <f ca="1">'Cash Flow'!Y7/'Debt worksheet'!Y5</f>
        <v>0.27471491950981197</v>
      </c>
      <c r="AB7" s="17">
        <f ca="1">'Cash Flow'!Z7/'Debt worksheet'!Z5</f>
        <v>0.27381426753409616</v>
      </c>
      <c r="AC7" s="17">
        <f ca="1">'Cash Flow'!AA7/'Debt worksheet'!AA5</f>
        <v>0.27300360852586608</v>
      </c>
      <c r="AD7" s="17">
        <f ca="1">'Cash Flow'!AB7/'Debt worksheet'!AB5</f>
        <v>0.26647697214318444</v>
      </c>
      <c r="AE7" s="17">
        <f ca="1">'Cash Flow'!AC7/'Debt worksheet'!AC5</f>
        <v>0.258536814268573</v>
      </c>
      <c r="AF7" s="17">
        <f ca="1">'Cash Flow'!AD7/'Debt worksheet'!AD5</f>
        <v>0.24939284087658564</v>
      </c>
      <c r="AG7" s="17">
        <f ca="1">'Cash Flow'!AE7/'Debt worksheet'!AE5</f>
        <v>0.23927467093677321</v>
      </c>
      <c r="AH7" s="17">
        <f ca="1">'Cash Flow'!AF7/'Debt worksheet'!AF5</f>
        <v>0.22841791521689006</v>
      </c>
      <c r="AI7" s="29"/>
    </row>
    <row r="8" spans="1:35" ht="21" x14ac:dyDescent="0.5">
      <c r="A8" s="19" t="s">
        <v>34</v>
      </c>
      <c r="B8" s="26">
        <f ca="1">MAX('Price and Financial ratios'!E8:AH8)</f>
        <v>0.30502622549062547</v>
      </c>
      <c r="C8" s="26"/>
      <c r="D8" s="176"/>
      <c r="E8" s="17">
        <f>'Balance Sheet'!B11/'Balance Sheet'!B8</f>
        <v>0.24320828634123945</v>
      </c>
      <c r="F8" s="17">
        <f ca="1">'Balance Sheet'!C11/'Balance Sheet'!C8</f>
        <v>0.26525720260636199</v>
      </c>
      <c r="G8" s="17">
        <f ca="1">'Balance Sheet'!D11/'Balance Sheet'!D8</f>
        <v>0.2608250348048774</v>
      </c>
      <c r="H8" s="17">
        <f ca="1">'Balance Sheet'!E11/'Balance Sheet'!E8</f>
        <v>0.25705851526264595</v>
      </c>
      <c r="I8" s="17">
        <f ca="1">'Balance Sheet'!F11/'Balance Sheet'!F8</f>
        <v>0.25438651801644857</v>
      </c>
      <c r="J8" s="17">
        <f ca="1">'Balance Sheet'!G11/'Balance Sheet'!G8</f>
        <v>0.25230969619059052</v>
      </c>
      <c r="K8" s="17">
        <f ca="1">'Balance Sheet'!H11/'Balance Sheet'!H8</f>
        <v>0.25074043636717491</v>
      </c>
      <c r="L8" s="17">
        <f ca="1">'Balance Sheet'!I11/'Balance Sheet'!I8</f>
        <v>0.24959680177661003</v>
      </c>
      <c r="M8" s="17">
        <f ca="1">'Balance Sheet'!J11/'Balance Sheet'!J8</f>
        <v>0.24880175390919437</v>
      </c>
      <c r="N8" s="17">
        <f ca="1">'Balance Sheet'!K11/'Balance Sheet'!K8</f>
        <v>0.24828342183277852</v>
      </c>
      <c r="O8" s="17">
        <f ca="1">'Balance Sheet'!L11/'Balance Sheet'!L8</f>
        <v>0.24823212988349985</v>
      </c>
      <c r="P8" s="17">
        <f ca="1">'Balance Sheet'!M11/'Balance Sheet'!M8</f>
        <v>0.24859338096047132</v>
      </c>
      <c r="Q8" s="17">
        <f ca="1">'Balance Sheet'!N11/'Balance Sheet'!N8</f>
        <v>0.24931486589045213</v>
      </c>
      <c r="R8" s="17">
        <f ca="1">'Balance Sheet'!O11/'Balance Sheet'!O8</f>
        <v>0.25034620200579433</v>
      </c>
      <c r="S8" s="17">
        <f ca="1">'Balance Sheet'!P11/'Balance Sheet'!P8</f>
        <v>0.2516389075249934</v>
      </c>
      <c r="T8" s="17">
        <f ca="1">'Balance Sheet'!Q11/'Balance Sheet'!Q8</f>
        <v>0.25320646109584072</v>
      </c>
      <c r="U8" s="17">
        <f ca="1">'Balance Sheet'!R11/'Balance Sheet'!R8</f>
        <v>0.25500554980707213</v>
      </c>
      <c r="V8" s="17">
        <f ca="1">'Balance Sheet'!S11/'Balance Sheet'!S8</f>
        <v>0.25699390825209262</v>
      </c>
      <c r="W8" s="17">
        <f ca="1">'Balance Sheet'!T11/'Balance Sheet'!T8</f>
        <v>0.25913018440400876</v>
      </c>
      <c r="X8" s="17">
        <f ca="1">'Balance Sheet'!U11/'Balance Sheet'!U8</f>
        <v>0.26137425430739225</v>
      </c>
      <c r="Y8" s="17">
        <f ca="1">'Balance Sheet'!V11/'Balance Sheet'!V8</f>
        <v>0.26381593124766456</v>
      </c>
      <c r="Z8" s="17">
        <f ca="1">'Balance Sheet'!W11/'Balance Sheet'!W8</f>
        <v>0.26642129808539555</v>
      </c>
      <c r="AA8" s="17">
        <f ca="1">'Balance Sheet'!X11/'Balance Sheet'!X8</f>
        <v>0.26915682415378306</v>
      </c>
      <c r="AB8" s="17">
        <f ca="1">'Balance Sheet'!Y11/'Balance Sheet'!Y8</f>
        <v>0.27198930928332615</v>
      </c>
      <c r="AC8" s="17">
        <f ca="1">'Balance Sheet'!Z11/'Balance Sheet'!Z8</f>
        <v>0.27488583193692662</v>
      </c>
      <c r="AD8" s="17">
        <f ca="1">'Balance Sheet'!AA11/'Balance Sheet'!AA8</f>
        <v>0.27781370107641823</v>
      </c>
      <c r="AE8" s="17">
        <f ca="1">'Balance Sheet'!AB11/'Balance Sheet'!AB8</f>
        <v>0.28230861288106096</v>
      </c>
      <c r="AF8" s="17">
        <f ca="1">'Balance Sheet'!AC11/'Balance Sheet'!AC8</f>
        <v>0.28835303432725889</v>
      </c>
      <c r="AG8" s="17">
        <f ca="1">'Balance Sheet'!AD11/'Balance Sheet'!AD8</f>
        <v>0.29593063776170325</v>
      </c>
      <c r="AH8" s="17">
        <f ca="1">'Balance Sheet'!AE11/'Balance Sheet'!AE8</f>
        <v>0.30502622549062547</v>
      </c>
      <c r="AI8" s="29"/>
    </row>
    <row r="9" spans="1:35" ht="21.5" thickBot="1" x14ac:dyDescent="0.55000000000000004">
      <c r="A9" s="20" t="s">
        <v>33</v>
      </c>
      <c r="B9" s="21">
        <f ca="1">MIN('Price and Financial ratios'!E9:AH9)</f>
        <v>6.218152525839602</v>
      </c>
      <c r="C9" s="21"/>
      <c r="D9" s="177"/>
      <c r="E9" s="21">
        <f ca="1">('Cash Flow'!C7+'Profit and Loss'!C8)/('Profit and Loss'!C8)</f>
        <v>6.218152525839602</v>
      </c>
      <c r="F9" s="21">
        <f ca="1">('Cash Flow'!D7+'Profit and Loss'!D8)/('Profit and Loss'!D8)</f>
        <v>8.4713481037474629</v>
      </c>
      <c r="G9" s="21">
        <f ca="1">('Cash Flow'!E7+'Profit and Loss'!E8)/('Profit and Loss'!E8)</f>
        <v>8.5747320632909751</v>
      </c>
      <c r="H9" s="21">
        <f ca="1">('Cash Flow'!F7+'Profit and Loss'!F8)/('Profit and Loss'!F8)</f>
        <v>8.5977792302057718</v>
      </c>
      <c r="I9" s="21">
        <f ca="1">('Cash Flow'!G7+'Profit and Loss'!G8)/('Profit and Loss'!G8)</f>
        <v>8.6340089939465603</v>
      </c>
      <c r="J9" s="21">
        <f ca="1">('Cash Flow'!H7+'Profit and Loss'!H8)/('Profit and Loss'!H8)</f>
        <v>8.6653452439642056</v>
      </c>
      <c r="K9" s="21">
        <f ca="1">('Cash Flow'!I7+'Profit and Loss'!I8)/('Profit and Loss'!I8)</f>
        <v>8.6937478520022466</v>
      </c>
      <c r="L9" s="21">
        <f ca="1">('Cash Flow'!J7+'Profit and Loss'!J8)/('Profit and Loss'!J8)</f>
        <v>8.7211830469603839</v>
      </c>
      <c r="M9" s="21">
        <f ca="1">('Cash Flow'!K7+'Profit and Loss'!K8)/('Profit and Loss'!K8)</f>
        <v>8.7496002714650327</v>
      </c>
      <c r="N9" s="21">
        <f ca="1">('Cash Flow'!L7+'Profit and Loss'!L8)/('Profit and Loss'!L8)</f>
        <v>8.7553455057088474</v>
      </c>
      <c r="O9" s="21">
        <f ca="1">('Cash Flow'!M7+'Profit and Loss'!M8)/('Profit and Loss'!M8)</f>
        <v>8.7539782365072281</v>
      </c>
      <c r="P9" s="21">
        <f ca="1">('Cash Flow'!N7+'Profit and Loss'!N8)/('Profit and Loss'!N8)</f>
        <v>8.7471387370541898</v>
      </c>
      <c r="Q9" s="21">
        <f ca="1">('Cash Flow'!O7+'Profit and Loss'!O8)/('Profit and Loss'!O8)</f>
        <v>8.736450889231854</v>
      </c>
      <c r="R9" s="21">
        <f ca="1">('Cash Flow'!P7+'Profit and Loss'!P8)/('Profit and Loss'!P8)</f>
        <v>8.7234979529534371</v>
      </c>
      <c r="S9" s="21">
        <f ca="1">('Cash Flow'!Q7+'Profit and Loss'!Q8)/('Profit and Loss'!Q8)</f>
        <v>8.7037485271505126</v>
      </c>
      <c r="T9" s="21">
        <f ca="1">('Cash Flow'!R7+'Profit and Loss'!R8)/('Profit and Loss'!R8)</f>
        <v>8.6821613560714805</v>
      </c>
      <c r="U9" s="21">
        <f ca="1">('Cash Flow'!S7+'Profit and Loss'!S8)/('Profit and Loss'!S8)</f>
        <v>8.6601342077546715</v>
      </c>
      <c r="V9" s="21">
        <f ca="1">('Cash Flow'!T7+'Profit and Loss'!T8)/('Profit and Loss'!T8)</f>
        <v>8.6389922859188211</v>
      </c>
      <c r="W9" s="21">
        <f ca="1">('Cash Flow'!U7+'Profit and Loss'!U8)/('Profit and Loss'!U8)</f>
        <v>8.6199863230268559</v>
      </c>
      <c r="X9" s="21">
        <f ca="1">('Cash Flow'!V7+'Profit and Loss'!V8)/('Profit and Loss'!V8)</f>
        <v>8.5915385623666154</v>
      </c>
      <c r="Y9" s="21">
        <f ca="1">('Cash Flow'!W7+'Profit and Loss'!W8)/('Profit and Loss'!W8)</f>
        <v>8.5624677383892909</v>
      </c>
      <c r="Z9" s="21">
        <f ca="1">('Cash Flow'!X7+'Profit and Loss'!X8)/('Profit and Loss'!X8)</f>
        <v>8.5338596786669196</v>
      </c>
      <c r="AA9" s="21">
        <f ca="1">('Cash Flow'!Y7+'Profit and Loss'!Y8)/('Profit and Loss'!Y8)</f>
        <v>8.5067359693921905</v>
      </c>
      <c r="AB9" s="21">
        <f ca="1">('Cash Flow'!Z7+'Profit and Loss'!Z8)/('Profit and Loss'!Z8)</f>
        <v>8.4820555932517046</v>
      </c>
      <c r="AC9" s="21">
        <f ca="1">('Cash Flow'!AA7+'Profit and Loss'!AA8)/('Profit and Loss'!AA8)</f>
        <v>8.46071900937722</v>
      </c>
      <c r="AD9" s="21">
        <f ca="1">('Cash Flow'!AB7+'Profit and Loss'!AB8)/('Profit and Loss'!AB8)</f>
        <v>8.2435137997238304</v>
      </c>
      <c r="AE9" s="21">
        <f ca="1">('Cash Flow'!AC7+'Profit and Loss'!AC8)/('Profit and Loss'!AC8)</f>
        <v>7.9924097705272423</v>
      </c>
      <c r="AF9" s="21">
        <f ca="1">('Cash Flow'!AD7+'Profit and Loss'!AD8)/('Profit and Loss'!AD8)</f>
        <v>7.713772959126632</v>
      </c>
      <c r="AG9" s="21">
        <f ca="1">('Cash Flow'!AE7+'Profit and Loss'!AE8)/('Profit and Loss'!AE8)</f>
        <v>7.4141514205153563</v>
      </c>
      <c r="AH9" s="21">
        <f ca="1">('Cash Flow'!AF7+'Profit and Loss'!AF8)/('Profit and Loss'!AF8)</f>
        <v>7.0999314572004257</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126513611.45264491</v>
      </c>
      <c r="D5" s="1">
        <f>Assumptions!E111</f>
        <v>126513611.45264491</v>
      </c>
      <c r="E5" s="1">
        <f>Assumptions!F111</f>
        <v>126513611.45264491</v>
      </c>
      <c r="F5" s="1">
        <f>Assumptions!G111</f>
        <v>126513611.45264491</v>
      </c>
      <c r="G5" s="1">
        <f>Assumptions!H111</f>
        <v>126513611.45264491</v>
      </c>
      <c r="H5" s="1">
        <f>Assumptions!I111</f>
        <v>126513611.45264491</v>
      </c>
      <c r="I5" s="1">
        <f>Assumptions!J111</f>
        <v>126513611.45264491</v>
      </c>
      <c r="J5" s="1">
        <f>Assumptions!K111</f>
        <v>126513611.45264491</v>
      </c>
      <c r="K5" s="1">
        <f>Assumptions!L111</f>
        <v>126513611.45264491</v>
      </c>
      <c r="L5" s="1">
        <f>Assumptions!M111</f>
        <v>126513611.45264491</v>
      </c>
      <c r="M5" s="1">
        <f>Assumptions!N111</f>
        <v>126513611.45264491</v>
      </c>
      <c r="N5" s="1">
        <f>Assumptions!O111</f>
        <v>126513611.45264491</v>
      </c>
      <c r="O5" s="1">
        <f>Assumptions!P111</f>
        <v>126513611.45264491</v>
      </c>
      <c r="P5" s="1">
        <f>Assumptions!Q111</f>
        <v>126513611.45264491</v>
      </c>
      <c r="Q5" s="1">
        <f>Assumptions!R111</f>
        <v>126513611.45264491</v>
      </c>
      <c r="R5" s="1">
        <f>Assumptions!S111</f>
        <v>126513611.45264491</v>
      </c>
      <c r="S5" s="1">
        <f>Assumptions!T111</f>
        <v>126513611.45264491</v>
      </c>
      <c r="T5" s="1">
        <f>Assumptions!U111</f>
        <v>126513611.45264491</v>
      </c>
      <c r="U5" s="1">
        <f>Assumptions!V111</f>
        <v>126513611.45264491</v>
      </c>
      <c r="V5" s="1">
        <f>Assumptions!W111</f>
        <v>126513611.45264491</v>
      </c>
      <c r="W5" s="1">
        <f>Assumptions!X111</f>
        <v>126513611.45264491</v>
      </c>
      <c r="X5" s="1">
        <f>Assumptions!Y111</f>
        <v>126513611.45264491</v>
      </c>
      <c r="Y5" s="1">
        <f>Assumptions!Z111</f>
        <v>126513611.45264491</v>
      </c>
      <c r="Z5" s="1">
        <f>Assumptions!AA111</f>
        <v>126513611.45264491</v>
      </c>
      <c r="AA5" s="1">
        <f>Assumptions!AB111</f>
        <v>126513611.45264491</v>
      </c>
      <c r="AB5" s="1">
        <f>Assumptions!AC111</f>
        <v>126513611.45264491</v>
      </c>
      <c r="AC5" s="1">
        <f>Assumptions!AD111</f>
        <v>126513611.45264491</v>
      </c>
      <c r="AD5" s="1">
        <f>Assumptions!AE111</f>
        <v>126513611.45264491</v>
      </c>
      <c r="AE5" s="1">
        <f>Assumptions!AF111</f>
        <v>126513611.45264491</v>
      </c>
      <c r="AF5" s="1">
        <f>Assumptions!AG111</f>
        <v>126513611.45264491</v>
      </c>
    </row>
    <row r="6" spans="1:32" x14ac:dyDescent="0.35">
      <c r="A6" t="s">
        <v>69</v>
      </c>
      <c r="C6" s="1">
        <f>Assumptions!D113</f>
        <v>177675242.67078477</v>
      </c>
      <c r="D6" s="1">
        <f>Assumptions!E113</f>
        <v>177675242.67078477</v>
      </c>
      <c r="E6" s="1">
        <f>Assumptions!F113</f>
        <v>177675242.67078477</v>
      </c>
      <c r="F6" s="1">
        <f>Assumptions!G113</f>
        <v>177675242.67078477</v>
      </c>
      <c r="G6" s="1">
        <f>Assumptions!H113</f>
        <v>177675242.67078477</v>
      </c>
      <c r="H6" s="1">
        <f>Assumptions!I113</f>
        <v>177675242.67078477</v>
      </c>
      <c r="I6" s="1">
        <f>Assumptions!J113</f>
        <v>177675242.67078477</v>
      </c>
      <c r="J6" s="1">
        <f>Assumptions!K113</f>
        <v>177675242.67078477</v>
      </c>
      <c r="K6" s="1">
        <f>Assumptions!L113</f>
        <v>177675242.67078477</v>
      </c>
      <c r="L6" s="1">
        <f>Assumptions!M113</f>
        <v>177675242.67078477</v>
      </c>
      <c r="M6" s="1">
        <f>Assumptions!N113</f>
        <v>177675242.67078477</v>
      </c>
      <c r="N6" s="1">
        <f>Assumptions!O113</f>
        <v>177675242.67078477</v>
      </c>
      <c r="O6" s="1">
        <f>Assumptions!P113</f>
        <v>177675242.67078477</v>
      </c>
      <c r="P6" s="1">
        <f>Assumptions!Q113</f>
        <v>177675242.67078477</v>
      </c>
      <c r="Q6" s="1">
        <f>Assumptions!R113</f>
        <v>177675242.67078477</v>
      </c>
      <c r="R6" s="1">
        <f>Assumptions!S113</f>
        <v>177675242.67078477</v>
      </c>
      <c r="S6" s="1">
        <f>Assumptions!T113</f>
        <v>177675242.67078477</v>
      </c>
      <c r="T6" s="1">
        <f>Assumptions!U113</f>
        <v>177675242.67078477</v>
      </c>
      <c r="U6" s="1">
        <f>Assumptions!V113</f>
        <v>177675242.67078477</v>
      </c>
      <c r="V6" s="1">
        <f>Assumptions!W113</f>
        <v>177675242.67078477</v>
      </c>
      <c r="W6" s="1">
        <f>Assumptions!X113</f>
        <v>177675242.67078477</v>
      </c>
      <c r="X6" s="1">
        <f>Assumptions!Y113</f>
        <v>177675242.67078477</v>
      </c>
      <c r="Y6" s="1">
        <f>Assumptions!Z113</f>
        <v>177675242.67078477</v>
      </c>
      <c r="Z6" s="1">
        <f>Assumptions!AA113</f>
        <v>177675242.67078477</v>
      </c>
      <c r="AA6" s="1">
        <f>Assumptions!AB113</f>
        <v>177675242.67078477</v>
      </c>
      <c r="AB6" s="1">
        <f>Assumptions!AC113</f>
        <v>177675242.67078477</v>
      </c>
      <c r="AC6" s="1">
        <f>Assumptions!AD113</f>
        <v>177675242.67078477</v>
      </c>
      <c r="AD6" s="1">
        <f>Assumptions!AE113</f>
        <v>177675242.67078477</v>
      </c>
      <c r="AE6" s="1">
        <f>Assumptions!AF113</f>
        <v>177675242.67078477</v>
      </c>
      <c r="AF6" s="1">
        <f>Assumptions!AG113</f>
        <v>177675242.67078477</v>
      </c>
    </row>
    <row r="7" spans="1:32" x14ac:dyDescent="0.35">
      <c r="A7" t="s">
        <v>74</v>
      </c>
      <c r="C7" s="1">
        <f>Assumptions!D120</f>
        <v>4264205.8240988348</v>
      </c>
      <c r="D7" s="1">
        <f>Assumptions!E120</f>
        <v>8528411.6481976695</v>
      </c>
      <c r="E7" s="1">
        <f>Assumptions!F120</f>
        <v>12792617.472296502</v>
      </c>
      <c r="F7" s="1">
        <f>Assumptions!G120</f>
        <v>17056823.296395339</v>
      </c>
      <c r="G7" s="1">
        <f>Assumptions!H120</f>
        <v>21292453.770425893</v>
      </c>
      <c r="H7" s="1">
        <f>Assumptions!I120</f>
        <v>25499700.383885905</v>
      </c>
      <c r="I7" s="1">
        <f>Assumptions!J120</f>
        <v>29678753.343061272</v>
      </c>
      <c r="J7" s="1">
        <f>Assumptions!K120</f>
        <v>33829801.579625115</v>
      </c>
      <c r="K7" s="1">
        <f>Assumptions!L120</f>
        <v>37953032.759179249</v>
      </c>
      <c r="L7" s="1">
        <f>Assumptions!M120</f>
        <v>42064923.760402448</v>
      </c>
      <c r="M7" s="1">
        <f>Assumptions!N120</f>
        <v>46165505.772340156</v>
      </c>
      <c r="N7" s="1">
        <f>Assumptions!O120</f>
        <v>50254809.898258157</v>
      </c>
      <c r="O7" s="1">
        <f>Assumptions!P120</f>
        <v>54332867.155878477</v>
      </c>
      <c r="P7" s="1">
        <f>Assumptions!Q120</f>
        <v>58399708.477614731</v>
      </c>
      <c r="Q7" s="1">
        <f>Assumptions!R120</f>
        <v>62459003.195970684</v>
      </c>
      <c r="R7" s="1">
        <f>Assumptions!S120</f>
        <v>66510765.314743899</v>
      </c>
      <c r="S7" s="1">
        <f>Assumptions!T120</f>
        <v>70555008.811745912</v>
      </c>
      <c r="T7" s="1">
        <f>Assumptions!U120</f>
        <v>74591747.638850406</v>
      </c>
      <c r="U7" s="1">
        <f>Assumptions!V120</f>
        <v>78620995.722041398</v>
      </c>
      <c r="V7" s="1">
        <f>Assumptions!W120</f>
        <v>82650243.805232376</v>
      </c>
      <c r="W7" s="1">
        <f>Assumptions!X120</f>
        <v>86679491.888423353</v>
      </c>
      <c r="X7" s="1">
        <f>Assumptions!Y120</f>
        <v>90708739.971614346</v>
      </c>
      <c r="Y7" s="1">
        <f>Assumptions!Z120</f>
        <v>94737988.054805338</v>
      </c>
      <c r="Z7" s="1">
        <f>Assumptions!AA120</f>
        <v>98767236.137996331</v>
      </c>
      <c r="AA7" s="1">
        <f>Assumptions!AB120</f>
        <v>102796484.22118731</v>
      </c>
      <c r="AB7" s="1">
        <f>Assumptions!AC120</f>
        <v>106825732.3043783</v>
      </c>
      <c r="AC7" s="1">
        <f>Assumptions!AD120</f>
        <v>110854980.38756929</v>
      </c>
      <c r="AD7" s="1">
        <f>Assumptions!AE120</f>
        <v>114884228.47076029</v>
      </c>
      <c r="AE7" s="1">
        <f>Assumptions!AF120</f>
        <v>118913476.55395126</v>
      </c>
      <c r="AF7" s="1">
        <f>Assumptions!AG120</f>
        <v>122942724.63714227</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130562047.01912956</v>
      </c>
      <c r="D11" s="1">
        <f>D5*D$9</f>
        <v>134740032.52374169</v>
      </c>
      <c r="E11" s="1">
        <f t="shared" ref="D11:AF13" si="1">E5*E$9</f>
        <v>139051713.5645014</v>
      </c>
      <c r="F11" s="1">
        <f t="shared" si="1"/>
        <v>143501368.39856547</v>
      </c>
      <c r="G11" s="1">
        <f t="shared" si="1"/>
        <v>148093412.18731958</v>
      </c>
      <c r="H11" s="1">
        <f t="shared" si="1"/>
        <v>152832401.37731379</v>
      </c>
      <c r="I11" s="1">
        <f t="shared" si="1"/>
        <v>157723038.2213878</v>
      </c>
      <c r="J11" s="1">
        <f t="shared" si="1"/>
        <v>162770175.44447222</v>
      </c>
      <c r="K11" s="1">
        <f t="shared" si="1"/>
        <v>167978821.05869538</v>
      </c>
      <c r="L11" s="1">
        <f t="shared" si="1"/>
        <v>173354143.33257359</v>
      </c>
      <c r="M11" s="1">
        <f t="shared" si="1"/>
        <v>178901475.91921595</v>
      </c>
      <c r="N11" s="1">
        <f t="shared" si="1"/>
        <v>184626323.14863086</v>
      </c>
      <c r="O11" s="1">
        <f t="shared" si="1"/>
        <v>190534365.48938707</v>
      </c>
      <c r="P11" s="1">
        <f t="shared" si="1"/>
        <v>196631465.18504742</v>
      </c>
      <c r="Q11" s="1">
        <f t="shared" si="1"/>
        <v>202923672.0709689</v>
      </c>
      <c r="R11" s="1">
        <f t="shared" si="1"/>
        <v>209417229.57723996</v>
      </c>
      <c r="S11" s="1">
        <f t="shared" si="1"/>
        <v>216118580.92371166</v>
      </c>
      <c r="T11" s="1">
        <f t="shared" si="1"/>
        <v>223034375.51327041</v>
      </c>
      <c r="U11" s="1">
        <f t="shared" si="1"/>
        <v>230171475.52969503</v>
      </c>
      <c r="V11" s="1">
        <f t="shared" si="1"/>
        <v>237536962.7466453</v>
      </c>
      <c r="W11" s="1">
        <f t="shared" si="1"/>
        <v>245138145.55453798</v>
      </c>
      <c r="X11" s="1">
        <f t="shared" si="1"/>
        <v>252982566.21228313</v>
      </c>
      <c r="Y11" s="1">
        <f t="shared" si="1"/>
        <v>261078008.33107617</v>
      </c>
      <c r="Z11" s="1">
        <f t="shared" si="1"/>
        <v>269432504.59767061</v>
      </c>
      <c r="AA11" s="1">
        <f t="shared" si="1"/>
        <v>278054344.74479616</v>
      </c>
      <c r="AB11" s="1">
        <f t="shared" si="1"/>
        <v>286952083.77662957</v>
      </c>
      <c r="AC11" s="1">
        <f t="shared" si="1"/>
        <v>296134550.45748168</v>
      </c>
      <c r="AD11" s="1">
        <f t="shared" si="1"/>
        <v>305610856.07212114</v>
      </c>
      <c r="AE11" s="1">
        <f t="shared" si="1"/>
        <v>315390403.466429</v>
      </c>
      <c r="AF11" s="1">
        <f t="shared" si="1"/>
        <v>325482896.37735468</v>
      </c>
    </row>
    <row r="12" spans="1:32" x14ac:dyDescent="0.35">
      <c r="A12" t="s">
        <v>72</v>
      </c>
      <c r="C12" s="1">
        <f t="shared" ref="C12:R12" si="2">C6*C$9</f>
        <v>183360850.43624988</v>
      </c>
      <c r="D12" s="1">
        <f t="shared" si="2"/>
        <v>189228397.65020987</v>
      </c>
      <c r="E12" s="1">
        <f t="shared" si="2"/>
        <v>195283706.37501657</v>
      </c>
      <c r="F12" s="1">
        <f t="shared" si="2"/>
        <v>201532784.97901711</v>
      </c>
      <c r="G12" s="1">
        <f t="shared" si="2"/>
        <v>207981834.0983457</v>
      </c>
      <c r="H12" s="1">
        <f t="shared" si="2"/>
        <v>214637252.78949273</v>
      </c>
      <c r="I12" s="1">
        <f t="shared" si="2"/>
        <v>221505644.87875646</v>
      </c>
      <c r="J12" s="1">
        <f t="shared" si="2"/>
        <v>228593825.51487669</v>
      </c>
      <c r="K12" s="1">
        <f t="shared" si="2"/>
        <v>235908827.93135276</v>
      </c>
      <c r="L12" s="1">
        <f t="shared" si="2"/>
        <v>243457910.42515603</v>
      </c>
      <c r="M12" s="1">
        <f t="shared" si="2"/>
        <v>251248563.558761</v>
      </c>
      <c r="N12" s="1">
        <f t="shared" si="2"/>
        <v>259288517.59264138</v>
      </c>
      <c r="O12" s="1">
        <f t="shared" si="2"/>
        <v>267585750.15560591</v>
      </c>
      <c r="P12" s="1">
        <f t="shared" si="2"/>
        <v>276148494.16058528</v>
      </c>
      <c r="Q12" s="1">
        <f t="shared" si="2"/>
        <v>284985245.97372395</v>
      </c>
      <c r="R12" s="1">
        <f t="shared" si="2"/>
        <v>294104773.8448832</v>
      </c>
      <c r="S12" s="1">
        <f t="shared" si="1"/>
        <v>303516126.60791945</v>
      </c>
      <c r="T12" s="1">
        <f t="shared" si="1"/>
        <v>313228642.65937287</v>
      </c>
      <c r="U12" s="1">
        <f t="shared" si="1"/>
        <v>323251959.22447276</v>
      </c>
      <c r="V12" s="1">
        <f t="shared" si="1"/>
        <v>333596021.91965592</v>
      </c>
      <c r="W12" s="1">
        <f t="shared" si="1"/>
        <v>344271094.62108493</v>
      </c>
      <c r="X12" s="1">
        <f t="shared" si="1"/>
        <v>355287769.64895964</v>
      </c>
      <c r="Y12" s="1">
        <f t="shared" si="1"/>
        <v>366656978.27772623</v>
      </c>
      <c r="Z12" s="1">
        <f t="shared" si="1"/>
        <v>378390001.58261353</v>
      </c>
      <c r="AA12" s="1">
        <f t="shared" si="1"/>
        <v>390498481.63325727</v>
      </c>
      <c r="AB12" s="1">
        <f t="shared" si="1"/>
        <v>402994433.04552144</v>
      </c>
      <c r="AC12" s="1">
        <f t="shared" si="1"/>
        <v>415890254.90297806</v>
      </c>
      <c r="AD12" s="1">
        <f t="shared" si="1"/>
        <v>429198743.0598734</v>
      </c>
      <c r="AE12" s="1">
        <f t="shared" si="1"/>
        <v>442933102.83778936</v>
      </c>
      <c r="AF12" s="1">
        <f t="shared" si="1"/>
        <v>457106962.12859857</v>
      </c>
    </row>
    <row r="13" spans="1:32" x14ac:dyDescent="0.35">
      <c r="A13" t="s">
        <v>75</v>
      </c>
      <c r="C13" s="1">
        <f>C7*C$9</f>
        <v>4400660.4104699977</v>
      </c>
      <c r="D13" s="1">
        <f t="shared" si="1"/>
        <v>9082963.0872100741</v>
      </c>
      <c r="E13" s="1">
        <f t="shared" si="1"/>
        <v>14060426.859001193</v>
      </c>
      <c r="F13" s="1">
        <f t="shared" si="1"/>
        <v>19347147.357985646</v>
      </c>
      <c r="G13" s="1">
        <f t="shared" si="1"/>
        <v>24924370.559790909</v>
      </c>
      <c r="H13" s="1">
        <f t="shared" si="1"/>
        <v>30804435.975887384</v>
      </c>
      <c r="I13" s="1">
        <f t="shared" si="1"/>
        <v>37000154.324445471</v>
      </c>
      <c r="J13" s="1">
        <f t="shared" si="1"/>
        <v>43524824.523947656</v>
      </c>
      <c r="K13" s="1">
        <f t="shared" si="1"/>
        <v>50392251.278632604</v>
      </c>
      <c r="L13" s="1">
        <f t="shared" si="1"/>
        <v>57639085.147483051</v>
      </c>
      <c r="M13" s="1">
        <f t="shared" si="1"/>
        <v>65282122.803997084</v>
      </c>
      <c r="N13" s="1">
        <f t="shared" si="1"/>
        <v>73338834.181662664</v>
      </c>
      <c r="O13" s="1">
        <f t="shared" si="1"/>
        <v>81827387.977454171</v>
      </c>
      <c r="P13" s="1">
        <f t="shared" si="1"/>
        <v>90766678.086897254</v>
      </c>
      <c r="Q13" s="1">
        <f t="shared" si="1"/>
        <v>100182187.01442169</v>
      </c>
      <c r="R13" s="1">
        <f t="shared" si="1"/>
        <v>110094874.76759924</v>
      </c>
      <c r="S13" s="1">
        <f t="shared" si="1"/>
        <v>120526544.19055963</v>
      </c>
      <c r="T13" s="1">
        <f t="shared" si="1"/>
        <v>131499873.11287569</v>
      </c>
      <c r="U13" s="1">
        <f t="shared" si="1"/>
        <v>143038447.6829966</v>
      </c>
      <c r="V13" s="1">
        <f t="shared" si="1"/>
        <v>155180835.15553766</v>
      </c>
      <c r="W13" s="1">
        <f t="shared" si="1"/>
        <v>167953864.05589399</v>
      </c>
      <c r="X13" s="1">
        <f t="shared" si="1"/>
        <v>181385461.63067383</v>
      </c>
      <c r="Y13" s="1">
        <f t="shared" si="1"/>
        <v>195504696.69344634</v>
      </c>
      <c r="Z13" s="1">
        <f t="shared" si="1"/>
        <v>210341824.0875265</v>
      </c>
      <c r="AA13" s="1">
        <f t="shared" si="1"/>
        <v>225928330.82541376</v>
      </c>
      <c r="AB13" s="1">
        <f t="shared" si="1"/>
        <v>242296983.96666008</v>
      </c>
      <c r="AC13" s="1">
        <f t="shared" si="1"/>
        <v>259481880.29818097</v>
      </c>
      <c r="AD13" s="1">
        <f t="shared" si="1"/>
        <v>277518497.88333738</v>
      </c>
      <c r="AE13" s="1">
        <f t="shared" si="1"/>
        <v>296443749.54851842</v>
      </c>
      <c r="AF13" s="1">
        <f t="shared" si="1"/>
        <v>316296038.37843847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0.99329878733648591</v>
      </c>
      <c r="H15" s="38">
        <f>Assumptions!I44</f>
        <v>0.98664248092413342</v>
      </c>
      <c r="I15" s="38">
        <f>Assumptions!J44</f>
        <v>0.98003077983660369</v>
      </c>
      <c r="J15" s="38">
        <f>Assumptions!K44</f>
        <v>0.973463385164129</v>
      </c>
      <c r="K15" s="38">
        <f>Assumptions!L44</f>
        <v>0.9669399999999998</v>
      </c>
      <c r="L15" s="38">
        <f>Assumptions!M44</f>
        <v>0.96428061187505643</v>
      </c>
      <c r="M15" s="38">
        <f>Assumptions!N44</f>
        <v>0.96162853790114522</v>
      </c>
      <c r="N15" s="38">
        <f>Assumptions!O44</f>
        <v>0.95898375796205804</v>
      </c>
      <c r="O15" s="38">
        <f>Assumptions!P44</f>
        <v>0.95634625199691237</v>
      </c>
      <c r="P15" s="38">
        <f>Assumptions!Q44</f>
        <v>0.95371599999999968</v>
      </c>
      <c r="Q15" s="38">
        <f>Assumptions!R44</f>
        <v>0.95194624410837669</v>
      </c>
      <c r="R15" s="38">
        <f>Assumptions!S44</f>
        <v>0.95017977225090633</v>
      </c>
      <c r="S15" s="38">
        <f>Assumptions!T44</f>
        <v>0.94841657833359549</v>
      </c>
      <c r="T15" s="38">
        <f>Assumptions!U44</f>
        <v>0.94665665627375917</v>
      </c>
      <c r="U15" s="38">
        <f>Assumptions!V44</f>
        <v>0.94489999999999985</v>
      </c>
      <c r="V15" s="38">
        <f>Assumptions!W44</f>
        <v>0.94489999999999985</v>
      </c>
      <c r="W15" s="38">
        <f>Assumptions!X44</f>
        <v>0.94489999999999985</v>
      </c>
      <c r="X15" s="38">
        <f>Assumptions!Y44</f>
        <v>0.94489999999999985</v>
      </c>
      <c r="Y15" s="38">
        <f>Assumptions!Z44</f>
        <v>0.94489999999999985</v>
      </c>
      <c r="Z15" s="38">
        <f>Assumptions!AA44</f>
        <v>0.94489999999999985</v>
      </c>
      <c r="AA15" s="38">
        <f>Assumptions!AB44</f>
        <v>0.94489999999999985</v>
      </c>
      <c r="AB15" s="38">
        <f>Assumptions!AC44</f>
        <v>0.94489999999999985</v>
      </c>
      <c r="AC15" s="38">
        <f>Assumptions!AD44</f>
        <v>0.94489999999999985</v>
      </c>
      <c r="AD15" s="38">
        <f>Assumptions!AE44</f>
        <v>0.94489999999999985</v>
      </c>
      <c r="AE15" s="38">
        <f>Assumptions!AF44</f>
        <v>0.94489999999999985</v>
      </c>
      <c r="AF15" s="38">
        <f>Assumptions!AG44</f>
        <v>0.94489999999999985</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-1393730.5004407167</v>
      </c>
      <c r="H20" s="1">
        <f t="shared" si="4"/>
        <v>-2867021.1985272467</v>
      </c>
      <c r="I20" s="1">
        <f t="shared" si="4"/>
        <v>-4423294.9900189638</v>
      </c>
      <c r="J20" s="1">
        <f t="shared" si="4"/>
        <v>-6066106.3015465736</v>
      </c>
      <c r="K20" s="1">
        <f t="shared" si="4"/>
        <v>-7799145.8514105678</v>
      </c>
      <c r="L20" s="1">
        <f t="shared" si="4"/>
        <v>-8696167.5945639014</v>
      </c>
      <c r="M20" s="1">
        <f t="shared" si="4"/>
        <v>-9640774.7339867055</v>
      </c>
      <c r="N20" s="1">
        <f t="shared" si="4"/>
        <v>-10635040.595238954</v>
      </c>
      <c r="O20" s="1">
        <f t="shared" si="4"/>
        <v>-11681120.906509995</v>
      </c>
      <c r="P20" s="1">
        <f t="shared" si="4"/>
        <v>-12781256.903728604</v>
      </c>
      <c r="Q20" s="1">
        <f t="shared" si="4"/>
        <v>-13694611.442735553</v>
      </c>
      <c r="R20" s="1">
        <f t="shared" si="4"/>
        <v>-14652366.815047741</v>
      </c>
      <c r="S20" s="1">
        <f t="shared" si="4"/>
        <v>-15656400.341370106</v>
      </c>
      <c r="T20" s="1">
        <f t="shared" si="4"/>
        <v>-16708663.1502828</v>
      </c>
      <c r="U20" s="1">
        <f t="shared" si="4"/>
        <v>-17811182.953268468</v>
      </c>
      <c r="V20" s="1">
        <f t="shared" si="4"/>
        <v>-18381140.807773113</v>
      </c>
      <c r="W20" s="1">
        <f t="shared" si="4"/>
        <v>-18969337.313621819</v>
      </c>
      <c r="X20" s="1">
        <f t="shared" si="4"/>
        <v>-19576356.107657731</v>
      </c>
      <c r="Y20" s="1">
        <f t="shared" si="4"/>
        <v>-20202799.503102779</v>
      </c>
      <c r="Z20" s="1">
        <f t="shared" si="4"/>
        <v>-20849289.087202072</v>
      </c>
      <c r="AA20" s="1">
        <f t="shared" si="4"/>
        <v>-21516466.337992549</v>
      </c>
      <c r="AB20" s="1">
        <f t="shared" si="4"/>
        <v>-22204993.260808289</v>
      </c>
      <c r="AC20" s="1">
        <f t="shared" si="4"/>
        <v>-22915553.045154154</v>
      </c>
      <c r="AD20" s="1">
        <f t="shared" si="4"/>
        <v>-23648850.74259907</v>
      </c>
      <c r="AE20" s="1">
        <f t="shared" si="4"/>
        <v>-24405613.966362238</v>
      </c>
      <c r="AF20" s="1">
        <f t="shared" si="4"/>
        <v>-25186593.61328584</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318323557.86584944</v>
      </c>
      <c r="D25" s="40">
        <f>SUM(D11:D13,D18:D23)</f>
        <v>333051393.26116163</v>
      </c>
      <c r="E25" s="40">
        <f t="shared" ref="E25:AF25" si="7">SUM(E11:E13,E18:E23)</f>
        <v>348395846.79851919</v>
      </c>
      <c r="F25" s="40">
        <f t="shared" si="7"/>
        <v>364381300.73556817</v>
      </c>
      <c r="G25" s="40">
        <f t="shared" si="7"/>
        <v>379605886.34501547</v>
      </c>
      <c r="H25" s="40">
        <f t="shared" si="7"/>
        <v>395407068.94416666</v>
      </c>
      <c r="I25" s="40">
        <f t="shared" si="7"/>
        <v>411805542.43457079</v>
      </c>
      <c r="J25" s="40">
        <f t="shared" si="7"/>
        <v>428822719.18175</v>
      </c>
      <c r="K25" s="40">
        <f t="shared" si="7"/>
        <v>446480754.41727018</v>
      </c>
      <c r="L25" s="40">
        <f t="shared" si="7"/>
        <v>465754971.3106488</v>
      </c>
      <c r="M25" s="40">
        <f t="shared" si="7"/>
        <v>485791387.54798734</v>
      </c>
      <c r="N25" s="40">
        <f t="shared" si="7"/>
        <v>506618634.32769597</v>
      </c>
      <c r="O25" s="40">
        <f t="shared" si="7"/>
        <v>528266382.71593714</v>
      </c>
      <c r="P25" s="40">
        <f t="shared" si="7"/>
        <v>550765380.52880132</v>
      </c>
      <c r="Q25" s="40">
        <f t="shared" si="7"/>
        <v>574396493.61637902</v>
      </c>
      <c r="R25" s="40">
        <f t="shared" si="7"/>
        <v>598964511.37467468</v>
      </c>
      <c r="S25" s="40">
        <f t="shared" si="7"/>
        <v>624504851.38082063</v>
      </c>
      <c r="T25" s="40">
        <f t="shared" si="7"/>
        <v>651054228.13523626</v>
      </c>
      <c r="U25" s="40">
        <f t="shared" si="7"/>
        <v>678650699.48389602</v>
      </c>
      <c r="V25" s="40">
        <f t="shared" si="7"/>
        <v>707932679.01406574</v>
      </c>
      <c r="W25" s="40">
        <f t="shared" si="7"/>
        <v>738393766.91789508</v>
      </c>
      <c r="X25" s="40">
        <f t="shared" si="7"/>
        <v>770079441.38425899</v>
      </c>
      <c r="Y25" s="40">
        <f t="shared" si="7"/>
        <v>803036883.79914594</v>
      </c>
      <c r="Z25" s="40">
        <f t="shared" si="7"/>
        <v>837315041.18060851</v>
      </c>
      <c r="AA25" s="40">
        <f t="shared" si="7"/>
        <v>872964690.86547458</v>
      </c>
      <c r="AB25" s="40">
        <f t="shared" si="7"/>
        <v>910038507.52800274</v>
      </c>
      <c r="AC25" s="40">
        <f t="shared" si="7"/>
        <v>948591132.61348653</v>
      </c>
      <c r="AD25" s="40">
        <f t="shared" si="7"/>
        <v>988679246.27273273</v>
      </c>
      <c r="AE25" s="40">
        <f t="shared" si="7"/>
        <v>1030361641.8863745</v>
      </c>
      <c r="AF25" s="40">
        <f t="shared" si="7"/>
        <v>1073699303.271106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341359552.30952883</v>
      </c>
      <c r="D5" s="59">
        <f>C5*('Price and Financial ratios'!F4+1)*(1+Assumptions!$C$13)</f>
        <v>447924863.62404025</v>
      </c>
      <c r="E5" s="59">
        <f>D5*('Price and Financial ratios'!G4+1)*(1+Assumptions!$C$13)</f>
        <v>470206108.70894778</v>
      </c>
      <c r="F5" s="59">
        <f>E5*('Price and Financial ratios'!H4+1)*(1+Assumptions!$C$13)</f>
        <v>491222639.43817955</v>
      </c>
      <c r="G5" s="59">
        <f>F5*('Price and Financial ratios'!I4+1)*(1+Assumptions!$C$13)</f>
        <v>513178533.89687347</v>
      </c>
      <c r="H5" s="59">
        <f>G5*('Price and Financial ratios'!J4+1)*(1+Assumptions!$C$13)</f>
        <v>536115778.28282779</v>
      </c>
      <c r="I5" s="59">
        <f>H5*('Price and Financial ratios'!K4+1)*(1+Assumptions!$C$13)</f>
        <v>560078235.42666173</v>
      </c>
      <c r="J5" s="59">
        <f>I5*('Price and Financial ratios'!L4+1)*(1+Assumptions!$C$13)</f>
        <v>585111728.67058814</v>
      </c>
      <c r="K5" s="59">
        <f>J5*('Price and Financial ratios'!M4+1)*(1+Assumptions!$C$13)</f>
        <v>611264129.49626744</v>
      </c>
      <c r="L5" s="59">
        <f>K5*('Price and Financial ratios'!N4+1)*(1+Assumptions!$C$13)</f>
        <v>638585449.06931305</v>
      </c>
      <c r="M5" s="59">
        <f>L5*('Price and Financial ratios'!O4+1)*(1+Assumptions!$C$13)</f>
        <v>667127933.87550867</v>
      </c>
      <c r="N5" s="59">
        <f>M5*('Price and Financial ratios'!P4+1)*(1+Assumptions!$C$13)</f>
        <v>696946165.63162172</v>
      </c>
      <c r="O5" s="59">
        <f>N5*('Price and Financial ratios'!Q4+1)*(1+Assumptions!$C$13)</f>
        <v>728097165.66187406</v>
      </c>
      <c r="P5" s="59">
        <f>O5*('Price and Financial ratios'!R4+1)*(1+Assumptions!$C$13)</f>
        <v>760640503.93966568</v>
      </c>
      <c r="Q5" s="59">
        <f>P5*('Price and Financial ratios'!S4+1)*(1+Assumptions!$C$13)</f>
        <v>794638413.00307488</v>
      </c>
      <c r="R5" s="59">
        <f>Q5*('Price and Financial ratios'!T4+1)*(1+Assumptions!$C$13)</f>
        <v>830155906.96197307</v>
      </c>
      <c r="S5" s="59">
        <f>R5*('Price and Financial ratios'!U4+1)*(1+Assumptions!$C$13)</f>
        <v>867260905.82433176</v>
      </c>
      <c r="T5" s="59">
        <f>S5*('Price and Financial ratios'!V4+1)*(1+Assumptions!$C$13)</f>
        <v>906024365.37947047</v>
      </c>
      <c r="U5" s="59">
        <f>T5*('Price and Financial ratios'!W4+1)*(1+Assumptions!$C$13)</f>
        <v>946520412.88662195</v>
      </c>
      <c r="V5" s="59">
        <f>U5*('Price and Financial ratios'!X4+1)*(1+Assumptions!$C$13)</f>
        <v>988826488.82828963</v>
      </c>
      <c r="W5" s="59">
        <f>V5*('Price and Financial ratios'!Y4+1)*(1+Assumptions!$C$13)</f>
        <v>1033023494.9994743</v>
      </c>
      <c r="X5" s="59">
        <f>W5*('Price and Financial ratios'!Z4+1)*(1+Assumptions!$C$13)</f>
        <v>1079195949.2159581</v>
      </c>
      <c r="Y5" s="59">
        <f>X5*('Price and Financial ratios'!AA4+1)*(1+Assumptions!$C$13)</f>
        <v>1127432146.9374957</v>
      </c>
      <c r="Z5" s="59">
        <f>Y5*('Price and Financial ratios'!AB4+1)*(1+Assumptions!$C$13)</f>
        <v>1177824330.1149848</v>
      </c>
      <c r="AA5" s="59">
        <f>Z5*('Price and Financial ratios'!AC4+1)*(1+Assumptions!$C$13)</f>
        <v>1230468863.5844994</v>
      </c>
      <c r="AB5" s="59">
        <f>AA5*('Price and Financial ratios'!AD4+1)*(1+Assumptions!$C$13)</f>
        <v>1269320464.3199108</v>
      </c>
      <c r="AC5" s="59">
        <f>AB5*('Price and Financial ratios'!AE4+1)*(1+Assumptions!$C$13)</f>
        <v>1309398790.0252712</v>
      </c>
      <c r="AD5" s="59">
        <f>AC5*('Price and Financial ratios'!AF4+1)*(1+Assumptions!$C$13)</f>
        <v>1350742574.0892549</v>
      </c>
      <c r="AE5" s="59">
        <f>AD5*('Price and Financial ratios'!AG4+1)*(1+Assumptions!$C$13)</f>
        <v>1393391772.8930032</v>
      </c>
      <c r="AF5" s="59">
        <f>AE5*('Price and Financial ratios'!AH4+1)*(1+Assumptions!$C$13)</f>
        <v>1437387604.4256623</v>
      </c>
    </row>
    <row r="6" spans="1:32" s="11" customFormat="1" x14ac:dyDescent="0.35">
      <c r="A6" s="11" t="s">
        <v>20</v>
      </c>
      <c r="C6" s="59">
        <f>C27</f>
        <v>93464892.218739003</v>
      </c>
      <c r="D6" s="59">
        <f t="shared" ref="D6:AF6" si="1">D27</f>
        <v>101931222.15433672</v>
      </c>
      <c r="E6" s="59">
        <f>E27</f>
        <v>110732902.46530625</v>
      </c>
      <c r="F6" s="59">
        <f t="shared" si="1"/>
        <v>119880845.63594559</v>
      </c>
      <c r="G6" s="59">
        <f t="shared" si="1"/>
        <v>128374618.07914926</v>
      </c>
      <c r="H6" s="59">
        <f t="shared" si="1"/>
        <v>137055986.94775397</v>
      </c>
      <c r="I6" s="59">
        <f t="shared" si="1"/>
        <v>145928491.63903111</v>
      </c>
      <c r="J6" s="59">
        <f t="shared" si="1"/>
        <v>154995737.14931288</v>
      </c>
      <c r="K6" s="59">
        <f t="shared" si="1"/>
        <v>164261395.32800305</v>
      </c>
      <c r="L6" s="59">
        <f t="shared" si="1"/>
        <v>174527218.05345359</v>
      </c>
      <c r="M6" s="59">
        <f t="shared" si="1"/>
        <v>185114246.32883847</v>
      </c>
      <c r="N6" s="59">
        <f t="shared" si="1"/>
        <v>196030944.42686605</v>
      </c>
      <c r="O6" s="59">
        <f t="shared" si="1"/>
        <v>207285985.09396422</v>
      </c>
      <c r="P6" s="59">
        <f t="shared" si="1"/>
        <v>218888254.5566214</v>
      </c>
      <c r="Q6" s="59">
        <f t="shared" si="1"/>
        <v>231085114.20296982</v>
      </c>
      <c r="R6" s="59">
        <f t="shared" si="1"/>
        <v>243678977.23088926</v>
      </c>
      <c r="S6" s="59">
        <f t="shared" si="1"/>
        <v>256680912.51695013</v>
      </c>
      <c r="T6" s="59">
        <f t="shared" si="1"/>
        <v>270102277.84127051</v>
      </c>
      <c r="U6" s="59">
        <f t="shared" si="1"/>
        <v>283954727.21497643</v>
      </c>
      <c r="V6" s="59">
        <f t="shared" si="1"/>
        <v>298888505.13392568</v>
      </c>
      <c r="W6" s="59">
        <f t="shared" si="1"/>
        <v>314355183.97037053</v>
      </c>
      <c r="X6" s="59">
        <f t="shared" si="1"/>
        <v>330371401.74141854</v>
      </c>
      <c r="Y6" s="59">
        <f t="shared" si="1"/>
        <v>346954283.82135147</v>
      </c>
      <c r="Z6" s="59">
        <f t="shared" si="1"/>
        <v>364121456.7495932</v>
      </c>
      <c r="AA6" s="59">
        <f t="shared" si="1"/>
        <v>381891062.42351502</v>
      </c>
      <c r="AB6" s="59">
        <f t="shared" si="1"/>
        <v>400281772.68674612</v>
      </c>
      <c r="AC6" s="59">
        <f t="shared" si="1"/>
        <v>419312804.32394701</v>
      </c>
      <c r="AD6" s="59">
        <f t="shared" si="1"/>
        <v>439003934.47331691</v>
      </c>
      <c r="AE6" s="59">
        <f t="shared" si="1"/>
        <v>459375516.4684099</v>
      </c>
      <c r="AF6" s="59">
        <f t="shared" si="1"/>
        <v>480448496.1211639</v>
      </c>
    </row>
    <row r="7" spans="1:32" x14ac:dyDescent="0.35">
      <c r="A7" t="s">
        <v>21</v>
      </c>
      <c r="C7" s="4">
        <f>Depreciation!C8+Depreciation!C9</f>
        <v>134962707.42959955</v>
      </c>
      <c r="D7" s="4">
        <f>Depreciation!D8+Depreciation!D9</f>
        <v>143822995.61095178</v>
      </c>
      <c r="E7" s="4">
        <f>Depreciation!E8+Depreciation!E9</f>
        <v>153112140.42350259</v>
      </c>
      <c r="F7" s="4">
        <f>Depreciation!F8+Depreciation!F9</f>
        <v>162848515.75655112</v>
      </c>
      <c r="G7" s="4">
        <f>Depreciation!G8+Depreciation!G9</f>
        <v>173017782.74711049</v>
      </c>
      <c r="H7" s="4">
        <f>Depreciation!H8+Depreciation!H9</f>
        <v>183636837.35320118</v>
      </c>
      <c r="I7" s="4">
        <f>Depreciation!I8+Depreciation!I9</f>
        <v>194723192.54583329</v>
      </c>
      <c r="J7" s="4">
        <f>Depreciation!J8+Depreciation!J9</f>
        <v>206294999.96841988</v>
      </c>
      <c r="K7" s="4">
        <f>Depreciation!K8+Depreciation!K9</f>
        <v>218371072.33732799</v>
      </c>
      <c r="L7" s="4">
        <f>Depreciation!L8+Depreciation!L9</f>
        <v>230993228.48005664</v>
      </c>
      <c r="M7" s="4">
        <f>Depreciation!M8+Depreciation!M9</f>
        <v>244183598.72321302</v>
      </c>
      <c r="N7" s="4">
        <f>Depreciation!N8+Depreciation!N9</f>
        <v>257965157.33029354</v>
      </c>
      <c r="O7" s="4">
        <f>Depreciation!O8+Depreciation!O9</f>
        <v>272361753.46684122</v>
      </c>
      <c r="P7" s="4">
        <f>Depreciation!P8+Depreciation!P9</f>
        <v>287398143.27194464</v>
      </c>
      <c r="Q7" s="4">
        <f>Depreciation!Q8+Depreciation!Q9</f>
        <v>303105859.08539057</v>
      </c>
      <c r="R7" s="4">
        <f>Depreciation!R8+Depreciation!R9</f>
        <v>319512104.34483922</v>
      </c>
      <c r="S7" s="4">
        <f>Depreciation!S8+Depreciation!S9</f>
        <v>336645125.11427128</v>
      </c>
      <c r="T7" s="4">
        <f>Depreciation!T8+Depreciation!T9</f>
        <v>354534248.62614608</v>
      </c>
      <c r="U7" s="4">
        <f>Depreciation!U8+Depreciation!U9</f>
        <v>373209923.21269166</v>
      </c>
      <c r="V7" s="4">
        <f>Depreciation!V8+Depreciation!V9</f>
        <v>392717797.90218294</v>
      </c>
      <c r="W7" s="4">
        <f>Depreciation!W8+Depreciation!W9</f>
        <v>413092009.61043197</v>
      </c>
      <c r="X7" s="4">
        <f>Depreciation!X8+Depreciation!X9</f>
        <v>434368027.84295696</v>
      </c>
      <c r="Y7" s="4">
        <f>Depreciation!Y8+Depreciation!Y9</f>
        <v>456582705.02452254</v>
      </c>
      <c r="Z7" s="4">
        <f>Depreciation!Z8+Depreciation!Z9</f>
        <v>479774328.68519711</v>
      </c>
      <c r="AA7" s="4">
        <f>Depreciation!AA8+Depreciation!AA9</f>
        <v>503982675.57020992</v>
      </c>
      <c r="AB7" s="4">
        <f>Depreciation!AB8+Depreciation!AB9</f>
        <v>529249067.74328965</v>
      </c>
      <c r="AC7" s="4">
        <f>Depreciation!AC8+Depreciation!AC9</f>
        <v>555616430.75566268</v>
      </c>
      <c r="AD7" s="4">
        <f>Depreciation!AD8+Depreciation!AD9</f>
        <v>583129353.95545852</v>
      </c>
      <c r="AE7" s="4">
        <f>Depreciation!AE8+Depreciation!AE9</f>
        <v>611834153.01494741</v>
      </c>
      <c r="AF7" s="4">
        <f>Depreciation!AF8+Depreciation!AF9</f>
        <v>641778934.75579309</v>
      </c>
    </row>
    <row r="8" spans="1:32" x14ac:dyDescent="0.35">
      <c r="A8" t="s">
        <v>6</v>
      </c>
      <c r="C8" s="4">
        <f ca="1">'Debt worksheet'!C8</f>
        <v>39866288.107385725</v>
      </c>
      <c r="D8" s="4">
        <f ca="1">'Debt worksheet'!D8</f>
        <v>40842807.689209074</v>
      </c>
      <c r="E8" s="4">
        <f ca="1">'Debt worksheet'!E8</f>
        <v>41922383.532258846</v>
      </c>
      <c r="F8" s="4">
        <f ca="1">'Debt worksheet'!F8</f>
        <v>43190431.37297985</v>
      </c>
      <c r="G8" s="4">
        <f ca="1">'Debt worksheet'!G8</f>
        <v>44568394.136202119</v>
      </c>
      <c r="H8" s="4">
        <f ca="1">'Debt worksheet'!H8</f>
        <v>46052382.230591051</v>
      </c>
      <c r="I8" s="4">
        <f ca="1">'Debt worksheet'!I8</f>
        <v>47637653.039620683</v>
      </c>
      <c r="J8" s="4">
        <f ca="1">'Debt worksheet'!J8</f>
        <v>49318537.313717403</v>
      </c>
      <c r="K8" s="4">
        <f ca="1">'Debt worksheet'!K8</f>
        <v>51088360.645007879</v>
      </c>
      <c r="L8" s="4">
        <f ca="1">'Debt worksheet'!L8</f>
        <v>53002846.171321772</v>
      </c>
      <c r="M8" s="4">
        <f ca="1">'Debt worksheet'!M8</f>
        <v>55062244.219034068</v>
      </c>
      <c r="N8" s="4">
        <f ca="1">'Debt worksheet'!N8</f>
        <v>57266179.977551267</v>
      </c>
      <c r="O8" s="4">
        <f ca="1">'Debt worksheet'!O8</f>
        <v>59613587.619411632</v>
      </c>
      <c r="P8" s="4">
        <f ca="1">'Debt worksheet'!P8</f>
        <v>62102639.595350392</v>
      </c>
      <c r="Q8" s="4">
        <f ca="1">'Debt worksheet'!Q8</f>
        <v>64748343.434113972</v>
      </c>
      <c r="R8" s="4">
        <f ca="1">'Debt worksheet'!R8</f>
        <v>67549646.416206896</v>
      </c>
      <c r="S8" s="4">
        <f ca="1">'Debt worksheet'!S8</f>
        <v>70504680.257800266</v>
      </c>
      <c r="T8" s="4">
        <f ca="1">'Debt worksheet'!T8</f>
        <v>73610678.941654459</v>
      </c>
      <c r="U8" s="4">
        <f ca="1">'Debt worksheet'!U8</f>
        <v>76863890.595941171</v>
      </c>
      <c r="V8" s="4">
        <f ca="1">'Debt worksheet'!V8</f>
        <v>80304357.442622527</v>
      </c>
      <c r="W8" s="4">
        <f ca="1">'Debt worksheet'!W8</f>
        <v>83932381.760342196</v>
      </c>
      <c r="X8" s="4">
        <f ca="1">'Debt worksheet'!X8</f>
        <v>87747464.297598332</v>
      </c>
      <c r="Y8" s="4">
        <f ca="1">'Debt worksheet'!Y8</f>
        <v>91748217.638863623</v>
      </c>
      <c r="Z8" s="4">
        <f ca="1">'Debt worksheet'!Z8</f>
        <v>95932273.069840625</v>
      </c>
      <c r="AA8" s="4">
        <f ca="1">'Debt worksheet'!AA8</f>
        <v>100296180.52797699</v>
      </c>
      <c r="AB8" s="4">
        <f ca="1">'Debt worksheet'!AB8</f>
        <v>105420905.78683555</v>
      </c>
      <c r="AC8" s="4">
        <f ca="1">'Debt worksheet'!AC8</f>
        <v>111366410.28887175</v>
      </c>
      <c r="AD8" s="4">
        <f ca="1">'Debt worksheet'!AD8</f>
        <v>118196198.46824825</v>
      </c>
      <c r="AE8" s="4">
        <f ca="1">'Debt worksheet'!AE8</f>
        <v>125977499.43980373</v>
      </c>
      <c r="AF8" s="4">
        <f ca="1">'Debt worksheet'!AF8</f>
        <v>134781457.26801553</v>
      </c>
    </row>
    <row r="9" spans="1:32" x14ac:dyDescent="0.35">
      <c r="A9" t="s">
        <v>22</v>
      </c>
      <c r="C9" s="4">
        <f ca="1">C5-C6-C7-C8</f>
        <v>73065664.553804547</v>
      </c>
      <c r="D9" s="4">
        <f t="shared" ref="D9:AF9" ca="1" si="2">D5-D6-D7-D8</f>
        <v>161327838.1695427</v>
      </c>
      <c r="E9" s="4">
        <f t="shared" ca="1" si="2"/>
        <v>164438682.28788006</v>
      </c>
      <c r="F9" s="4">
        <f t="shared" ca="1" si="2"/>
        <v>165302846.67270297</v>
      </c>
      <c r="G9" s="4">
        <f t="shared" ca="1" si="2"/>
        <v>167217738.93441162</v>
      </c>
      <c r="H9" s="4">
        <f t="shared" ca="1" si="2"/>
        <v>169370571.75128159</v>
      </c>
      <c r="I9" s="4">
        <f t="shared" ca="1" si="2"/>
        <v>171788898.20217663</v>
      </c>
      <c r="J9" s="4">
        <f t="shared" ca="1" si="2"/>
        <v>174502454.23913801</v>
      </c>
      <c r="K9" s="4">
        <f t="shared" ca="1" si="2"/>
        <v>177543301.18592852</v>
      </c>
      <c r="L9" s="4">
        <f t="shared" ca="1" si="2"/>
        <v>180062156.36448106</v>
      </c>
      <c r="M9" s="4">
        <f t="shared" ca="1" si="2"/>
        <v>182767844.60442311</v>
      </c>
      <c r="N9" s="4">
        <f t="shared" ca="1" si="2"/>
        <v>185683883.89691085</v>
      </c>
      <c r="O9" s="4">
        <f t="shared" ca="1" si="2"/>
        <v>188835839.48165697</v>
      </c>
      <c r="P9" s="4">
        <f t="shared" ca="1" si="2"/>
        <v>192251466.51574922</v>
      </c>
      <c r="Q9" s="4">
        <f t="shared" ca="1" si="2"/>
        <v>195699096.28060055</v>
      </c>
      <c r="R9" s="4">
        <f t="shared" ca="1" si="2"/>
        <v>199415178.97003776</v>
      </c>
      <c r="S9" s="4">
        <f t="shared" ca="1" si="2"/>
        <v>203430187.93531007</v>
      </c>
      <c r="T9" s="4">
        <f t="shared" ca="1" si="2"/>
        <v>207777159.97039938</v>
      </c>
      <c r="U9" s="4">
        <f t="shared" ca="1" si="2"/>
        <v>212491871.86301267</v>
      </c>
      <c r="V9" s="4">
        <f t="shared" ca="1" si="2"/>
        <v>216915828.34955847</v>
      </c>
      <c r="W9" s="4">
        <f t="shared" ca="1" si="2"/>
        <v>221643919.65832961</v>
      </c>
      <c r="X9" s="4">
        <f t="shared" ca="1" si="2"/>
        <v>226709055.33398423</v>
      </c>
      <c r="Y9" s="4">
        <f t="shared" ca="1" si="2"/>
        <v>232146940.45275801</v>
      </c>
      <c r="Z9" s="4">
        <f t="shared" ca="1" si="2"/>
        <v>237996271.61035377</v>
      </c>
      <c r="AA9" s="4">
        <f t="shared" ca="1" si="2"/>
        <v>244298945.06279737</v>
      </c>
      <c r="AB9" s="4">
        <f t="shared" ca="1" si="2"/>
        <v>234368718.10303944</v>
      </c>
      <c r="AC9" s="4">
        <f t="shared" ca="1" si="2"/>
        <v>223103144.65678978</v>
      </c>
      <c r="AD9" s="4">
        <f t="shared" ca="1" si="2"/>
        <v>210413087.19223118</v>
      </c>
      <c r="AE9" s="4">
        <f t="shared" ca="1" si="2"/>
        <v>196204603.9698422</v>
      </c>
      <c r="AF9" s="4">
        <f t="shared" ca="1" si="2"/>
        <v>180378716.28068981</v>
      </c>
    </row>
    <row r="12" spans="1:32" x14ac:dyDescent="0.35">
      <c r="A12" t="s">
        <v>80</v>
      </c>
      <c r="C12" s="2">
        <f>Assumptions!$C$25*Assumptions!D9*Assumptions!D13</f>
        <v>88017369.278452739</v>
      </c>
      <c r="D12" s="2">
        <f>Assumptions!$C$25*Assumptions!E9*Assumptions!E13</f>
        <v>90796485.264391601</v>
      </c>
      <c r="E12" s="2">
        <f>Assumptions!$C$25*Assumptions!F9*Assumptions!F13</f>
        <v>93663350.813020393</v>
      </c>
      <c r="F12" s="2">
        <f>Assumptions!$C$25*Assumptions!G9*Assumptions!G13</f>
        <v>96620736.584430709</v>
      </c>
      <c r="G12" s="2">
        <f>Assumptions!$C$25*Assumptions!H9*Assumptions!H13</f>
        <v>99671500.721285179</v>
      </c>
      <c r="H12" s="2">
        <f>Assumptions!$C$25*Assumptions!I9*Assumptions!I13</f>
        <v>102818591.61104721</v>
      </c>
      <c r="I12" s="2">
        <f>Assumptions!$C$25*Assumptions!J9*Assumptions!J13</f>
        <v>106065050.73542751</v>
      </c>
      <c r="J12" s="2">
        <f>Assumptions!$C$25*Assumptions!K9*Assumptions!K13</f>
        <v>109414015.60980038</v>
      </c>
      <c r="K12" s="2">
        <f>Assumptions!$C$25*Assumptions!L9*Assumptions!L13</f>
        <v>112868722.81543143</v>
      </c>
      <c r="L12" s="2">
        <f>Assumptions!$C$25*Assumptions!M9*Assumptions!M13</f>
        <v>116432511.12744656</v>
      </c>
      <c r="M12" s="2">
        <f>Assumptions!$C$25*Assumptions!N9*Assumptions!N13</f>
        <v>120108824.74156532</v>
      </c>
      <c r="N12" s="2">
        <f>Assumptions!$C$25*Assumptions!O9*Assumptions!O13</f>
        <v>123901216.6027173</v>
      </c>
      <c r="O12" s="2">
        <f>Assumptions!$C$25*Assumptions!P9*Assumptions!P13</f>
        <v>127813351.83875851</v>
      </c>
      <c r="P12" s="2">
        <f>Assumptions!$C$25*Assumptions!Q9*Assumptions!Q13</f>
        <v>131849011.3026057</v>
      </c>
      <c r="Q12" s="2">
        <f>Assumptions!$C$25*Assumptions!R9*Assumptions!R13</f>
        <v>136012095.22621271</v>
      </c>
      <c r="R12" s="2">
        <f>Assumptions!$C$25*Assumptions!S9*Assumptions!S13</f>
        <v>140306626.9899193</v>
      </c>
      <c r="S12" s="2">
        <f>Assumptions!$C$25*Assumptions!T9*Assumptions!T13</f>
        <v>144736757.01081625</v>
      </c>
      <c r="T12" s="2">
        <f>Assumptions!$C$25*Assumptions!U9*Assumptions!U13</f>
        <v>149306766.75388384</v>
      </c>
      <c r="U12" s="2">
        <f>Assumptions!$C$25*Assumptions!V9*Assumptions!V13</f>
        <v>154021072.86978078</v>
      </c>
      <c r="V12" s="2">
        <f>Assumptions!$C$25*Assumptions!W9*Assumptions!W13</f>
        <v>158884231.46328178</v>
      </c>
      <c r="W12" s="2">
        <f>Assumptions!$C$25*Assumptions!X9*Assumptions!X13</f>
        <v>163900942.49649051</v>
      </c>
      <c r="X12" s="2">
        <f>Assumptions!$C$25*Assumptions!Y9*Assumptions!Y13</f>
        <v>169076054.33108094</v>
      </c>
      <c r="Y12" s="2">
        <f>Assumptions!$C$25*Assumptions!Z9*Assumptions!Z13</f>
        <v>174414568.41395992</v>
      </c>
      <c r="Z12" s="2">
        <f>Assumptions!$C$25*Assumptions!AA9*Assumptions!AA13</f>
        <v>179921644.11087611</v>
      </c>
      <c r="AA12" s="2">
        <f>Assumptions!$C$25*Assumptions!AB9*Assumptions!AB13</f>
        <v>185602603.69264978</v>
      </c>
      <c r="AB12" s="2">
        <f>Assumptions!$C$25*Assumptions!AC9*Assumptions!AC13</f>
        <v>191462937.47884029</v>
      </c>
      <c r="AC12" s="2">
        <f>Assumptions!$C$25*Assumptions!AD9*Assumptions!AD13</f>
        <v>197508309.14382279</v>
      </c>
      <c r="AD12" s="2">
        <f>Assumptions!$C$25*Assumptions!AE9*Assumptions!AE13</f>
        <v>203744561.19040293</v>
      </c>
      <c r="AE12" s="2">
        <f>Assumptions!$C$25*Assumptions!AF9*Assumptions!AF13</f>
        <v>210177720.59625861</v>
      </c>
      <c r="AF12" s="2">
        <f>Assumptions!$C$25*Assumptions!AG9*Assumptions!AG13</f>
        <v>216814004.63866574</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5447522.940286261</v>
      </c>
      <c r="D14" s="5">
        <f>Assumptions!E122*Assumptions!E9</f>
        <v>11134736.889945118</v>
      </c>
      <c r="E14" s="5">
        <f>Assumptions!F122*Assumptions!F9</f>
        <v>17069551.652285866</v>
      </c>
      <c r="F14" s="5">
        <f>Assumptions!G122*Assumptions!G9</f>
        <v>23260109.051514871</v>
      </c>
      <c r="G14" s="5">
        <f>Assumptions!H122*Assumptions!H9</f>
        <v>29674964.288822249</v>
      </c>
      <c r="H14" s="5">
        <f>Assumptions!I122*Assumptions!I9</f>
        <v>36320386.835992984</v>
      </c>
      <c r="I14" s="5">
        <f>Assumptions!J122*Assumptions!J9</f>
        <v>43202804.319035828</v>
      </c>
      <c r="J14" s="5">
        <f>Assumptions!K122*Assumptions!K9</f>
        <v>50328806.30402527</v>
      </c>
      <c r="K14" s="5">
        <f>Assumptions!L122*Assumptions!L9</f>
        <v>57705148.17087514</v>
      </c>
      <c r="L14" s="5">
        <f>Assumptions!M122*Assumptions!M9</f>
        <v>65364068.600688823</v>
      </c>
      <c r="M14" s="5">
        <f>Assumptions!N122*Assumptions!N9</f>
        <v>73314092.761773854</v>
      </c>
      <c r="N14" s="5">
        <f>Assumptions!O122*Assumptions!O9</f>
        <v>81563977.673208818</v>
      </c>
      <c r="O14" s="5">
        <f>Assumptions!P122*Assumptions!P9</f>
        <v>90122718.155584738</v>
      </c>
      <c r="P14" s="5">
        <f>Assumptions!Q122*Assumptions!Q9</f>
        <v>98999552.928974018</v>
      </c>
      <c r="Q14" s="5">
        <f>Assumptions!R122*Assumptions!R9</f>
        <v>108210274.54022589</v>
      </c>
      <c r="R14" s="5">
        <f>Assumptions!S122*Assumptions!S9</f>
        <v>117765014.77859707</v>
      </c>
      <c r="S14" s="5">
        <f>Assumptions!T122*Assumptions!T9</f>
        <v>127674184.34675737</v>
      </c>
      <c r="T14" s="5">
        <f>Assumptions!U122*Assumptions!U9</f>
        <v>137948480.12296507</v>
      </c>
      <c r="U14" s="5">
        <f>Assumptions!V122*Assumptions!V9</f>
        <v>148598892.60564849</v>
      </c>
      <c r="V14" s="5">
        <f>Assumptions!W122*Assumptions!W9</f>
        <v>159651156.17319041</v>
      </c>
      <c r="W14" s="5">
        <f>Assumptions!X122*Assumptions!X9</f>
        <v>171117797.47368306</v>
      </c>
      <c r="X14" s="5">
        <f>Assumptions!Y122*Assumptions!Y9</f>
        <v>183011699.83180955</v>
      </c>
      <c r="Y14" s="5">
        <f>Assumptions!Z122*Assumptions!Z9</f>
        <v>195346112.87971637</v>
      </c>
      <c r="Z14" s="5">
        <f>Assumptions!AA122*Assumptions!AA9</f>
        <v>208134662.43901253</v>
      </c>
      <c r="AA14" s="5">
        <f>Assumptions!AB122*Assumptions!AB9</f>
        <v>221391360.66028386</v>
      </c>
      <c r="AB14" s="5">
        <f>Assumptions!AC122*Assumptions!AC9</f>
        <v>235130616.42667073</v>
      </c>
      <c r="AC14" s="5">
        <f>Assumptions!AD122*Assumptions!AD9</f>
        <v>249367246.02821895</v>
      </c>
      <c r="AD14" s="5">
        <f>Assumptions!AE122*Assumptions!AE9</f>
        <v>264116484.11388484</v>
      </c>
      <c r="AE14" s="5">
        <f>Assumptions!AF122*Assumptions!AF9</f>
        <v>279393994.92824239</v>
      </c>
      <c r="AF14" s="5">
        <f>Assumptions!AG122*Assumptions!AG9</f>
        <v>295215883.84012049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0.99248648248035054</v>
      </c>
      <c r="H16" s="37">
        <f>Assumptions!I43</f>
        <v>0.98502941790621912</v>
      </c>
      <c r="I16" s="37">
        <f>Assumptions!J43</f>
        <v>0.97762838211741065</v>
      </c>
      <c r="J16" s="37">
        <f>Assumptions!K43</f>
        <v>0.9702829541406649</v>
      </c>
      <c r="K16" s="37">
        <f>Assumptions!L43</f>
        <v>0.9629927161657118</v>
      </c>
      <c r="L16" s="37">
        <f>Assumptions!M43</f>
        <v>0.96001375996428184</v>
      </c>
      <c r="M16" s="37">
        <f>Assumptions!N43</f>
        <v>0.95704401897279179</v>
      </c>
      <c r="N16" s="37">
        <f>Assumptions!O43</f>
        <v>0.95408346468458072</v>
      </c>
      <c r="O16" s="37">
        <f>Assumptions!P43</f>
        <v>0.95113206868117128</v>
      </c>
      <c r="P16" s="37">
        <f>Assumptions!Q43</f>
        <v>0.94818980263199681</v>
      </c>
      <c r="Q16" s="37">
        <f>Assumptions!R43</f>
        <v>0.9462078122653852</v>
      </c>
      <c r="R16" s="37">
        <f>Assumptions!S43</f>
        <v>0.94422996483070809</v>
      </c>
      <c r="S16" s="37">
        <f>Assumptions!T43</f>
        <v>0.94225625166804206</v>
      </c>
      <c r="T16" s="37">
        <f>Assumptions!U43</f>
        <v>0.94028666413556516</v>
      </c>
      <c r="U16" s="37">
        <f>Assumptions!V43</f>
        <v>0.93832119360951971</v>
      </c>
      <c r="V16" s="37">
        <f>Assumptions!W43</f>
        <v>0.93832119360951971</v>
      </c>
      <c r="W16" s="37">
        <f>Assumptions!X43</f>
        <v>0.93832119360951971</v>
      </c>
      <c r="X16" s="37">
        <f>Assumptions!Y43</f>
        <v>0.93832119360951971</v>
      </c>
      <c r="Y16" s="37">
        <f>Assumptions!Z43</f>
        <v>0.93832119360951971</v>
      </c>
      <c r="Z16" s="37">
        <f>Assumptions!AA43</f>
        <v>0.93832119360951971</v>
      </c>
      <c r="AA16" s="37">
        <f>Assumptions!AB43</f>
        <v>0.93832119360951971</v>
      </c>
      <c r="AB16" s="37">
        <f>Assumptions!AC43</f>
        <v>0.93832119360951971</v>
      </c>
      <c r="AC16" s="37">
        <f>Assumptions!AD43</f>
        <v>0.93832119360951971</v>
      </c>
      <c r="AD16" s="37">
        <f>Assumptions!AE43</f>
        <v>0.93832119360951971</v>
      </c>
      <c r="AE16" s="37">
        <f>Assumptions!AF43</f>
        <v>0.93832119360951971</v>
      </c>
      <c r="AF16" s="37">
        <f>Assumptions!AG43</f>
        <v>0.93832119360951971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-748883.56687912345</v>
      </c>
      <c r="H19" s="44">
        <f t="shared" si="3"/>
        <v>-1539254.1664801091</v>
      </c>
      <c r="I19" s="44">
        <f t="shared" si="3"/>
        <v>-2372846.7857504338</v>
      </c>
      <c r="J19" s="44">
        <f t="shared" si="3"/>
        <v>-3251461.3195304424</v>
      </c>
      <c r="K19" s="44">
        <f t="shared" si="3"/>
        <v>-4176964.8612442762</v>
      </c>
      <c r="L19" s="44">
        <f t="shared" si="3"/>
        <v>-4655698.3379034996</v>
      </c>
      <c r="M19" s="44">
        <f t="shared" si="3"/>
        <v>-5159392.3967989534</v>
      </c>
      <c r="N19" s="44">
        <f t="shared" si="3"/>
        <v>-5689114.5877620876</v>
      </c>
      <c r="O19" s="44">
        <f t="shared" si="3"/>
        <v>-6245974.0992857367</v>
      </c>
      <c r="P19" s="44">
        <f t="shared" si="3"/>
        <v>-6831123.2983640879</v>
      </c>
      <c r="Q19" s="44">
        <f t="shared" si="3"/>
        <v>-7316388.1605867445</v>
      </c>
      <c r="R19" s="44">
        <f t="shared" si="3"/>
        <v>-7824905.5217125267</v>
      </c>
      <c r="S19" s="44">
        <f t="shared" si="3"/>
        <v>-8357642.871216327</v>
      </c>
      <c r="T19" s="44">
        <f t="shared" si="3"/>
        <v>-8915605.1100074947</v>
      </c>
      <c r="U19" s="44">
        <f t="shared" si="3"/>
        <v>-9499835.9335892797</v>
      </c>
      <c r="V19" s="44">
        <f t="shared" si="3"/>
        <v>-9799789.750924021</v>
      </c>
      <c r="W19" s="44">
        <f t="shared" si="3"/>
        <v>-10109214.499458283</v>
      </c>
      <c r="X19" s="44">
        <f t="shared" si="3"/>
        <v>-10428409.220353067</v>
      </c>
      <c r="Y19" s="44">
        <f t="shared" si="3"/>
        <v>-10757682.396883816</v>
      </c>
      <c r="Z19" s="44">
        <f t="shared" si="3"/>
        <v>-11097352.252571613</v>
      </c>
      <c r="AA19" s="44">
        <f t="shared" si="3"/>
        <v>-11447747.05872798</v>
      </c>
      <c r="AB19" s="44">
        <f t="shared" si="3"/>
        <v>-11809205.451710016</v>
      </c>
      <c r="AC19" s="44">
        <f t="shared" si="3"/>
        <v>-12182076.760192961</v>
      </c>
      <c r="AD19" s="44">
        <f t="shared" si="3"/>
        <v>-12566721.342776239</v>
      </c>
      <c r="AE19" s="44">
        <f t="shared" si="3"/>
        <v>-12963510.936249107</v>
      </c>
      <c r="AF19" s="44">
        <f t="shared" si="3"/>
        <v>-13372829.014852971</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-222963.36407903954</v>
      </c>
      <c r="H24" s="44">
        <f t="shared" si="6"/>
        <v>-543737.33280611038</v>
      </c>
      <c r="I24" s="44">
        <f t="shared" si="6"/>
        <v>-966516.62968175113</v>
      </c>
      <c r="J24" s="44">
        <f t="shared" si="6"/>
        <v>-1495623.4449823126</v>
      </c>
      <c r="K24" s="44">
        <f t="shared" si="6"/>
        <v>-2135510.7970592305</v>
      </c>
      <c r="L24" s="44">
        <f t="shared" si="6"/>
        <v>-2613663.3367782906</v>
      </c>
      <c r="M24" s="44">
        <f t="shared" si="6"/>
        <v>-3149278.7777017355</v>
      </c>
      <c r="N24" s="44">
        <f t="shared" si="6"/>
        <v>-3745135.2612979561</v>
      </c>
      <c r="O24" s="44">
        <f t="shared" si="6"/>
        <v>-4404110.8010932654</v>
      </c>
      <c r="P24" s="44">
        <f t="shared" si="6"/>
        <v>-5129186.3765942156</v>
      </c>
      <c r="Q24" s="44">
        <f t="shared" si="6"/>
        <v>-5820867.4028820395</v>
      </c>
      <c r="R24" s="44">
        <f t="shared" si="6"/>
        <v>-6567759.0159145445</v>
      </c>
      <c r="S24" s="44">
        <f t="shared" si="6"/>
        <v>-7372385.9694071561</v>
      </c>
      <c r="T24" s="44">
        <f t="shared" si="6"/>
        <v>-8237363.9255709201</v>
      </c>
      <c r="U24" s="44">
        <f t="shared" si="6"/>
        <v>-9165402.3268635571</v>
      </c>
      <c r="V24" s="44">
        <f t="shared" si="6"/>
        <v>-9847092.7516225576</v>
      </c>
      <c r="W24" s="44">
        <f t="shared" si="6"/>
        <v>-10554341.500344723</v>
      </c>
      <c r="X24" s="44">
        <f t="shared" si="6"/>
        <v>-11287943.201118886</v>
      </c>
      <c r="Y24" s="44">
        <f t="shared" si="6"/>
        <v>-12048715.075440943</v>
      </c>
      <c r="Z24" s="44">
        <f t="shared" si="6"/>
        <v>-12837497.54772383</v>
      </c>
      <c r="AA24" s="44">
        <f t="shared" si="6"/>
        <v>-13655154.870690644</v>
      </c>
      <c r="AB24" s="44">
        <f t="shared" si="6"/>
        <v>-14502575.767054915</v>
      </c>
      <c r="AC24" s="44">
        <f t="shared" si="6"/>
        <v>-15380674.087901771</v>
      </c>
      <c r="AD24" s="44">
        <f t="shared" si="6"/>
        <v>-16290389.488194674</v>
      </c>
      <c r="AE24" s="44">
        <f t="shared" si="6"/>
        <v>-17232688.119841903</v>
      </c>
      <c r="AF24" s="44">
        <f t="shared" si="6"/>
        <v>-18208563.342769325</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93464892.218739003</v>
      </c>
      <c r="D27" s="2">
        <f t="shared" ref="D27:AF27" si="8">D12+D13+D14+D19+D20+D22+D24+D25</f>
        <v>101931222.15433672</v>
      </c>
      <c r="E27" s="2">
        <f t="shared" si="8"/>
        <v>110732902.46530625</v>
      </c>
      <c r="F27" s="2">
        <f t="shared" si="8"/>
        <v>119880845.63594559</v>
      </c>
      <c r="G27" s="2">
        <f t="shared" si="8"/>
        <v>128374618.07914926</v>
      </c>
      <c r="H27" s="2">
        <f t="shared" si="8"/>
        <v>137055986.94775397</v>
      </c>
      <c r="I27" s="2">
        <f t="shared" si="8"/>
        <v>145928491.63903111</v>
      </c>
      <c r="J27" s="2">
        <f t="shared" si="8"/>
        <v>154995737.14931288</v>
      </c>
      <c r="K27" s="2">
        <f t="shared" si="8"/>
        <v>164261395.32800305</v>
      </c>
      <c r="L27" s="2">
        <f t="shared" si="8"/>
        <v>174527218.05345359</v>
      </c>
      <c r="M27" s="2">
        <f t="shared" si="8"/>
        <v>185114246.32883847</v>
      </c>
      <c r="N27" s="2">
        <f t="shared" si="8"/>
        <v>196030944.42686605</v>
      </c>
      <c r="O27" s="2">
        <f t="shared" si="8"/>
        <v>207285985.09396422</v>
      </c>
      <c r="P27" s="2">
        <f t="shared" si="8"/>
        <v>218888254.5566214</v>
      </c>
      <c r="Q27" s="2">
        <f t="shared" si="8"/>
        <v>231085114.20296982</v>
      </c>
      <c r="R27" s="2">
        <f t="shared" si="8"/>
        <v>243678977.23088926</v>
      </c>
      <c r="S27" s="2">
        <f t="shared" si="8"/>
        <v>256680912.51695013</v>
      </c>
      <c r="T27" s="2">
        <f t="shared" si="8"/>
        <v>270102277.84127051</v>
      </c>
      <c r="U27" s="2">
        <f t="shared" si="8"/>
        <v>283954727.21497643</v>
      </c>
      <c r="V27" s="2">
        <f t="shared" si="8"/>
        <v>298888505.13392568</v>
      </c>
      <c r="W27" s="2">
        <f t="shared" si="8"/>
        <v>314355183.97037053</v>
      </c>
      <c r="X27" s="2">
        <f t="shared" si="8"/>
        <v>330371401.74141854</v>
      </c>
      <c r="Y27" s="2">
        <f t="shared" si="8"/>
        <v>346954283.82135147</v>
      </c>
      <c r="Z27" s="2">
        <f t="shared" si="8"/>
        <v>364121456.7495932</v>
      </c>
      <c r="AA27" s="2">
        <f t="shared" si="8"/>
        <v>381891062.42351502</v>
      </c>
      <c r="AB27" s="2">
        <f t="shared" si="8"/>
        <v>400281772.68674612</v>
      </c>
      <c r="AC27" s="2">
        <f t="shared" si="8"/>
        <v>419312804.32394701</v>
      </c>
      <c r="AD27" s="2">
        <f t="shared" si="8"/>
        <v>439003934.47331691</v>
      </c>
      <c r="AE27" s="2">
        <f t="shared" si="8"/>
        <v>459375516.4684099</v>
      </c>
      <c r="AF27" s="2">
        <f t="shared" si="8"/>
        <v>480448496.1211639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3W2DU3RAJ5R2-1900874439-768</_dlc_DocId>
    <_dlc_DocIdUrl xmlns="f54e2983-00ce-40fc-8108-18f351fc47bf">
      <Url>https://dia.cohesion.net.nz/Sites/LGV/TWRP/CAE/_layouts/15/DocIdRedir.aspx?ID=3W2DU3RAJ5R2-1900874439-768</Url>
      <Description>3W2DU3RAJ5R2-1900874439-768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899267E5-E3BF-4F4D-981A-D411760DDD4C}"/>
</file>

<file path=customXml/itemProps4.xml><?xml version="1.0" encoding="utf-8"?>
<ds:datastoreItem xmlns:ds="http://schemas.openxmlformats.org/officeDocument/2006/customXml" ds:itemID="{4CD82440-3341-470F-871A-51D32BAB54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2021-06-28T21:52:00Z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f5ba8f4a-35c8-4456-b4bf-f32c2eb00cfe</vt:lpwstr>
  </property>
</Properties>
</file>