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codeName="ThisWorkbook" defaultThemeVersion="166925"/>
  <xr:revisionPtr revIDLastSave="203" documentId="8_{8EE8B9A1-5F54-4BA0-BE11-9778E7D5A480}" xr6:coauthVersionLast="47" xr6:coauthVersionMax="47" xr10:uidLastSave="{E81664DB-42EC-4874-A9F4-264CBEEC6660}"/>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2</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<sst xmlns="http://schemas.openxmlformats.org/spreadsheetml/2006/main" count="277" uniqueCount="204">
  <si>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</si>
  <si>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</si>
  <si>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</si>
  <si>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</si>
  <si>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</si>
  <si>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</si>
  <si>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</si>
  <si>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</si>
  <si>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</si>
  <si>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</si>
  <si>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</si>
  <si>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</si>
  <si>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</si>
  <si>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</si>
  <si>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</si>
  <si>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</si>
  <si>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</si>
  <si>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</si>
  <si>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</si>
  <si>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</si>
  <si>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</si>
  <si>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</si>
  <si>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</si>
  <si>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</si>
  <si>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</si>
  <si>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</si>
  <si>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</si>
  <si>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</si>
  <si>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</si>
  <si>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</si>
  <si>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</si>
  <si>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</si>
  <si>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</si>
  <si>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</si>
  <si>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</si>
  <si>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</si>
  <si>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</si>
  <si>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</si>
  <si>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</si>
  <si>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</si>
  <si>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</si>
  <si>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</si>
  <si>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</si>
  <si>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</si>
  <si>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</si>
  <si>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</si>
  <si>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</si>
  <si>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</si>
  <si>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</si>
  <si>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</si>
  <si>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</si>
  <si>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</si>
  <si>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</si>
  <si>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</si>
  <si>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</si>
  <si>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</si>
  <si>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</si>
  <si>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</si>
  <si>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</si>
  <si>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</si>
  <si>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</si>
  <si>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</si>
  <si>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</si>
  <si>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</si>
  <si>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</si>
  <si>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</si>
  <si>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</si>
  <si>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</si>
  <si>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</si>
  <si>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</si>
  <si>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</si>
  <si>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</si>
  <si>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</si>
  <si>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</si>
  <si>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</si>
  <si>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</si>
  <si>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</si>
  <si>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</si>
  <si>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</si>
  <si>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</si>
  <si>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</si>
  <si>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</si>
  <si>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</si>
  <si>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</si>
  <si>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</si>
  <si>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</si>
  <si>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</si>
  <si>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</si>
  <si>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</si>
  <si>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</si>
  <si>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</si>
  <si>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</si>
  <si>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</si>
  <si>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</si>
  <si>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</si>
  <si>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</si>
  <si>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</si>
  <si>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</si>
  <si>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</si>
  <si>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</si>
  <si>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</si>
  <si>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</si>
  <si>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</si>
  <si>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</si>
  <si>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</si>
  <si>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</si>
  <si>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</si>
  <si>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</si>
  <si>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</si>
  <si>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</si>
  <si>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</si>
  <si>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</si>
  <si>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</si>
  <si>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</si>
  <si>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</si>
  <si>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</si>
  <si>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</si>
  <si>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</si>
  <si>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</si>
  <si>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</si>
  <si>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</si>
  <si>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</si>
  <si>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</si>
  <si>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</si>
  <si>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</si>
  <si>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</si>
  <si>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</si>
  <si>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</si>
  <si>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</si>
  <si>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</si>
  <si>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</si>
  <si>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</si>
  <si>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</si>
  <si>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</si>
  <si>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</si>
  <si>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</si>
  <si>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</si>
  <si>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</si>
  <si>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</si>
  <si>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</si>
  <si>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</si>
  <si>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</si>
  <si>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</si>
  <si>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</si>
  <si>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</si>
  <si>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</si>
  <si>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</si>
  <si>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</si>
  <si>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</si>
  <si>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</si>
  <si>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</si>
  <si>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</si>
  <si>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</si>
  <si>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</si>
  <si>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</si>
  <si>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</si>
  <si>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</si>
  <si>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</si>
  <si>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</si>
  <si>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</si>
  <si>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</si>
  <si>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</si>
  <si>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</si>
  <si>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</si>
  <si>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</si>
  <si>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</si>
  <si>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</si>
  <si>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</si>
  <si>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</si>
  <si>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</si>
  <si>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</si>
  <si>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</si>
  <si>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</si>
  <si>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</si>
  <si>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</si>
  <si>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</si>
  <si>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</si>
  <si>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</si>
  <si>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</si>
  <si>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</si>
  <si>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</si>
  <si>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</si>
  <si>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</si>
  <si>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</si>
  <si>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</si>
  <si>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</si>
  <si>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</si>
  <si>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</si>
  <si>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</si>
  <si>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</si>
  <si>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</si>
  <si>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</si>
  <si>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</si>
  <si>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</si>
  <si>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</si>
  <si>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</si>
  <si>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</si>
  <si>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</si>
  <si>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Chatham Islands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</si>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</sst>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16407750</v>
      </c>
      <c r="C6" s="12">
        <f ca="1">B6+Depreciation!C18+'Cash Flow'!C13</f>
        <v>16162435.021295968</v>
      </c>
      <c r="D6" s="1">
        <f ca="1">C6+Depreciation!D18</f>
        <v>16952314.400070813</v>
      </c>
      <c r="E6" s="1">
        <f ca="1">D6+Depreciation!E18</f>
        <v>17779779.892368048</v>
      </c>
      <c r="F6" s="1">
        <f ca="1">E6+Depreciation!F18</f>
        <v>18646428.172969248</v>
      </c>
      <c r="G6" s="1">
        <f ca="1">F6+Depreciation!G18</f>
        <v>19553919.615661751</v>
      </c>
      <c r="H6" s="1">
        <f ca="1">G6+Depreciation!H18</f>
        <v>20503980.734980069</v>
      </c>
      <c r="I6" s="1">
        <f ca="1">H6+Depreciation!I18</f>
        <v>21498406.718990933</v>
      </c>
      <c r="J6" s="1">
        <f ca="1">I6+Depreciation!J18</f>
        <v>22539064.056448486</v>
      </c>
      <c r="K6" s="1">
        <f ca="1">J6+Depreciation!K18</f>
        <v>23627893.261765685</v>
      </c>
      <c r="L6" s="1">
        <f ca="1">K6+Depreciation!L18</f>
        <v>24766911.701371994</v>
      </c>
      <c r="M6" s="1">
        <f ca="1">L6+Depreciation!M18</f>
        <v>25958216.525155671</v>
      </c>
      <c r="N6" s="1">
        <f ca="1">M6+Depreciation!N18</f>
        <v>27203987.706821911</v>
      </c>
      <c r="O6" s="1">
        <f ca="1">N6+Depreciation!O18</f>
        <v>28506491.197135642</v>
      </c>
      <c r="P6" s="1">
        <f ca="1">O6+Depreciation!P18</f>
        <v>29868082.194160279</v>
      </c>
      <c r="Q6" s="1">
        <f ca="1">P6+Depreciation!Q18</f>
        <v>31291208.534751236</v>
      </c>
      <c r="R6" s="1">
        <f ca="1">Q6+Depreciation!R18</f>
        <v>32778414.21171581</v>
      </c>
      <c r="S6" s="1">
        <f ca="1">R6+Depreciation!S18</f>
        <v>34332343.021209143</v>
      </c>
      <c r="T6" s="1">
        <f ca="1">S6+Depreciation!T18</f>
        <v>35955742.345099866</v>
      </c>
      <c r="U6" s="1">
        <f ca="1">T6+Depreciation!U18</f>
        <v>37651467.073208489</v>
      </c>
      <c r="V6" s="1">
        <f ca="1">U6+Depreciation!V18</f>
        <v>39422483.670497291</v>
      </c>
      <c r="W6" s="1">
        <f ca="1">V6+Depreciation!W18</f>
        <v>41271874.394472219</v>
      </c>
      <c r="X6" s="1">
        <f ca="1">W6+Depreciation!X18</f>
        <v>43202841.668245569</v>
      </c>
      <c r="Y6" s="1">
        <f ca="1">X6+Depreciation!Y18</f>
        <v>45218712.614903085</v>
      </c>
      <c r="Z6" s="1">
        <f ca="1">Y6+Depreciation!Z18</f>
        <v>47322943.759021014</v>
      </c>
      <c r="AA6" s="1">
        <f ca="1">Z6+Depreciation!AA18</f>
        <v>49519125.901387438</v>
      </c>
      <c r="AB6" s="1">
        <f ca="1">AA6+Depreciation!AB18</f>
        <v>51810989.173198685</v>
      </c>
      <c r="AC6" s="1">
        <f ca="1">AB6+Depreciation!AC18</f>
        <v>54202408.276225448</v>
      </c>
      <c r="AD6" s="1">
        <f ca="1">AC6+Depreciation!AD18</f>
        <v>56697407.915675178</v>
      </c>
      <c r="AE6" s="1">
        <f ca="1">AD6+Depreciation!AE18</f>
        <v>59300168.43271745</v>
      </c>
      <c r="AF6" s="1"/>
      <c r="AG6" s="1"/>
      <c r="AH6" s="1"/>
      <c r="AI6" s="1"/>
      <c r="AJ6" s="1"/>
      <c r="AK6" s="1"/>
      <c r="AL6" s="1"/>
      <c r="AM6" s="1"/>
      <c r="AN6" s="1"/>
      <c r="AO6" s="1"/>
      <c r="AP6" s="1"/>
    </row>
    <row r="7" spans="1:42" x14ac:dyDescent="0.35">
      <c r="A7" t="s">
        <v>12</v>
      </c>
      <c r="B7" s="1">
        <f>Depreciation!C12</f>
        <v>8476103.5949368626</v>
      </c>
      <c r="C7" s="1">
        <f>Depreciation!D12</f>
        <v>8768971.7737117056</v>
      </c>
      <c r="D7" s="1">
        <f>Depreciation!E12</f>
        <v>9083521.7076089419</v>
      </c>
      <c r="E7" s="1">
        <f>Depreciation!F12</f>
        <v>9420841.1319413427</v>
      </c>
      <c r="F7" s="1">
        <f>Depreciation!G12</f>
        <v>9782065.1949644443</v>
      </c>
      <c r="G7" s="1">
        <f>Depreciation!H12</f>
        <v>10168378.378463937</v>
      </c>
      <c r="H7" s="1">
        <f>Depreciation!I12</f>
        <v>10581016.492709775</v>
      </c>
      <c r="I7" s="1">
        <f>Depreciation!J12</f>
        <v>11021268.74856982</v>
      </c>
      <c r="J7" s="1">
        <f>Depreciation!K12</f>
        <v>11490479.909678394</v>
      </c>
      <c r="K7" s="1">
        <f>Depreciation!L12</f>
        <v>11990052.527661402</v>
      </c>
      <c r="L7" s="1">
        <f>Depreciation!M12</f>
        <v>12521449.263529832</v>
      </c>
      <c r="M7" s="1">
        <f>Depreciation!N12</f>
        <v>13086195.298467536</v>
      </c>
      <c r="N7" s="1">
        <f>Depreciation!O12</f>
        <v>13685880.837357419</v>
      </c>
      <c r="O7" s="1">
        <f>Depreciation!P12</f>
        <v>14322163.708512643</v>
      </c>
      <c r="P7" s="1">
        <f>Depreciation!Q12</f>
        <v>14996772.063206369</v>
      </c>
      <c r="Q7" s="1">
        <f>Depreciation!R12</f>
        <v>15711507.178724997</v>
      </c>
      <c r="R7" s="1">
        <f>Depreciation!S12</f>
        <v>16468246.368806114</v>
      </c>
      <c r="S7" s="1">
        <f>Depreciation!T12</f>
        <v>17268946.005463429</v>
      </c>
      <c r="T7" s="1">
        <f>Depreciation!U12</f>
        <v>18115644.656347174</v>
      </c>
      <c r="U7" s="1">
        <f>Depreciation!V12</f>
        <v>19010466.341939908</v>
      </c>
      <c r="V7" s="1">
        <f>Depreciation!W12</f>
        <v>19955623.917044494</v>
      </c>
      <c r="W7" s="1">
        <f>Depreciation!X12</f>
        <v>20953422.58118365</v>
      </c>
      <c r="X7" s="1">
        <f>Depreciation!Y12</f>
        <v>22006263.522698678</v>
      </c>
      <c r="Y7" s="1">
        <f>Depreciation!Z12</f>
        <v>23116647.701509554</v>
      </c>
      <c r="Z7" s="1">
        <f>Depreciation!AA12</f>
        <v>24287179.775679104</v>
      </c>
      <c r="AA7" s="1">
        <f>Depreciation!AB12</f>
        <v>25520572.177111179</v>
      </c>
      <c r="AB7" s="1">
        <f>Depreciation!AC12</f>
        <v>26819649.34190663</v>
      </c>
      <c r="AC7" s="1">
        <f>Depreciation!AD12</f>
        <v>28187352.101101652</v>
      </c>
      <c r="AD7" s="1">
        <f>Depreciation!AE12</f>
        <v>29626742.237721063</v>
      </c>
      <c r="AE7" s="1">
        <f>Depreciation!AF12</f>
        <v>31141007.216294609</v>
      </c>
      <c r="AF7" s="1"/>
      <c r="AG7" s="1"/>
      <c r="AH7" s="1"/>
      <c r="AI7" s="1"/>
      <c r="AJ7" s="1"/>
      <c r="AK7" s="1"/>
      <c r="AL7" s="1"/>
      <c r="AM7" s="1"/>
      <c r="AN7" s="1"/>
      <c r="AO7" s="1"/>
      <c r="AP7" s="1"/>
    </row>
    <row r="8" spans="1:42" x14ac:dyDescent="0.35">
      <c r="A8" t="s">
        <v>191</v>
      </c>
      <c r="B8" s="1">
        <f t="shared" ref="B8:AE8" si="1">B6-B7</f>
        <v>7931646.4050631374</v>
      </c>
      <c r="C8" s="1">
        <f t="shared" ca="1" si="1"/>
        <v>7393463.2475842629</v>
      </c>
      <c r="D8" s="1">
        <f ca="1">D6-D7</f>
        <v>7868792.6924618706</v>
      </c>
      <c r="E8" s="1">
        <f t="shared" ca="1" si="1"/>
        <v>8358938.7604267057</v>
      </c>
      <c r="F8" s="1">
        <f t="shared" ca="1" si="1"/>
        <v>8864362.9780048039</v>
      </c>
      <c r="G8" s="1">
        <f t="shared" ca="1" si="1"/>
        <v>9385541.2371978145</v>
      </c>
      <c r="H8" s="1">
        <f t="shared" ca="1" si="1"/>
        <v>9922964.2422702946</v>
      </c>
      <c r="I8" s="1">
        <f t="shared" ca="1" si="1"/>
        <v>10477137.970421113</v>
      </c>
      <c r="J8" s="1">
        <f t="shared" ca="1" si="1"/>
        <v>11048584.146770092</v>
      </c>
      <c r="K8" s="1">
        <f t="shared" ca="1" si="1"/>
        <v>11637840.734104283</v>
      </c>
      <c r="L8" s="1">
        <f t="shared" ca="1" si="1"/>
        <v>12245462.437842162</v>
      </c>
      <c r="M8" s="1">
        <f t="shared" ca="1" si="1"/>
        <v>12872021.226688135</v>
      </c>
      <c r="N8" s="1">
        <f t="shared" ca="1" si="1"/>
        <v>13518106.869464492</v>
      </c>
      <c r="O8" s="1">
        <f t="shared" ca="1" si="1"/>
        <v>14184327.488622999</v>
      </c>
      <c r="P8" s="1">
        <f t="shared" ca="1" si="1"/>
        <v>14871310.13095391</v>
      </c>
      <c r="Q8" s="1">
        <f t="shared" ca="1" si="1"/>
        <v>15579701.35602624</v>
      </c>
      <c r="R8" s="1">
        <f t="shared" ca="1" si="1"/>
        <v>16310167.842909696</v>
      </c>
      <c r="S8" s="1">
        <f t="shared" ca="1" si="1"/>
        <v>17063397.015745714</v>
      </c>
      <c r="T8" s="1">
        <f t="shared" ca="1" si="1"/>
        <v>17840097.688752692</v>
      </c>
      <c r="U8" s="1">
        <f t="shared" ca="1" si="1"/>
        <v>18641000.731268581</v>
      </c>
      <c r="V8" s="1">
        <f t="shared" ca="1" si="1"/>
        <v>19466859.753452796</v>
      </c>
      <c r="W8" s="1">
        <f t="shared" ca="1" si="1"/>
        <v>20318451.813288569</v>
      </c>
      <c r="X8" s="1">
        <f t="shared" ca="1" si="1"/>
        <v>21196578.145546891</v>
      </c>
      <c r="Y8" s="1">
        <f t="shared" ca="1" si="1"/>
        <v>22102064.913393531</v>
      </c>
      <c r="Z8" s="1">
        <f t="shared" ca="1" si="1"/>
        <v>23035763.98334191</v>
      </c>
      <c r="AA8" s="1">
        <f t="shared" ca="1" si="1"/>
        <v>23998553.72427626</v>
      </c>
      <c r="AB8" s="1">
        <f t="shared" ca="1" si="1"/>
        <v>24991339.831292056</v>
      </c>
      <c r="AC8" s="1">
        <f t="shared" ca="1" si="1"/>
        <v>26015056.175123796</v>
      </c>
      <c r="AD8" s="1">
        <f t="shared" ca="1" si="1"/>
        <v>27070665.677954115</v>
      </c>
      <c r="AE8" s="1">
        <f t="shared" ca="1" si="1"/>
        <v>28159161.216422841</v>
      </c>
      <c r="AF8" s="1"/>
      <c r="AG8" s="1"/>
      <c r="AH8" s="1"/>
      <c r="AI8" s="1"/>
      <c r="AJ8" s="1"/>
      <c r="AK8" s="1"/>
      <c r="AL8" s="1"/>
      <c r="AM8" s="1"/>
      <c r="AN8" s="1"/>
      <c r="AO8" s="1"/>
      <c r="AP8" s="1"/>
    </row>
    <row r="10" spans="1:42" x14ac:dyDescent="0.35">
      <c r="A10" t="s">
        <v>17</v>
      </c>
      <c r="B10" s="1">
        <f>B8-B11</f>
        <v>7931646.4050631374</v>
      </c>
      <c r="C10" s="1">
        <f ca="1">C8-C11</f>
        <v>6394319.6739433687</v>
      </c>
      <c r="D10" s="1">
        <f ca="1">D8-D11</f>
        <v>5972871.1680866145</v>
      </c>
      <c r="E10" s="1">
        <f t="shared" ref="E10:AE10" ca="1" si="2">E8-E11</f>
        <v>5808329.9300016072</v>
      </c>
      <c r="F10" s="1">
        <f t="shared" ca="1" si="2"/>
        <v>5845038.4366734689</v>
      </c>
      <c r="G10" s="1">
        <f ca="1">G8-G11</f>
        <v>5991966.0909364298</v>
      </c>
      <c r="H10" s="1">
        <f t="shared" ca="1" si="2"/>
        <v>6231095.2642672341</v>
      </c>
      <c r="I10" s="1">
        <f t="shared" ca="1" si="2"/>
        <v>6513205.7865292141</v>
      </c>
      <c r="J10" s="1">
        <f t="shared" ca="1" si="2"/>
        <v>6845860.4914498851</v>
      </c>
      <c r="K10" s="1">
        <f t="shared" ca="1" si="2"/>
        <v>7204484.3003193885</v>
      </c>
      <c r="L10" s="1">
        <f t="shared" ca="1" si="2"/>
        <v>7592682.3626691308</v>
      </c>
      <c r="M10" s="1">
        <f t="shared" ca="1" si="2"/>
        <v>7995874.6088597672</v>
      </c>
      <c r="N10" s="1">
        <f t="shared" ca="1" si="2"/>
        <v>8415721.2449226454</v>
      </c>
      <c r="O10" s="1">
        <f t="shared" ca="1" si="2"/>
        <v>8854047.9138480909</v>
      </c>
      <c r="P10" s="1">
        <f t="shared" ca="1" si="2"/>
        <v>9312858.8516554311</v>
      </c>
      <c r="Q10" s="1">
        <f t="shared" ca="1" si="2"/>
        <v>9794350.9464605674</v>
      </c>
      <c r="R10" s="1">
        <f t="shared" ca="1" si="2"/>
        <v>10300928.756966135</v>
      </c>
      <c r="S10" s="1">
        <f t="shared" ca="1" si="2"/>
        <v>10835220.550112057</v>
      </c>
      <c r="T10" s="1">
        <f t="shared" ca="1" si="2"/>
        <v>11400095.421123473</v>
      </c>
      <c r="U10" s="1">
        <f t="shared" ca="1" si="2"/>
        <v>11998681.562888572</v>
      </c>
      <c r="V10" s="1">
        <f t="shared" ca="1" si="2"/>
        <v>12605601.79693187</v>
      </c>
      <c r="W10" s="1">
        <f t="shared" ca="1" si="2"/>
        <v>13220927.74117586</v>
      </c>
      <c r="X10" s="1">
        <f t="shared" ca="1" si="2"/>
        <v>13844745.139884258</v>
      </c>
      <c r="Y10" s="1">
        <f t="shared" ca="1" si="2"/>
        <v>14477155.710419156</v>
      </c>
      <c r="Z10" s="1">
        <f t="shared" ca="1" si="2"/>
        <v>15118279.14272384</v>
      </c>
      <c r="AA10" s="1">
        <f t="shared" ca="1" si="2"/>
        <v>15768255.261647325</v>
      </c>
      <c r="AB10" s="1">
        <f t="shared" ca="1" si="2"/>
        <v>16427246.362816766</v>
      </c>
      <c r="AC10" s="1">
        <f t="shared" ca="1" si="2"/>
        <v>17057562.007571243</v>
      </c>
      <c r="AD10" s="1">
        <f t="shared" ca="1" si="2"/>
        <v>17624180.701792225</v>
      </c>
      <c r="AE10" s="1">
        <f t="shared" ca="1" si="2"/>
        <v>18120281.69389835</v>
      </c>
      <c r="AF10" s="1"/>
      <c r="AG10" s="1"/>
      <c r="AH10" s="1"/>
      <c r="AI10" s="1"/>
      <c r="AJ10" s="1"/>
      <c r="AK10" s="1"/>
      <c r="AL10" s="1"/>
      <c r="AM10" s="1"/>
      <c r="AN10" s="1"/>
      <c r="AO10" s="1"/>
    </row>
    <row r="11" spans="1:42" x14ac:dyDescent="0.35">
      <c r="A11" t="s">
        <v>9</v>
      </c>
      <c r="B11" s="1">
        <f>Assumptions!$C$20</f>
        <v>0</v>
      </c>
      <c r="C11" s="1">
        <f ca="1">'Debt worksheet'!D5</f>
        <v>999143.57364089461</v>
      </c>
      <c r="D11" s="1">
        <f ca="1">'Debt worksheet'!E5</f>
        <v>1895921.5243752566</v>
      </c>
      <c r="E11" s="1">
        <f ca="1">'Debt worksheet'!F5</f>
        <v>2550608.8304250985</v>
      </c>
      <c r="F11" s="1">
        <f ca="1">'Debt worksheet'!G5</f>
        <v>3019324.541331335</v>
      </c>
      <c r="G11" s="1">
        <f ca="1">'Debt worksheet'!H5</f>
        <v>3393575.1462613842</v>
      </c>
      <c r="H11" s="1">
        <f ca="1">'Debt worksheet'!I5</f>
        <v>3691868.9780030609</v>
      </c>
      <c r="I11" s="1">
        <f ca="1">'Debt worksheet'!J5</f>
        <v>3963932.183891899</v>
      </c>
      <c r="J11" s="1">
        <f ca="1">'Debt worksheet'!K5</f>
        <v>4202723.6553202067</v>
      </c>
      <c r="K11" s="1">
        <f ca="1">'Debt worksheet'!L5</f>
        <v>4433356.4337848946</v>
      </c>
      <c r="L11" s="1">
        <f ca="1">'Debt worksheet'!M5</f>
        <v>4652780.0751730315</v>
      </c>
      <c r="M11" s="1">
        <f ca="1">'Debt worksheet'!N5</f>
        <v>4876146.6178283682</v>
      </c>
      <c r="N11" s="1">
        <f ca="1">'Debt worksheet'!O5</f>
        <v>5102385.6245418461</v>
      </c>
      <c r="O11" s="1">
        <f ca="1">'Debt worksheet'!P5</f>
        <v>5330279.574774907</v>
      </c>
      <c r="P11" s="1">
        <f ca="1">'Debt worksheet'!Q5</f>
        <v>5558451.2792984787</v>
      </c>
      <c r="Q11" s="1">
        <f ca="1">'Debt worksheet'!R5</f>
        <v>5785350.4095656732</v>
      </c>
      <c r="R11" s="1">
        <f ca="1">'Debt worksheet'!S5</f>
        <v>6009239.085943561</v>
      </c>
      <c r="S11" s="1">
        <f ca="1">'Debt worksheet'!T5</f>
        <v>6228176.4656336568</v>
      </c>
      <c r="T11" s="1">
        <f ca="1">'Debt worksheet'!U5</f>
        <v>6440002.2676292192</v>
      </c>
      <c r="U11" s="1">
        <f ca="1">'Debt worksheet'!V5</f>
        <v>6642319.168380009</v>
      </c>
      <c r="V11" s="1">
        <f ca="1">'Debt worksheet'!W5</f>
        <v>6861257.9565209262</v>
      </c>
      <c r="W11" s="1">
        <f ca="1">'Debt worksheet'!X5</f>
        <v>7097524.0721127084</v>
      </c>
      <c r="X11" s="1">
        <f ca="1">'Debt worksheet'!Y5</f>
        <v>7351833.0056626331</v>
      </c>
      <c r="Y11" s="1">
        <f ca="1">'Debt worksheet'!Z5</f>
        <v>7624909.2029743763</v>
      </c>
      <c r="Z11" s="1">
        <f ca="1">'Debt worksheet'!AA5</f>
        <v>7917484.8406180711</v>
      </c>
      <c r="AA11" s="1">
        <f ca="1">'Debt worksheet'!AB5</f>
        <v>8230298.4626289355</v>
      </c>
      <c r="AB11" s="1">
        <f ca="1">'Debt worksheet'!AC5</f>
        <v>8564093.4684752896</v>
      </c>
      <c r="AC11" s="1">
        <f ca="1">'Debt worksheet'!AD5</f>
        <v>8957494.1675525513</v>
      </c>
      <c r="AD11" s="1">
        <f ca="1">'Debt worksheet'!AE5</f>
        <v>9446484.9761618897</v>
      </c>
      <c r="AE11" s="1">
        <f ca="1">'Debt worksheet'!AF5</f>
        <v>10038879.522524491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-517543.57364089449</v>
      </c>
      <c r="D5" s="4">
        <f ca="1">'Profit and Loss'!D9</f>
        <v>-399766.75073436182</v>
      </c>
      <c r="E5" s="4">
        <f ca="1">'Profit and Loss'!E9</f>
        <v>-141771.74764984171</v>
      </c>
      <c r="F5" s="4">
        <f ca="1">'Profit and Loss'!F9</f>
        <v>60613.145362563315</v>
      </c>
      <c r="G5" s="4">
        <f ca="1">'Profit and Loss'!G9</f>
        <v>172016.77473935258</v>
      </c>
      <c r="H5" s="4">
        <f ca="1">'Profit and Loss'!H9</f>
        <v>265454.10407714569</v>
      </c>
      <c r="I5" s="4">
        <f ca="1">'Profit and Loss'!I9</f>
        <v>309724.66387618677</v>
      </c>
      <c r="J5" s="4">
        <f ca="1">'Profit and Loss'!J9</f>
        <v>361613.61016919778</v>
      </c>
      <c r="K5" s="4">
        <f ca="1">'Profit and Loss'!K9</f>
        <v>388985.26574393793</v>
      </c>
      <c r="L5" s="4">
        <f ca="1">'Profit and Loss'!L9</f>
        <v>420022.180235165</v>
      </c>
      <c r="M5" s="4">
        <f ca="1">'Profit and Loss'!M9</f>
        <v>436541.54525991064</v>
      </c>
      <c r="N5" s="4">
        <f ca="1">'Profit and Loss'!N9</f>
        <v>454786.14001505764</v>
      </c>
      <c r="O5" s="4">
        <f ca="1">'Profit and Loss'!O9</f>
        <v>474924.00119078753</v>
      </c>
      <c r="P5" s="4">
        <f ca="1">'Profit and Loss'!P9</f>
        <v>497136.42134583951</v>
      </c>
      <c r="Q5" s="4">
        <f ca="1">'Profit and Loss'!Q9</f>
        <v>521618.85563003784</v>
      </c>
      <c r="R5" s="4">
        <f ca="1">'Profit and Loss'!R9</f>
        <v>548581.88506805629</v>
      </c>
      <c r="S5" s="4">
        <f ca="1">'Profit and Loss'!S9</f>
        <v>578252.23972211918</v>
      </c>
      <c r="T5" s="4">
        <f ca="1">'Profit and Loss'!T9</f>
        <v>610873.88523784291</v>
      </c>
      <c r="U5" s="4">
        <f ca="1">'Profit and Loss'!U9</f>
        <v>646709.17647408426</v>
      </c>
      <c r="V5" s="4">
        <f ca="1">'Profit and Loss'!V9</f>
        <v>657256.12355515244</v>
      </c>
      <c r="W5" s="4">
        <f ca="1">'Profit and Loss'!W9</f>
        <v>667967.03327856213</v>
      </c>
      <c r="X5" s="4">
        <f ca="1">'Profit and Loss'!X9</f>
        <v>678859.67608427047</v>
      </c>
      <c r="Y5" s="4">
        <f ca="1">'Profit and Loss'!Y9</f>
        <v>689953.80783074605</v>
      </c>
      <c r="Z5" s="4">
        <f ca="1">'Profit and Loss'!Z9</f>
        <v>701271.32766335434</v>
      </c>
      <c r="AA5" s="4">
        <f ca="1">'Profit and Loss'!AA9</f>
        <v>712836.44618601061</v>
      </c>
      <c r="AB5" s="4">
        <f ca="1">'Profit and Loss'!AB9</f>
        <v>724675.86453282181</v>
      </c>
      <c r="AC5" s="4">
        <f ca="1">'Profit and Loss'!AC9</f>
        <v>698941.23915404605</v>
      </c>
      <c r="AD5" s="4">
        <f ca="1">'Profit and Loss'!AD9</f>
        <v>638306.07164537138</v>
      </c>
      <c r="AE5" s="4">
        <f ca="1">'Profit and Loss'!AE9</f>
        <v>570975.83406025928</v>
      </c>
      <c r="AF5" s="4">
        <f ca="1">'Profit and Loss'!AF9</f>
        <v>496522.35539059306</v>
      </c>
      <c r="AG5" s="4"/>
      <c r="AH5" s="4"/>
      <c r="AI5" s="4"/>
      <c r="AJ5" s="4"/>
      <c r="AK5" s="4"/>
      <c r="AL5" s="4"/>
      <c r="AM5" s="4"/>
      <c r="AN5" s="4"/>
      <c r="AO5" s="4"/>
      <c r="AP5" s="4"/>
    </row>
    <row r="6" spans="1:42" x14ac:dyDescent="0.35">
      <c r="A6" t="s">
        <v>21</v>
      </c>
      <c r="C6" s="4">
        <f>Depreciation!C8+Depreciation!C9</f>
        <v>272228.59493686311</v>
      </c>
      <c r="D6" s="4">
        <f>Depreciation!D8+Depreciation!D9</f>
        <v>292868.17877484264</v>
      </c>
      <c r="E6" s="4">
        <f>Depreciation!E8+Depreciation!E9</f>
        <v>314549.93389723758</v>
      </c>
      <c r="F6" s="4">
        <f>Depreciation!F8+Depreciation!F9</f>
        <v>337319.42433240043</v>
      </c>
      <c r="G6" s="4">
        <f>Depreciation!G8+Depreciation!G9</f>
        <v>361224.06302310294</v>
      </c>
      <c r="H6" s="4">
        <f>Depreciation!H8+Depreciation!H9</f>
        <v>386313.18349949393</v>
      </c>
      <c r="I6" s="4">
        <f>Depreciation!I8+Depreciation!I9</f>
        <v>412638.11424583825</v>
      </c>
      <c r="J6" s="4">
        <f>Depreciation!J8+Depreciation!J9</f>
        <v>440252.25586004526</v>
      </c>
      <c r="K6" s="4">
        <f>Depreciation!K8+Depreciation!K9</f>
        <v>469211.16110857378</v>
      </c>
      <c r="L6" s="4">
        <f>Depreciation!L8+Depreciation!L9</f>
        <v>499572.61798300734</v>
      </c>
      <c r="M6" s="4">
        <f>Depreciation!M8+Depreciation!M9</f>
        <v>531396.73586842953</v>
      </c>
      <c r="N6" s="4">
        <f>Depreciation!N8+Depreciation!N9</f>
        <v>564746.0349377041</v>
      </c>
      <c r="O6" s="4">
        <f>Depreciation!O8+Depreciation!O9</f>
        <v>599685.53888988309</v>
      </c>
      <c r="P6" s="4">
        <f>Depreciation!P8+Depreciation!P9</f>
        <v>636282.87115522509</v>
      </c>
      <c r="Q6" s="4">
        <f>Depreciation!Q8+Depreciation!Q9</f>
        <v>674608.35469372571</v>
      </c>
      <c r="R6" s="4">
        <f>Depreciation!R8+Depreciation!R9</f>
        <v>714735.11551862792</v>
      </c>
      <c r="S6" s="4">
        <f>Depreciation!S8+Depreciation!S9</f>
        <v>756739.19008111721</v>
      </c>
      <c r="T6" s="4">
        <f>Depreciation!T8+Depreciation!T9</f>
        <v>800699.63665731449</v>
      </c>
      <c r="U6" s="4">
        <f>Depreciation!U8+Depreciation!U9</f>
        <v>846698.65088374552</v>
      </c>
      <c r="V6" s="4">
        <f>Depreciation!V8+Depreciation!V9</f>
        <v>894821.685592731</v>
      </c>
      <c r="W6" s="4">
        <f>Depreciation!W8+Depreciation!W9</f>
        <v>945157.57510458678</v>
      </c>
      <c r="X6" s="4">
        <f>Depreciation!X8+Depreciation!X9</f>
        <v>997798.66413915413</v>
      </c>
      <c r="Y6" s="4">
        <f>Depreciation!Y8+Depreciation!Y9</f>
        <v>1052840.9415150266</v>
      </c>
      <c r="Z6" s="4">
        <f>Depreciation!Z8+Depreciation!Z9</f>
        <v>1110384.1788108766</v>
      </c>
      <c r="AA6" s="4">
        <f>Depreciation!AA8+Depreciation!AA9</f>
        <v>1170532.0741695501</v>
      </c>
      <c r="AB6" s="4">
        <f>Depreciation!AB8+Depreciation!AB9</f>
        <v>1233392.4014320755</v>
      </c>
      <c r="AC6" s="4">
        <f>Depreciation!AC8+Depreciation!AC9</f>
        <v>1299077.1647954532</v>
      </c>
      <c r="AD6" s="4">
        <f>Depreciation!AD8+Depreciation!AD9</f>
        <v>1367702.7591950209</v>
      </c>
      <c r="AE6" s="4">
        <f>Depreciation!AE8+Depreciation!AE9</f>
        <v>1439390.13661941</v>
      </c>
      <c r="AF6" s="4">
        <f>Depreciation!AF8+Depreciation!AF9</f>
        <v>1514264.9785735444</v>
      </c>
      <c r="AG6" s="4"/>
      <c r="AH6" s="4"/>
      <c r="AI6" s="4"/>
      <c r="AJ6" s="4"/>
      <c r="AK6" s="4"/>
      <c r="AL6" s="4"/>
      <c r="AM6" s="4"/>
      <c r="AN6" s="4"/>
      <c r="AO6" s="4"/>
      <c r="AP6" s="4"/>
    </row>
    <row r="7" spans="1:42" x14ac:dyDescent="0.35">
      <c r="A7" t="s">
        <v>23</v>
      </c>
      <c r="C7" s="4">
        <f ca="1">C6+C5</f>
        <v>-245314.97870403138</v>
      </c>
      <c r="D7" s="4">
        <f ca="1">D6+D5</f>
        <v>-106898.57195951918</v>
      </c>
      <c r="E7" s="4">
        <f t="shared" ref="E7:AF7" ca="1" si="1">E6+E5</f>
        <v>172778.18624739588</v>
      </c>
      <c r="F7" s="4">
        <f t="shared" ca="1" si="1"/>
        <v>397932.56969496375</v>
      </c>
      <c r="G7" s="4">
        <f ca="1">G6+G5</f>
        <v>533240.83776245546</v>
      </c>
      <c r="H7" s="4">
        <f t="shared" ca="1" si="1"/>
        <v>651767.28757663956</v>
      </c>
      <c r="I7" s="4">
        <f t="shared" ca="1" si="1"/>
        <v>722362.77812202508</v>
      </c>
      <c r="J7" s="4">
        <f t="shared" ca="1" si="1"/>
        <v>801865.86602924298</v>
      </c>
      <c r="K7" s="4">
        <f t="shared" ca="1" si="1"/>
        <v>858196.42685251171</v>
      </c>
      <c r="L7" s="4">
        <f t="shared" ca="1" si="1"/>
        <v>919594.79821817228</v>
      </c>
      <c r="M7" s="4">
        <f t="shared" ca="1" si="1"/>
        <v>967938.28112834017</v>
      </c>
      <c r="N7" s="4">
        <f t="shared" ca="1" si="1"/>
        <v>1019532.1749527617</v>
      </c>
      <c r="O7" s="4">
        <f t="shared" ca="1" si="1"/>
        <v>1074609.5400806707</v>
      </c>
      <c r="P7" s="4">
        <f t="shared" ca="1" si="1"/>
        <v>1133419.2925010645</v>
      </c>
      <c r="Q7" s="4">
        <f t="shared" ca="1" si="1"/>
        <v>1196227.2103237635</v>
      </c>
      <c r="R7" s="4">
        <f t="shared" ca="1" si="1"/>
        <v>1263317.0005866843</v>
      </c>
      <c r="S7" s="4">
        <f t="shared" ca="1" si="1"/>
        <v>1334991.4298032364</v>
      </c>
      <c r="T7" s="4">
        <f t="shared" ca="1" si="1"/>
        <v>1411573.5218951574</v>
      </c>
      <c r="U7" s="4">
        <f t="shared" ca="1" si="1"/>
        <v>1493407.8273578298</v>
      </c>
      <c r="V7" s="4">
        <f t="shared" ca="1" si="1"/>
        <v>1552077.8091478834</v>
      </c>
      <c r="W7" s="4">
        <f t="shared" ca="1" si="1"/>
        <v>1613124.6083831489</v>
      </c>
      <c r="X7" s="4">
        <f t="shared" ca="1" si="1"/>
        <v>1676658.3402234246</v>
      </c>
      <c r="Y7" s="4">
        <f t="shared" ca="1" si="1"/>
        <v>1742794.7493457727</v>
      </c>
      <c r="Z7" s="4">
        <f t="shared" ca="1" si="1"/>
        <v>1811655.5064742309</v>
      </c>
      <c r="AA7" s="4">
        <f t="shared" ca="1" si="1"/>
        <v>1883368.5203555608</v>
      </c>
      <c r="AB7" s="4">
        <f t="shared" ca="1" si="1"/>
        <v>1958068.2659648973</v>
      </c>
      <c r="AC7" s="4">
        <f t="shared" ca="1" si="1"/>
        <v>1998018.4039494991</v>
      </c>
      <c r="AD7" s="4">
        <f t="shared" ca="1" si="1"/>
        <v>2006008.8308403923</v>
      </c>
      <c r="AE7" s="4">
        <f t="shared" ca="1" si="1"/>
        <v>2010365.9706796692</v>
      </c>
      <c r="AF7" s="4">
        <f t="shared" ca="1" si="1"/>
        <v>2010787.3339641374</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753828.59493686317</v>
      </c>
      <c r="D10" s="9">
        <f>Investment!D25</f>
        <v>789879.37877484271</v>
      </c>
      <c r="E10" s="9">
        <f>Investment!E25</f>
        <v>827465.49229723762</v>
      </c>
      <c r="F10" s="9">
        <f>Investment!F25</f>
        <v>866648.2806012003</v>
      </c>
      <c r="G10" s="9">
        <f>Investment!G25</f>
        <v>907491.44269250461</v>
      </c>
      <c r="H10" s="9">
        <f>Investment!H25</f>
        <v>950061.11931831622</v>
      </c>
      <c r="I10" s="9">
        <f>Investment!I25</f>
        <v>994425.984010863</v>
      </c>
      <c r="J10" s="9">
        <f>Investment!J25</f>
        <v>1040657.3374575508</v>
      </c>
      <c r="K10" s="9">
        <f>Investment!K25</f>
        <v>1088829.2053171995</v>
      </c>
      <c r="L10" s="9">
        <f>Investment!L25</f>
        <v>1139018.4396063089</v>
      </c>
      <c r="M10" s="9">
        <f>Investment!M25</f>
        <v>1191304.8237836768</v>
      </c>
      <c r="N10" s="9">
        <f>Investment!N25</f>
        <v>1245771.1816662394</v>
      </c>
      <c r="O10" s="9">
        <f>Investment!O25</f>
        <v>1302503.4903137316</v>
      </c>
      <c r="P10" s="9">
        <f>Investment!P25</f>
        <v>1361590.9970246367</v>
      </c>
      <c r="Q10" s="9">
        <f>Investment!Q25</f>
        <v>1423126.3405909583</v>
      </c>
      <c r="R10" s="9">
        <f>Investment!R25</f>
        <v>1487205.6769645722</v>
      </c>
      <c r="S10" s="9">
        <f>Investment!S25</f>
        <v>1553928.8094933317</v>
      </c>
      <c r="T10" s="9">
        <f>Investment!T25</f>
        <v>1623399.3238907198</v>
      </c>
      <c r="U10" s="9">
        <f>Investment!U25</f>
        <v>1695724.7281086193</v>
      </c>
      <c r="V10" s="9">
        <f>Investment!V25</f>
        <v>1771016.5972888011</v>
      </c>
      <c r="W10" s="9">
        <f>Investment!W25</f>
        <v>1849390.7239749313</v>
      </c>
      <c r="X10" s="9">
        <f>Investment!X25</f>
        <v>1930967.2737733496</v>
      </c>
      <c r="Y10" s="9">
        <f>Investment!Y25</f>
        <v>2015870.9466575161</v>
      </c>
      <c r="Z10" s="9">
        <f>Investment!Z25</f>
        <v>2104231.1441179258</v>
      </c>
      <c r="AA10" s="9">
        <f>Investment!AA25</f>
        <v>2196182.1423664251</v>
      </c>
      <c r="AB10" s="9">
        <f>Investment!AB25</f>
        <v>2291863.2718112506</v>
      </c>
      <c r="AC10" s="9">
        <f>Investment!AC25</f>
        <v>2391419.1030267612</v>
      </c>
      <c r="AD10" s="9">
        <f>Investment!AD25</f>
        <v>2494999.639449731</v>
      </c>
      <c r="AE10" s="9">
        <f>Investment!AE25</f>
        <v>2602760.5170422713</v>
      </c>
      <c r="AF10" s="9">
        <f>Investment!AF25</f>
        <v>2714863.2111699372</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-999143.57364089461</v>
      </c>
      <c r="D12" s="1">
        <f t="shared" ref="D12:AF12" ca="1" si="2">D7-D9-D10</f>
        <v>-896777.95073436189</v>
      </c>
      <c r="E12" s="1">
        <f ca="1">E7-E9-E10</f>
        <v>-654687.30604984169</v>
      </c>
      <c r="F12" s="1">
        <f t="shared" ca="1" si="2"/>
        <v>-468715.71090623655</v>
      </c>
      <c r="G12" s="1">
        <f ca="1">G7-G9-G10</f>
        <v>-374250.60493004916</v>
      </c>
      <c r="H12" s="1">
        <f t="shared" ca="1" si="2"/>
        <v>-298293.83174167667</v>
      </c>
      <c r="I12" s="1">
        <f t="shared" ca="1" si="2"/>
        <v>-272063.20588883793</v>
      </c>
      <c r="J12" s="1">
        <f t="shared" ca="1" si="2"/>
        <v>-238791.47142830782</v>
      </c>
      <c r="K12" s="1">
        <f t="shared" ca="1" si="2"/>
        <v>-230632.77846468776</v>
      </c>
      <c r="L12" s="1">
        <f t="shared" ca="1" si="2"/>
        <v>-219423.64138813666</v>
      </c>
      <c r="M12" s="1">
        <f t="shared" ca="1" si="2"/>
        <v>-223366.54265533667</v>
      </c>
      <c r="N12" s="1">
        <f t="shared" ca="1" si="2"/>
        <v>-226239.00671347766</v>
      </c>
      <c r="O12" s="1">
        <f t="shared" ca="1" si="2"/>
        <v>-227893.95023306087</v>
      </c>
      <c r="P12" s="1">
        <f t="shared" ca="1" si="2"/>
        <v>-228171.70452357223</v>
      </c>
      <c r="Q12" s="1">
        <f t="shared" ca="1" si="2"/>
        <v>-226899.13026719471</v>
      </c>
      <c r="R12" s="1">
        <f t="shared" ca="1" si="2"/>
        <v>-223888.67637788784</v>
      </c>
      <c r="S12" s="1">
        <f t="shared" ca="1" si="2"/>
        <v>-218937.37969009532</v>
      </c>
      <c r="T12" s="1">
        <f t="shared" ca="1" si="2"/>
        <v>-211825.80199556239</v>
      </c>
      <c r="U12" s="1">
        <f t="shared" ca="1" si="2"/>
        <v>-202316.90075078956</v>
      </c>
      <c r="V12" s="1">
        <f t="shared" ca="1" si="2"/>
        <v>-218938.78814091766</v>
      </c>
      <c r="W12" s="1">
        <f t="shared" ca="1" si="2"/>
        <v>-236266.11559178238</v>
      </c>
      <c r="X12" s="1">
        <f t="shared" ca="1" si="2"/>
        <v>-254308.93354992499</v>
      </c>
      <c r="Y12" s="1">
        <f t="shared" ca="1" si="2"/>
        <v>-273076.1973117434</v>
      </c>
      <c r="Z12" s="1">
        <f t="shared" ca="1" si="2"/>
        <v>-292575.63764369488</v>
      </c>
      <c r="AA12" s="1">
        <f t="shared" ca="1" si="2"/>
        <v>-312813.62201086432</v>
      </c>
      <c r="AB12" s="1">
        <f t="shared" ca="1" si="2"/>
        <v>-333795.00584635325</v>
      </c>
      <c r="AC12" s="1">
        <f t="shared" ca="1" si="2"/>
        <v>-393400.69907726208</v>
      </c>
      <c r="AD12" s="1">
        <f t="shared" ca="1" si="2"/>
        <v>-488990.80860933871</v>
      </c>
      <c r="AE12" s="1">
        <f t="shared" ca="1" si="2"/>
        <v>-592394.54636260215</v>
      </c>
      <c r="AF12" s="1">
        <f t="shared" ca="1" si="2"/>
        <v>-704075.8772057998</v>
      </c>
      <c r="AG12" s="1"/>
      <c r="AH12" s="1"/>
      <c r="AI12" s="1"/>
      <c r="AJ12" s="1"/>
      <c r="AK12" s="1"/>
      <c r="AL12" s="1"/>
      <c r="AM12" s="1"/>
      <c r="AN12" s="1"/>
      <c r="AO12" s="1"/>
      <c r="AP12" s="1"/>
    </row>
    <row r="13" spans="1:42" x14ac:dyDescent="0.35">
      <c r="A13" t="s">
        <v>19</v>
      </c>
      <c r="C13" s="1">
        <f ca="1">C12</f>
        <v>-999143.57364089461</v>
      </c>
      <c r="D13" s="1">
        <f ca="1">D12</f>
        <v>-896777.95073436189</v>
      </c>
      <c r="E13" s="1">
        <f ca="1">E12</f>
        <v>-654687.30604984169</v>
      </c>
      <c r="F13" s="1">
        <f t="shared" ref="F13:AF13" ca="1" si="3">F12</f>
        <v>-468715.71090623655</v>
      </c>
      <c r="G13" s="1">
        <f ca="1">G12</f>
        <v>-374250.60493004916</v>
      </c>
      <c r="H13" s="1">
        <f t="shared" ca="1" si="3"/>
        <v>-298293.83174167667</v>
      </c>
      <c r="I13" s="1">
        <f t="shared" ca="1" si="3"/>
        <v>-272063.20588883793</v>
      </c>
      <c r="J13" s="1">
        <f t="shared" ca="1" si="3"/>
        <v>-238791.47142830782</v>
      </c>
      <c r="K13" s="1">
        <f t="shared" ca="1" si="3"/>
        <v>-230632.77846468776</v>
      </c>
      <c r="L13" s="1">
        <f t="shared" ca="1" si="3"/>
        <v>-219423.64138813666</v>
      </c>
      <c r="M13" s="1">
        <f t="shared" ca="1" si="3"/>
        <v>-223366.54265533667</v>
      </c>
      <c r="N13" s="1">
        <f t="shared" ca="1" si="3"/>
        <v>-226239.00671347766</v>
      </c>
      <c r="O13" s="1">
        <f t="shared" ca="1" si="3"/>
        <v>-227893.95023306087</v>
      </c>
      <c r="P13" s="1">
        <f t="shared" ca="1" si="3"/>
        <v>-228171.70452357223</v>
      </c>
      <c r="Q13" s="1">
        <f t="shared" ca="1" si="3"/>
        <v>-226899.13026719471</v>
      </c>
      <c r="R13" s="1">
        <f t="shared" ca="1" si="3"/>
        <v>-223888.67637788784</v>
      </c>
      <c r="S13" s="1">
        <f t="shared" ca="1" si="3"/>
        <v>-218937.37969009532</v>
      </c>
      <c r="T13" s="1">
        <f t="shared" ca="1" si="3"/>
        <v>-211825.80199556239</v>
      </c>
      <c r="U13" s="1">
        <f t="shared" ca="1" si="3"/>
        <v>-202316.90075078956</v>
      </c>
      <c r="V13" s="1">
        <f t="shared" ca="1" si="3"/>
        <v>-218938.78814091766</v>
      </c>
      <c r="W13" s="1">
        <f t="shared" ca="1" si="3"/>
        <v>-236266.11559178238</v>
      </c>
      <c r="X13" s="1">
        <f t="shared" ca="1" si="3"/>
        <v>-254308.93354992499</v>
      </c>
      <c r="Y13" s="1">
        <f t="shared" ca="1" si="3"/>
        <v>-273076.1973117434</v>
      </c>
      <c r="Z13" s="1">
        <f t="shared" ca="1" si="3"/>
        <v>-292575.63764369488</v>
      </c>
      <c r="AA13" s="1">
        <f t="shared" ca="1" si="3"/>
        <v>-312813.62201086432</v>
      </c>
      <c r="AB13" s="1">
        <f t="shared" ca="1" si="3"/>
        <v>-333795.00584635325</v>
      </c>
      <c r="AC13" s="1">
        <f t="shared" ca="1" si="3"/>
        <v>-393400.69907726208</v>
      </c>
      <c r="AD13" s="1">
        <f t="shared" ca="1" si="3"/>
        <v>-488990.80860933871</v>
      </c>
      <c r="AE13" s="1">
        <f t="shared" ca="1" si="3"/>
        <v>-592394.54636260215</v>
      </c>
      <c r="AF13" s="1">
        <f t="shared" ca="1" si="3"/>
        <v>-704075.8772057998</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16407750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8203875</v>
      </c>
      <c r="D7" s="9">
        <f>C12</f>
        <v>8476103.5949368626</v>
      </c>
      <c r="E7" s="9">
        <f>D12</f>
        <v>8768971.7737117056</v>
      </c>
      <c r="F7" s="9">
        <f t="shared" ref="F7:H7" si="1">E12</f>
        <v>9083521.7076089419</v>
      </c>
      <c r="G7" s="9">
        <f t="shared" si="1"/>
        <v>9420841.1319413427</v>
      </c>
      <c r="H7" s="9">
        <f t="shared" si="1"/>
        <v>9782065.1949644443</v>
      </c>
      <c r="I7" s="9">
        <f t="shared" ref="I7" si="2">H12</f>
        <v>10168378.378463937</v>
      </c>
      <c r="J7" s="9">
        <f t="shared" ref="J7" si="3">I12</f>
        <v>10581016.492709775</v>
      </c>
      <c r="K7" s="9">
        <f t="shared" ref="K7" si="4">J12</f>
        <v>11021268.74856982</v>
      </c>
      <c r="L7" s="9">
        <f t="shared" ref="L7" si="5">K12</f>
        <v>11490479.909678394</v>
      </c>
      <c r="M7" s="9">
        <f t="shared" ref="M7" si="6">L12</f>
        <v>11990052.527661402</v>
      </c>
      <c r="N7" s="9">
        <f t="shared" ref="N7" si="7">M12</f>
        <v>12521449.263529832</v>
      </c>
      <c r="O7" s="9">
        <f t="shared" ref="O7" si="8">N12</f>
        <v>13086195.298467536</v>
      </c>
      <c r="P7" s="9">
        <f t="shared" ref="P7" si="9">O12</f>
        <v>13685880.837357419</v>
      </c>
      <c r="Q7" s="9">
        <f t="shared" ref="Q7" si="10">P12</f>
        <v>14322163.708512643</v>
      </c>
      <c r="R7" s="9">
        <f t="shared" ref="R7" si="11">Q12</f>
        <v>14996772.063206369</v>
      </c>
      <c r="S7" s="9">
        <f t="shared" ref="S7" si="12">R12</f>
        <v>15711507.178724997</v>
      </c>
      <c r="T7" s="9">
        <f t="shared" ref="T7" si="13">S12</f>
        <v>16468246.368806114</v>
      </c>
      <c r="U7" s="9">
        <f t="shared" ref="U7" si="14">T12</f>
        <v>17268946.005463429</v>
      </c>
      <c r="V7" s="9">
        <f t="shared" ref="V7" si="15">U12</f>
        <v>18115644.656347174</v>
      </c>
      <c r="W7" s="9">
        <f t="shared" ref="W7" si="16">V12</f>
        <v>19010466.341939908</v>
      </c>
      <c r="X7" s="9">
        <f t="shared" ref="X7" si="17">W12</f>
        <v>19955623.917044494</v>
      </c>
      <c r="Y7" s="9">
        <f t="shared" ref="Y7" si="18">X12</f>
        <v>20953422.58118365</v>
      </c>
      <c r="Z7" s="9">
        <f t="shared" ref="Z7" si="19">Y12</f>
        <v>22006263.522698678</v>
      </c>
      <c r="AA7" s="9">
        <f t="shared" ref="AA7" si="20">Z12</f>
        <v>23116647.701509554</v>
      </c>
      <c r="AB7" s="9">
        <f t="shared" ref="AB7" si="21">AA12</f>
        <v>24287179.775679104</v>
      </c>
      <c r="AC7" s="9">
        <f t="shared" ref="AC7" si="22">AB12</f>
        <v>25520572.177111179</v>
      </c>
      <c r="AD7" s="9">
        <f t="shared" ref="AD7" si="23">AC12</f>
        <v>26819649.34190663</v>
      </c>
      <c r="AE7" s="9">
        <f t="shared" ref="AE7" si="24">AD12</f>
        <v>28187352.101101652</v>
      </c>
      <c r="AF7" s="9">
        <f t="shared" ref="AF7" si="25">AE12</f>
        <v>29626742.237721063</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260670.19493686309</v>
      </c>
      <c r="D8" s="9">
        <f>Assumptions!E111*Assumptions!E11</f>
        <v>269011.64117484266</v>
      </c>
      <c r="E8" s="9">
        <f>Assumptions!F111*Assumptions!F11</f>
        <v>277620.01369243761</v>
      </c>
      <c r="F8" s="9">
        <f>Assumptions!G111*Assumptions!G11</f>
        <v>286503.85413059563</v>
      </c>
      <c r="G8" s="9">
        <f>Assumptions!H111*Assumptions!H11</f>
        <v>295671.97746277472</v>
      </c>
      <c r="H8" s="9">
        <f>Assumptions!I111*Assumptions!I11</f>
        <v>305133.48074158351</v>
      </c>
      <c r="I8" s="9">
        <f>Assumptions!J111*Assumptions!J11</f>
        <v>314897.75212531415</v>
      </c>
      <c r="J8" s="9">
        <f>Assumptions!K111*Assumptions!K11</f>
        <v>324974.48019332421</v>
      </c>
      <c r="K8" s="9">
        <f>Assumptions!L111*Assumptions!L11</f>
        <v>335373.66355951061</v>
      </c>
      <c r="L8" s="9">
        <f>Assumptions!M111*Assumptions!M11</f>
        <v>346105.62079341494</v>
      </c>
      <c r="M8" s="9">
        <f>Assumptions!N111*Assumptions!N11</f>
        <v>357181.0006588042</v>
      </c>
      <c r="N8" s="9">
        <f>Assumptions!O111*Assumptions!O11</f>
        <v>368610.79267988593</v>
      </c>
      <c r="O8" s="9">
        <f>Assumptions!P111*Assumptions!P11</f>
        <v>380406.3380456423</v>
      </c>
      <c r="P8" s="9">
        <f>Assumptions!Q111*Assumptions!Q11</f>
        <v>392579.34086310281</v>
      </c>
      <c r="Q8" s="9">
        <f>Assumptions!R111*Assumptions!R11</f>
        <v>405141.87977072201</v>
      </c>
      <c r="R8" s="9">
        <f>Assumptions!S111*Assumptions!S11</f>
        <v>418106.41992338526</v>
      </c>
      <c r="S8" s="9">
        <f>Assumptions!T111*Assumptions!T11</f>
        <v>431485.82536093361</v>
      </c>
      <c r="T8" s="9">
        <f>Assumptions!U111*Assumptions!U11</f>
        <v>445293.3717724834</v>
      </c>
      <c r="U8" s="9">
        <f>Assumptions!V111*Assumptions!V11</f>
        <v>459542.75966920285</v>
      </c>
      <c r="V8" s="9">
        <f>Assumptions!W111*Assumptions!W11</f>
        <v>474248.12797861738</v>
      </c>
      <c r="W8" s="9">
        <f>Assumptions!X111*Assumptions!X11</f>
        <v>489424.06807393319</v>
      </c>
      <c r="X8" s="9">
        <f>Assumptions!Y111*Assumptions!Y11</f>
        <v>505085.63825229899</v>
      </c>
      <c r="Y8" s="9">
        <f>Assumptions!Z111*Assumptions!Z11</f>
        <v>521248.37867637246</v>
      </c>
      <c r="Z8" s="9">
        <f>Assumptions!AA111*Assumptions!AA11</f>
        <v>537928.32679401641</v>
      </c>
      <c r="AA8" s="9">
        <f>Assumptions!AB111*Assumptions!AB11</f>
        <v>555142.03325142513</v>
      </c>
      <c r="AB8" s="9">
        <f>Assumptions!AC111*Assumptions!AC11</f>
        <v>572906.5783154706</v>
      </c>
      <c r="AC8" s="9">
        <f>Assumptions!AD111*Assumptions!AD11</f>
        <v>591239.58882156562</v>
      </c>
      <c r="AD8" s="9">
        <f>Assumptions!AE111*Assumptions!AE11</f>
        <v>610159.25566385582</v>
      </c>
      <c r="AE8" s="9">
        <f>Assumptions!AF111*Assumptions!AF11</f>
        <v>629684.35184509913</v>
      </c>
      <c r="AF8" s="9">
        <f>Assumptions!AG111*Assumptions!AG11</f>
        <v>649834.25110414217</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11558.4</v>
      </c>
      <c r="D9" s="9">
        <f>Assumptions!E120*Assumptions!E11</f>
        <v>23856.5376</v>
      </c>
      <c r="E9" s="9">
        <f>Assumptions!F120*Assumptions!F11</f>
        <v>36929.920204799993</v>
      </c>
      <c r="F9" s="9">
        <f>Assumptions!G120*Assumptions!G11</f>
        <v>50815.570201804796</v>
      </c>
      <c r="G9" s="9">
        <f>Assumptions!H120*Assumptions!H11</f>
        <v>65552.085560328196</v>
      </c>
      <c r="H9" s="9">
        <f>Assumptions!I120*Assumptions!I11</f>
        <v>81179.702757910418</v>
      </c>
      <c r="I9" s="9">
        <f>Assumptions!J120*Assumptions!J11</f>
        <v>97740.362120524136</v>
      </c>
      <c r="J9" s="9">
        <f>Assumptions!K120*Assumptions!K11</f>
        <v>115277.77566672103</v>
      </c>
      <c r="K9" s="9">
        <f>Assumptions!L120*Assumptions!L11</f>
        <v>133837.49754906315</v>
      </c>
      <c r="L9" s="9">
        <f>Assumptions!M120*Assumptions!M11</f>
        <v>153466.9971895924</v>
      </c>
      <c r="M9" s="9">
        <f>Assumptions!N120*Assumptions!N11</f>
        <v>174215.73520962533</v>
      </c>
      <c r="N9" s="9">
        <f>Assumptions!O120*Assumptions!O11</f>
        <v>196135.2422578182</v>
      </c>
      <c r="O9" s="9">
        <f>Assumptions!P120*Assumptions!P11</f>
        <v>219279.20084424075</v>
      </c>
      <c r="P9" s="9">
        <f>Assumptions!Q120*Assumptions!Q11</f>
        <v>243703.5302921223</v>
      </c>
      <c r="Q9" s="9">
        <f>Assumptions!R120*Assumptions!R11</f>
        <v>269466.47492300376</v>
      </c>
      <c r="R9" s="9">
        <f>Assumptions!S120*Assumptions!S11</f>
        <v>296628.69559524267</v>
      </c>
      <c r="S9" s="9">
        <f>Assumptions!T120*Assumptions!T11</f>
        <v>325253.36472018354</v>
      </c>
      <c r="T9" s="9">
        <f>Assumptions!U120*Assumptions!U11</f>
        <v>355406.26488483109</v>
      </c>
      <c r="U9" s="9">
        <f>Assumptions!V120*Assumptions!V11</f>
        <v>387155.89121454267</v>
      </c>
      <c r="V9" s="9">
        <f>Assumptions!W120*Assumptions!W11</f>
        <v>420573.55761411367</v>
      </c>
      <c r="W9" s="9">
        <f>Assumptions!X120*Assumptions!X11</f>
        <v>455733.50703065359</v>
      </c>
      <c r="X9" s="9">
        <f>Assumptions!Y120*Assumptions!Y11</f>
        <v>492713.02588685509</v>
      </c>
      <c r="Y9" s="9">
        <f>Assumptions!Z120*Assumptions!Z11</f>
        <v>531592.56283865403</v>
      </c>
      <c r="Z9" s="9">
        <f>Assumptions!AA120*Assumptions!AA11</f>
        <v>572455.85201686015</v>
      </c>
      <c r="AA9" s="9">
        <f>Assumptions!AB120*Assumptions!AB11</f>
        <v>615390.04091812484</v>
      </c>
      <c r="AB9" s="9">
        <f>Assumptions!AC120*Assumptions!AC11</f>
        <v>660485.82311660494</v>
      </c>
      <c r="AC9" s="9">
        <f>Assumptions!AD120*Assumptions!AD11</f>
        <v>707837.57597388746</v>
      </c>
      <c r="AD9" s="9">
        <f>Assumptions!AE120*Assumptions!AE11</f>
        <v>757543.50353116507</v>
      </c>
      <c r="AE9" s="9">
        <f>Assumptions!AF120*Assumptions!AF11</f>
        <v>809705.784774311</v>
      </c>
      <c r="AF9" s="9">
        <f>Assumptions!AG120*Assumptions!AG11</f>
        <v>864430.72746940225</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272228.59493686311</v>
      </c>
      <c r="D10" s="9">
        <f>SUM($C$8:D9)</f>
        <v>565096.77371170581</v>
      </c>
      <c r="E10" s="9">
        <f>SUM($C$8:E9)</f>
        <v>879646.70760894346</v>
      </c>
      <c r="F10" s="9">
        <f>SUM($C$8:F9)</f>
        <v>1216966.1319413439</v>
      </c>
      <c r="G10" s="9">
        <f>SUM($C$8:G9)</f>
        <v>1578190.1949644468</v>
      </c>
      <c r="H10" s="9">
        <f>SUM($C$8:H9)</f>
        <v>1964503.3784639407</v>
      </c>
      <c r="I10" s="9">
        <f>SUM($C$8:I9)</f>
        <v>2377141.4927097792</v>
      </c>
      <c r="J10" s="9">
        <f>SUM($C$8:J9)</f>
        <v>2817393.7485698247</v>
      </c>
      <c r="K10" s="9">
        <f>SUM($C$8:K9)</f>
        <v>3286604.9096783982</v>
      </c>
      <c r="L10" s="9">
        <f>SUM($C$8:L9)</f>
        <v>3786177.5276614055</v>
      </c>
      <c r="M10" s="9">
        <f>SUM($C$8:M9)</f>
        <v>4317574.2635298353</v>
      </c>
      <c r="N10" s="9">
        <f>SUM($C$8:N9)</f>
        <v>4882320.2984675393</v>
      </c>
      <c r="O10" s="9">
        <f>SUM($C$8:O9)</f>
        <v>5482005.8373574223</v>
      </c>
      <c r="P10" s="9">
        <f>SUM($C$8:P9)</f>
        <v>6118288.7085126489</v>
      </c>
      <c r="Q10" s="9">
        <f>SUM($C$8:Q9)</f>
        <v>6792897.0632063746</v>
      </c>
      <c r="R10" s="9">
        <f>SUM($C$8:R9)</f>
        <v>7507632.1787250033</v>
      </c>
      <c r="S10" s="9">
        <f>SUM($C$8:S9)</f>
        <v>8264371.36880612</v>
      </c>
      <c r="T10" s="9">
        <f>SUM($C$8:T9)</f>
        <v>9065071.0054634344</v>
      </c>
      <c r="U10" s="9">
        <f>SUM($C$8:U9)</f>
        <v>9911769.6563471798</v>
      </c>
      <c r="V10" s="9">
        <f>SUM($C$8:V9)</f>
        <v>10806591.341939911</v>
      </c>
      <c r="W10" s="9">
        <f>SUM($C$8:W9)</f>
        <v>11751748.917044496</v>
      </c>
      <c r="X10" s="9">
        <f>SUM($C$8:X9)</f>
        <v>12749547.58118365</v>
      </c>
      <c r="Y10" s="9">
        <f>SUM($C$8:Y9)</f>
        <v>13802388.522698674</v>
      </c>
      <c r="Z10" s="9">
        <f>SUM($C$8:Z9)</f>
        <v>14912772.701509552</v>
      </c>
      <c r="AA10" s="9">
        <f>SUM($C$8:AA9)</f>
        <v>16083304.775679104</v>
      </c>
      <c r="AB10" s="9">
        <f>SUM($C$8:AB9)</f>
        <v>17316697.177111179</v>
      </c>
      <c r="AC10" s="9">
        <f>SUM($C$8:AC9)</f>
        <v>18615774.34190663</v>
      </c>
      <c r="AD10" s="9">
        <f>SUM($C$8:AD9)</f>
        <v>19983477.101101652</v>
      </c>
      <c r="AE10" s="9">
        <f>SUM($C$8:AE9)</f>
        <v>21422867.237721056</v>
      </c>
      <c r="AF10" s="9">
        <f>SUM($C$8:AF9)</f>
        <v>22937132.216294605</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8476103.5949368626</v>
      </c>
      <c r="D12" s="9">
        <f>D7+D8+D9</f>
        <v>8768971.7737117056</v>
      </c>
      <c r="E12" s="9">
        <f>E7+E8+E9</f>
        <v>9083521.7076089419</v>
      </c>
      <c r="F12" s="9">
        <f t="shared" ref="F12:H12" si="26">F7+F8+F9</f>
        <v>9420841.1319413427</v>
      </c>
      <c r="G12" s="9">
        <f t="shared" si="26"/>
        <v>9782065.1949644443</v>
      </c>
      <c r="H12" s="9">
        <f t="shared" si="26"/>
        <v>10168378.378463937</v>
      </c>
      <c r="I12" s="9">
        <f t="shared" ref="I12:AF12" si="27">I7+I8+I9</f>
        <v>10581016.492709775</v>
      </c>
      <c r="J12" s="9">
        <f t="shared" si="27"/>
        <v>11021268.74856982</v>
      </c>
      <c r="K12" s="9">
        <f t="shared" si="27"/>
        <v>11490479.909678394</v>
      </c>
      <c r="L12" s="9">
        <f t="shared" si="27"/>
        <v>11990052.527661402</v>
      </c>
      <c r="M12" s="9">
        <f t="shared" si="27"/>
        <v>12521449.263529832</v>
      </c>
      <c r="N12" s="9">
        <f t="shared" si="27"/>
        <v>13086195.298467536</v>
      </c>
      <c r="O12" s="9">
        <f t="shared" si="27"/>
        <v>13685880.837357419</v>
      </c>
      <c r="P12" s="9">
        <f t="shared" si="27"/>
        <v>14322163.708512643</v>
      </c>
      <c r="Q12" s="9">
        <f t="shared" si="27"/>
        <v>14996772.063206369</v>
      </c>
      <c r="R12" s="9">
        <f t="shared" si="27"/>
        <v>15711507.178724997</v>
      </c>
      <c r="S12" s="9">
        <f t="shared" si="27"/>
        <v>16468246.368806114</v>
      </c>
      <c r="T12" s="9">
        <f t="shared" si="27"/>
        <v>17268946.005463429</v>
      </c>
      <c r="U12" s="9">
        <f t="shared" si="27"/>
        <v>18115644.656347174</v>
      </c>
      <c r="V12" s="9">
        <f t="shared" si="27"/>
        <v>19010466.341939908</v>
      </c>
      <c r="W12" s="9">
        <f t="shared" si="27"/>
        <v>19955623.917044494</v>
      </c>
      <c r="X12" s="9">
        <f t="shared" si="27"/>
        <v>20953422.58118365</v>
      </c>
      <c r="Y12" s="9">
        <f t="shared" si="27"/>
        <v>22006263.522698678</v>
      </c>
      <c r="Z12" s="9">
        <f t="shared" si="27"/>
        <v>23116647.701509554</v>
      </c>
      <c r="AA12" s="9">
        <f t="shared" si="27"/>
        <v>24287179.775679104</v>
      </c>
      <c r="AB12" s="9">
        <f t="shared" si="27"/>
        <v>25520572.177111179</v>
      </c>
      <c r="AC12" s="9">
        <f t="shared" si="27"/>
        <v>26819649.34190663</v>
      </c>
      <c r="AD12" s="9">
        <f t="shared" si="27"/>
        <v>28187352.101101652</v>
      </c>
      <c r="AE12" s="9">
        <f t="shared" si="27"/>
        <v>29626742.237721063</v>
      </c>
      <c r="AF12" s="9">
        <f t="shared" si="27"/>
        <v>31141007.216294609</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753828.59493686317</v>
      </c>
      <c r="D18" s="9">
        <f>Investment!D25</f>
        <v>789879.37877484271</v>
      </c>
      <c r="E18" s="9">
        <f>Investment!E25</f>
        <v>827465.49229723762</v>
      </c>
      <c r="F18" s="9">
        <f>Investment!F25</f>
        <v>866648.2806012003</v>
      </c>
      <c r="G18" s="9">
        <f>Investment!G25</f>
        <v>907491.44269250461</v>
      </c>
      <c r="H18" s="9">
        <f>Investment!H25</f>
        <v>950061.11931831622</v>
      </c>
      <c r="I18" s="9">
        <f>Investment!I25</f>
        <v>994425.984010863</v>
      </c>
      <c r="J18" s="9">
        <f>Investment!J25</f>
        <v>1040657.3374575508</v>
      </c>
      <c r="K18" s="9">
        <f>Investment!K25</f>
        <v>1088829.2053171995</v>
      </c>
      <c r="L18" s="9">
        <f>Investment!L25</f>
        <v>1139018.4396063089</v>
      </c>
      <c r="M18" s="9">
        <f>Investment!M25</f>
        <v>1191304.8237836768</v>
      </c>
      <c r="N18" s="9">
        <f>Investment!N25</f>
        <v>1245771.1816662394</v>
      </c>
      <c r="O18" s="9">
        <f>Investment!O25</f>
        <v>1302503.4903137316</v>
      </c>
      <c r="P18" s="9">
        <f>Investment!P25</f>
        <v>1361590.9970246367</v>
      </c>
      <c r="Q18" s="9">
        <f>Investment!Q25</f>
        <v>1423126.3405909583</v>
      </c>
      <c r="R18" s="9">
        <f>Investment!R25</f>
        <v>1487205.6769645722</v>
      </c>
      <c r="S18" s="9">
        <f>Investment!S25</f>
        <v>1553928.8094933317</v>
      </c>
      <c r="T18" s="9">
        <f>Investment!T25</f>
        <v>1623399.3238907198</v>
      </c>
      <c r="U18" s="9">
        <f>Investment!U25</f>
        <v>1695724.7281086193</v>
      </c>
      <c r="V18" s="9">
        <f>Investment!V25</f>
        <v>1771016.5972888011</v>
      </c>
      <c r="W18" s="9">
        <f>Investment!W25</f>
        <v>1849390.7239749313</v>
      </c>
      <c r="X18" s="9">
        <f>Investment!X25</f>
        <v>1930967.2737733496</v>
      </c>
      <c r="Y18" s="9">
        <f>Investment!Y25</f>
        <v>2015870.9466575161</v>
      </c>
      <c r="Z18" s="9">
        <f>Investment!Z25</f>
        <v>2104231.1441179258</v>
      </c>
      <c r="AA18" s="9">
        <f>Investment!AA25</f>
        <v>2196182.1423664251</v>
      </c>
      <c r="AB18" s="9">
        <f>Investment!AB25</f>
        <v>2291863.2718112506</v>
      </c>
      <c r="AC18" s="9">
        <f>Investment!AC25</f>
        <v>2391419.1030267612</v>
      </c>
      <c r="AD18" s="9">
        <f>Investment!AD25</f>
        <v>2494999.639449731</v>
      </c>
      <c r="AE18" s="9">
        <f>Investment!AE25</f>
        <v>2602760.5170422713</v>
      </c>
      <c r="AF18" s="9">
        <f>Investment!AF25</f>
        <v>2714863.2111699372</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8957703.5949368626</v>
      </c>
      <c r="D19" s="9">
        <f>D18+C20</f>
        <v>9475354.3787748422</v>
      </c>
      <c r="E19" s="9">
        <f>E18+D20</f>
        <v>10009951.692297237</v>
      </c>
      <c r="F19" s="9">
        <f t="shared" ref="F19:AF19" si="28">F18+E20</f>
        <v>10562050.0390012</v>
      </c>
      <c r="G19" s="9">
        <f t="shared" si="28"/>
        <v>11132222.057361305</v>
      </c>
      <c r="H19" s="9">
        <f t="shared" si="28"/>
        <v>11721059.113656519</v>
      </c>
      <c r="I19" s="9">
        <f t="shared" si="28"/>
        <v>12329171.914167888</v>
      </c>
      <c r="J19" s="9">
        <f t="shared" si="28"/>
        <v>12957191.137379602</v>
      </c>
      <c r="K19" s="9">
        <f t="shared" si="28"/>
        <v>13605768.086836755</v>
      </c>
      <c r="L19" s="9">
        <f t="shared" si="28"/>
        <v>14275575.36533449</v>
      </c>
      <c r="M19" s="9">
        <f t="shared" si="28"/>
        <v>14967307.57113516</v>
      </c>
      <c r="N19" s="9">
        <f t="shared" si="28"/>
        <v>15681682.01693297</v>
      </c>
      <c r="O19" s="9">
        <f t="shared" si="28"/>
        <v>16419439.472308997</v>
      </c>
      <c r="P19" s="9">
        <f t="shared" si="28"/>
        <v>17181344.930443749</v>
      </c>
      <c r="Q19" s="9">
        <f t="shared" si="28"/>
        <v>17968188.399879485</v>
      </c>
      <c r="R19" s="9">
        <f t="shared" si="28"/>
        <v>18780785.722150333</v>
      </c>
      <c r="S19" s="9">
        <f t="shared" si="28"/>
        <v>19619979.416125041</v>
      </c>
      <c r="T19" s="9">
        <f t="shared" si="28"/>
        <v>20486639.549934641</v>
      </c>
      <c r="U19" s="9">
        <f t="shared" si="28"/>
        <v>21381664.641385946</v>
      </c>
      <c r="V19" s="9">
        <f t="shared" si="28"/>
        <v>22305982.587791003</v>
      </c>
      <c r="W19" s="9">
        <f t="shared" si="28"/>
        <v>23260551.626173202</v>
      </c>
      <c r="X19" s="9">
        <f t="shared" si="28"/>
        <v>24246361.324841965</v>
      </c>
      <c r="Y19" s="9">
        <f t="shared" si="28"/>
        <v>25264433.607360326</v>
      </c>
      <c r="Z19" s="9">
        <f t="shared" si="28"/>
        <v>26315823.809963223</v>
      </c>
      <c r="AA19" s="9">
        <f t="shared" si="28"/>
        <v>27401621.773518771</v>
      </c>
      <c r="AB19" s="9">
        <f t="shared" si="28"/>
        <v>28522952.971160475</v>
      </c>
      <c r="AC19" s="9">
        <f t="shared" si="28"/>
        <v>29680979.672755163</v>
      </c>
      <c r="AD19" s="9">
        <f t="shared" si="28"/>
        <v>30876902.147409443</v>
      </c>
      <c r="AE19" s="9">
        <f t="shared" si="28"/>
        <v>32111959.905256692</v>
      </c>
      <c r="AF19" s="9">
        <f t="shared" si="28"/>
        <v>33387432.979807217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8685475</v>
      </c>
      <c r="D20" s="9">
        <f>D19-D8-D9</f>
        <v>9182486.1999999993</v>
      </c>
      <c r="E20" s="9">
        <f t="shared" ref="E20:AF20" si="29">E19-E8-E9</f>
        <v>9695401.7584000006</v>
      </c>
      <c r="F20" s="9">
        <f t="shared" si="29"/>
        <v>10224730.6146688</v>
      </c>
      <c r="G20" s="9">
        <f t="shared" si="29"/>
        <v>10770997.994338203</v>
      </c>
      <c r="H20" s="9">
        <f t="shared" si="29"/>
        <v>11334745.930157026</v>
      </c>
      <c r="I20" s="9">
        <f t="shared" si="29"/>
        <v>11916533.799922051</v>
      </c>
      <c r="J20" s="9">
        <f t="shared" si="29"/>
        <v>12516938.881519556</v>
      </c>
      <c r="K20" s="9">
        <f t="shared" si="29"/>
        <v>13136556.925728181</v>
      </c>
      <c r="L20" s="9">
        <f t="shared" si="29"/>
        <v>13776002.747351483</v>
      </c>
      <c r="M20" s="9">
        <f t="shared" si="29"/>
        <v>14435910.83526673</v>
      </c>
      <c r="N20" s="9">
        <f t="shared" si="29"/>
        <v>15116935.981995266</v>
      </c>
      <c r="O20" s="9">
        <f t="shared" si="29"/>
        <v>15819753.933419114</v>
      </c>
      <c r="P20" s="9">
        <f t="shared" si="29"/>
        <v>16545062.059288526</v>
      </c>
      <c r="Q20" s="9">
        <f t="shared" si="29"/>
        <v>17293580.04518576</v>
      </c>
      <c r="R20" s="9">
        <f t="shared" si="29"/>
        <v>18066050.606631707</v>
      </c>
      <c r="S20" s="9">
        <f t="shared" si="29"/>
        <v>18863240.226043921</v>
      </c>
      <c r="T20" s="9">
        <f t="shared" si="29"/>
        <v>19685939.913277328</v>
      </c>
      <c r="U20" s="9">
        <f t="shared" si="29"/>
        <v>20534965.990502201</v>
      </c>
      <c r="V20" s="9">
        <f t="shared" si="29"/>
        <v>21411160.90219827</v>
      </c>
      <c r="W20" s="9">
        <f t="shared" si="29"/>
        <v>22315394.051068615</v>
      </c>
      <c r="X20" s="9">
        <f t="shared" si="29"/>
        <v>23248562.66070281</v>
      </c>
      <c r="Y20" s="9">
        <f t="shared" si="29"/>
        <v>24211592.665845297</v>
      </c>
      <c r="Z20" s="9">
        <f t="shared" si="29"/>
        <v>25205439.631152347</v>
      </c>
      <c r="AA20" s="9">
        <f t="shared" si="29"/>
        <v>26231089.699349225</v>
      </c>
      <c r="AB20" s="9">
        <f t="shared" si="29"/>
        <v>27289560.569728401</v>
      </c>
      <c r="AC20" s="9">
        <f t="shared" si="29"/>
        <v>28381902.507959712</v>
      </c>
      <c r="AD20" s="9">
        <f t="shared" si="29"/>
        <v>29509199.388214421</v>
      </c>
      <c r="AE20" s="9">
        <f t="shared" si="29"/>
        <v>30672569.768637281</v>
      </c>
      <c r="AF20" s="9">
        <f t="shared" si="29"/>
        <v>31873168.001233671</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0</v>
      </c>
      <c r="D22" s="9">
        <f ca="1">'Balance Sheet'!C11</f>
        <v>999143.57364089461</v>
      </c>
      <c r="E22" s="9">
        <f ca="1">'Balance Sheet'!D11</f>
        <v>1895921.5243752566</v>
      </c>
      <c r="F22" s="9">
        <f ca="1">'Balance Sheet'!E11</f>
        <v>2550608.8304250985</v>
      </c>
      <c r="G22" s="9">
        <f ca="1">'Balance Sheet'!F11</f>
        <v>3019324.541331335</v>
      </c>
      <c r="H22" s="9">
        <f ca="1">'Balance Sheet'!G11</f>
        <v>3393575.1462613842</v>
      </c>
      <c r="I22" s="9">
        <f ca="1">'Balance Sheet'!H11</f>
        <v>3691868.9780030609</v>
      </c>
      <c r="J22" s="9">
        <f ca="1">'Balance Sheet'!I11</f>
        <v>3963932.183891899</v>
      </c>
      <c r="K22" s="9">
        <f ca="1">'Balance Sheet'!J11</f>
        <v>4202723.6553202067</v>
      </c>
      <c r="L22" s="9">
        <f ca="1">'Balance Sheet'!K11</f>
        <v>4433356.4337848946</v>
      </c>
      <c r="M22" s="9">
        <f ca="1">'Balance Sheet'!L11</f>
        <v>4652780.0751730315</v>
      </c>
      <c r="N22" s="9">
        <f ca="1">'Balance Sheet'!M11</f>
        <v>4876146.6178283682</v>
      </c>
      <c r="O22" s="9">
        <f ca="1">'Balance Sheet'!N11</f>
        <v>5102385.6245418461</v>
      </c>
      <c r="P22" s="9">
        <f ca="1">'Balance Sheet'!O11</f>
        <v>5330279.574774907</v>
      </c>
      <c r="Q22" s="9">
        <f ca="1">'Balance Sheet'!P11</f>
        <v>5558451.2792984787</v>
      </c>
      <c r="R22" s="9">
        <f ca="1">'Balance Sheet'!Q11</f>
        <v>5785350.4095656732</v>
      </c>
      <c r="S22" s="9">
        <f ca="1">'Balance Sheet'!R11</f>
        <v>6009239.085943561</v>
      </c>
      <c r="T22" s="9">
        <f ca="1">'Balance Sheet'!S11</f>
        <v>6228176.4656336568</v>
      </c>
      <c r="U22" s="9">
        <f ca="1">'Balance Sheet'!T11</f>
        <v>6440002.2676292192</v>
      </c>
      <c r="V22" s="9">
        <f ca="1">'Balance Sheet'!U11</f>
        <v>6642319.168380009</v>
      </c>
      <c r="W22" s="9">
        <f ca="1">'Balance Sheet'!V11</f>
        <v>6861257.9565209262</v>
      </c>
      <c r="X22" s="9">
        <f ca="1">'Balance Sheet'!W11</f>
        <v>7097524.0721127084</v>
      </c>
      <c r="Y22" s="9">
        <f ca="1">'Balance Sheet'!X11</f>
        <v>7351833.0056626331</v>
      </c>
      <c r="Z22" s="9">
        <f ca="1">'Balance Sheet'!Y11</f>
        <v>7624909.2029743763</v>
      </c>
      <c r="AA22" s="9">
        <f ca="1">'Balance Sheet'!Z11</f>
        <v>7917484.8406180711</v>
      </c>
      <c r="AB22" s="9">
        <f ca="1">'Balance Sheet'!AA11</f>
        <v>8230298.4626289355</v>
      </c>
      <c r="AC22" s="9">
        <f ca="1">'Balance Sheet'!AB11</f>
        <v>8564093.4684752896</v>
      </c>
      <c r="AD22" s="9">
        <f ca="1">'Balance Sheet'!AC11</f>
        <v>8957494.1675525513</v>
      </c>
      <c r="AE22" s="9">
        <f ca="1">'Balance Sheet'!AD11</f>
        <v>9446484.9761618897</v>
      </c>
      <c r="AF22" s="9">
        <f ca="1">'Balance Sheet'!AE11</f>
        <v>10038879.522524491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8685475</v>
      </c>
      <c r="D23" s="9">
        <f t="shared" ref="D23:AF23" ca="1" si="30">D20-D22</f>
        <v>8183342.6263591051</v>
      </c>
      <c r="E23" s="9">
        <f t="shared" ca="1" si="30"/>
        <v>7799480.2340247445</v>
      </c>
      <c r="F23" s="9">
        <f t="shared" ca="1" si="30"/>
        <v>7674121.784243701</v>
      </c>
      <c r="G23" s="9">
        <f t="shared" ca="1" si="30"/>
        <v>7751673.4530068683</v>
      </c>
      <c r="H23" s="9">
        <f t="shared" ca="1" si="30"/>
        <v>7941170.7838956416</v>
      </c>
      <c r="I23" s="9">
        <f t="shared" ca="1" si="30"/>
        <v>8224664.8219189905</v>
      </c>
      <c r="J23" s="9">
        <f ca="1">J20-J22</f>
        <v>8553006.6976276562</v>
      </c>
      <c r="K23" s="9">
        <f t="shared" ca="1" si="30"/>
        <v>8933833.2704079747</v>
      </c>
      <c r="L23" s="9">
        <f t="shared" ca="1" si="30"/>
        <v>9342646.3135665879</v>
      </c>
      <c r="M23" s="9">
        <f t="shared" ca="1" si="30"/>
        <v>9783130.7600936983</v>
      </c>
      <c r="N23" s="9">
        <f t="shared" ca="1" si="30"/>
        <v>10240789.364166897</v>
      </c>
      <c r="O23" s="9">
        <f t="shared" ca="1" si="30"/>
        <v>10717368.308877267</v>
      </c>
      <c r="P23" s="9">
        <f t="shared" ca="1" si="30"/>
        <v>11214782.484513618</v>
      </c>
      <c r="Q23" s="9">
        <f t="shared" ca="1" si="30"/>
        <v>11735128.765887281</v>
      </c>
      <c r="R23" s="9">
        <f t="shared" ca="1" si="30"/>
        <v>12280700.197066035</v>
      </c>
      <c r="S23" s="9">
        <f t="shared" ca="1" si="30"/>
        <v>12854001.14010036</v>
      </c>
      <c r="T23" s="9">
        <f t="shared" ca="1" si="30"/>
        <v>13457763.447643671</v>
      </c>
      <c r="U23" s="9">
        <f t="shared" ca="1" si="30"/>
        <v>14094963.722872982</v>
      </c>
      <c r="V23" s="9">
        <f t="shared" ca="1" si="30"/>
        <v>14768841.733818261</v>
      </c>
      <c r="W23" s="9">
        <f t="shared" ca="1" si="30"/>
        <v>15454136.094547689</v>
      </c>
      <c r="X23" s="9">
        <f t="shared" ca="1" si="30"/>
        <v>16151038.5885901</v>
      </c>
      <c r="Y23" s="9">
        <f t="shared" ca="1" si="30"/>
        <v>16859759.660182662</v>
      </c>
      <c r="Z23" s="9">
        <f t="shared" ca="1" si="30"/>
        <v>17580530.428177971</v>
      </c>
      <c r="AA23" s="9">
        <f t="shared" ca="1" si="30"/>
        <v>18313604.858731154</v>
      </c>
      <c r="AB23" s="9">
        <f t="shared" ca="1" si="30"/>
        <v>19059262.107099466</v>
      </c>
      <c r="AC23" s="9">
        <f t="shared" ca="1" si="30"/>
        <v>19817809.039484423</v>
      </c>
      <c r="AD23" s="9">
        <f t="shared" ca="1" si="30"/>
        <v>20551705.220661871</v>
      </c>
      <c r="AE23" s="9">
        <f t="shared" ca="1" si="30"/>
        <v>21226084.792475391</v>
      </c>
      <c r="AF23" s="9">
        <f t="shared" ca="1" si="30"/>
        <v>21834288.47870918</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0</v>
      </c>
      <c r="D5" s="1">
        <f ca="1">C5+C6</f>
        <v>999143.57364089461</v>
      </c>
      <c r="E5" s="1">
        <f t="shared" ref="E5:AF5" ca="1" si="1">D5+D6</f>
        <v>1895921.5243752566</v>
      </c>
      <c r="F5" s="1">
        <f t="shared" ca="1" si="1"/>
        <v>2550608.8304250985</v>
      </c>
      <c r="G5" s="1">
        <f t="shared" ca="1" si="1"/>
        <v>3019324.541331335</v>
      </c>
      <c r="H5" s="1">
        <f t="shared" ca="1" si="1"/>
        <v>3393575.1462613842</v>
      </c>
      <c r="I5" s="1">
        <f t="shared" ca="1" si="1"/>
        <v>3691868.9780030609</v>
      </c>
      <c r="J5" s="1">
        <f t="shared" ca="1" si="1"/>
        <v>3963932.183891899</v>
      </c>
      <c r="K5" s="1">
        <f t="shared" ca="1" si="1"/>
        <v>4202723.6553202067</v>
      </c>
      <c r="L5" s="1">
        <f t="shared" ca="1" si="1"/>
        <v>4433356.4337848946</v>
      </c>
      <c r="M5" s="1">
        <f t="shared" ca="1" si="1"/>
        <v>4652780.0751730315</v>
      </c>
      <c r="N5" s="1">
        <f t="shared" ca="1" si="1"/>
        <v>4876146.6178283682</v>
      </c>
      <c r="O5" s="1">
        <f t="shared" ca="1" si="1"/>
        <v>5102385.6245418461</v>
      </c>
      <c r="P5" s="1">
        <f t="shared" ca="1" si="1"/>
        <v>5330279.574774907</v>
      </c>
      <c r="Q5" s="1">
        <f t="shared" ca="1" si="1"/>
        <v>5558451.2792984787</v>
      </c>
      <c r="R5" s="1">
        <f t="shared" ca="1" si="1"/>
        <v>5785350.4095656732</v>
      </c>
      <c r="S5" s="1">
        <f t="shared" ca="1" si="1"/>
        <v>6009239.085943561</v>
      </c>
      <c r="T5" s="1">
        <f t="shared" ca="1" si="1"/>
        <v>6228176.4656336568</v>
      </c>
      <c r="U5" s="1">
        <f t="shared" ca="1" si="1"/>
        <v>6440002.2676292192</v>
      </c>
      <c r="V5" s="1">
        <f t="shared" ca="1" si="1"/>
        <v>6642319.168380009</v>
      </c>
      <c r="W5" s="1">
        <f t="shared" ca="1" si="1"/>
        <v>6861257.9565209262</v>
      </c>
      <c r="X5" s="1">
        <f t="shared" ca="1" si="1"/>
        <v>7097524.0721127084</v>
      </c>
      <c r="Y5" s="1">
        <f t="shared" ca="1" si="1"/>
        <v>7351833.0056626331</v>
      </c>
      <c r="Z5" s="1">
        <f t="shared" ca="1" si="1"/>
        <v>7624909.2029743763</v>
      </c>
      <c r="AA5" s="1">
        <f t="shared" ca="1" si="1"/>
        <v>7917484.8406180711</v>
      </c>
      <c r="AB5" s="1">
        <f t="shared" ca="1" si="1"/>
        <v>8230298.4626289355</v>
      </c>
      <c r="AC5" s="1">
        <f t="shared" ca="1" si="1"/>
        <v>8564093.4684752896</v>
      </c>
      <c r="AD5" s="1">
        <f t="shared" ca="1" si="1"/>
        <v>8957494.1675525513</v>
      </c>
      <c r="AE5" s="1">
        <f t="shared" ca="1" si="1"/>
        <v>9446484.9761618897</v>
      </c>
      <c r="AF5" s="1">
        <f t="shared" ca="1" si="1"/>
        <v>10038879.522524491</v>
      </c>
      <c r="AG5" s="1"/>
      <c r="AH5" s="1"/>
      <c r="AI5" s="1"/>
      <c r="AJ5" s="1"/>
      <c r="AK5" s="1"/>
      <c r="AL5" s="1"/>
      <c r="AM5" s="1"/>
      <c r="AN5" s="1"/>
      <c r="AO5" s="1"/>
      <c r="AP5" s="1"/>
    </row>
    <row r="6" spans="1:42" x14ac:dyDescent="0.35">
      <c r="A6" s="63" t="s">
        <v>3</v>
      </c>
      <c r="C6" s="1">
        <f ca="1">-'Cash Flow'!C13</f>
        <v>999143.57364089461</v>
      </c>
      <c r="D6" s="1">
        <f ca="1">-'Cash Flow'!D13</f>
        <v>896777.95073436189</v>
      </c>
      <c r="E6" s="1">
        <f ca="1">-'Cash Flow'!E13</f>
        <v>654687.30604984169</v>
      </c>
      <c r="F6" s="1">
        <f ca="1">-'Cash Flow'!F13</f>
        <v>468715.71090623655</v>
      </c>
      <c r="G6" s="1">
        <f ca="1">-'Cash Flow'!G13</f>
        <v>374250.60493004916</v>
      </c>
      <c r="H6" s="1">
        <f ca="1">-'Cash Flow'!H13</f>
        <v>298293.83174167667</v>
      </c>
      <c r="I6" s="1">
        <f ca="1">-'Cash Flow'!I13</f>
        <v>272063.20588883793</v>
      </c>
      <c r="J6" s="1">
        <f ca="1">-'Cash Flow'!J13</f>
        <v>238791.47142830782</v>
      </c>
      <c r="K6" s="1">
        <f ca="1">-'Cash Flow'!K13</f>
        <v>230632.77846468776</v>
      </c>
      <c r="L6" s="1">
        <f ca="1">-'Cash Flow'!L13</f>
        <v>219423.64138813666</v>
      </c>
      <c r="M6" s="1">
        <f ca="1">-'Cash Flow'!M13</f>
        <v>223366.54265533667</v>
      </c>
      <c r="N6" s="1">
        <f ca="1">-'Cash Flow'!N13</f>
        <v>226239.00671347766</v>
      </c>
      <c r="O6" s="1">
        <f ca="1">-'Cash Flow'!O13</f>
        <v>227893.95023306087</v>
      </c>
      <c r="P6" s="1">
        <f ca="1">-'Cash Flow'!P13</f>
        <v>228171.70452357223</v>
      </c>
      <c r="Q6" s="1">
        <f ca="1">-'Cash Flow'!Q13</f>
        <v>226899.13026719471</v>
      </c>
      <c r="R6" s="1">
        <f ca="1">-'Cash Flow'!R13</f>
        <v>223888.67637788784</v>
      </c>
      <c r="S6" s="1">
        <f ca="1">-'Cash Flow'!S13</f>
        <v>218937.37969009532</v>
      </c>
      <c r="T6" s="1">
        <f ca="1">-'Cash Flow'!T13</f>
        <v>211825.80199556239</v>
      </c>
      <c r="U6" s="1">
        <f ca="1">-'Cash Flow'!U13</f>
        <v>202316.90075078956</v>
      </c>
      <c r="V6" s="1">
        <f ca="1">-'Cash Flow'!V13</f>
        <v>218938.78814091766</v>
      </c>
      <c r="W6" s="1">
        <f ca="1">-'Cash Flow'!W13</f>
        <v>236266.11559178238</v>
      </c>
      <c r="X6" s="1">
        <f ca="1">-'Cash Flow'!X13</f>
        <v>254308.93354992499</v>
      </c>
      <c r="Y6" s="1">
        <f ca="1">-'Cash Flow'!Y13</f>
        <v>273076.1973117434</v>
      </c>
      <c r="Z6" s="1">
        <f ca="1">-'Cash Flow'!Z13</f>
        <v>292575.63764369488</v>
      </c>
      <c r="AA6" s="1">
        <f ca="1">-'Cash Flow'!AA13</f>
        <v>312813.62201086432</v>
      </c>
      <c r="AB6" s="1">
        <f ca="1">-'Cash Flow'!AB13</f>
        <v>333795.00584635325</v>
      </c>
      <c r="AC6" s="1">
        <f ca="1">-'Cash Flow'!AC13</f>
        <v>393400.69907726208</v>
      </c>
      <c r="AD6" s="1">
        <f ca="1">-'Cash Flow'!AD13</f>
        <v>488990.80860933871</v>
      </c>
      <c r="AE6" s="1">
        <f ca="1">-'Cash Flow'!AE13</f>
        <v>592394.54636260215</v>
      </c>
      <c r="AF6" s="1">
        <f ca="1">-'Cash Flow'!AF13</f>
        <v>704075.8772057998</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34970.025077431317</v>
      </c>
      <c r="D8" s="1">
        <f ca="1">IF(SUM(D5:D6)&gt;0,Assumptions!$C$26*SUM(D5:D6),Assumptions!$C$27*(SUM(D5:D6)))</f>
        <v>66357.253353133987</v>
      </c>
      <c r="E8" s="1">
        <f ca="1">IF(SUM(E5:E6)&gt;0,Assumptions!$C$26*SUM(E5:E6),Assumptions!$C$27*(SUM(E5:E6)))</f>
        <v>89271.309064878456</v>
      </c>
      <c r="F8" s="1">
        <f ca="1">IF(SUM(F5:F6)&gt;0,Assumptions!$C$26*SUM(F5:F6),Assumptions!$C$27*(SUM(F5:F6)))</f>
        <v>105676.35894659674</v>
      </c>
      <c r="G8" s="1">
        <f ca="1">IF(SUM(G5:G6)&gt;0,Assumptions!$C$26*SUM(G5:G6),Assumptions!$C$27*(SUM(G5:G6)))</f>
        <v>118775.13011914845</v>
      </c>
      <c r="H8" s="1">
        <f ca="1">IF(SUM(H5:H6)&gt;0,Assumptions!$C$26*SUM(H5:H6),Assumptions!$C$27*(SUM(H5:H6)))</f>
        <v>129215.41423010714</v>
      </c>
      <c r="I8" s="1">
        <f ca="1">IF(SUM(I5:I6)&gt;0,Assumptions!$C$26*SUM(I5:I6),Assumptions!$C$27*(SUM(I5:I6)))</f>
        <v>138737.62643621647</v>
      </c>
      <c r="J8" s="1">
        <f ca="1">IF(SUM(J5:J6)&gt;0,Assumptions!$C$26*SUM(J5:J6),Assumptions!$C$27*(SUM(J5:J6)))</f>
        <v>147095.32793620724</v>
      </c>
      <c r="K8" s="1">
        <f ca="1">IF(SUM(K5:K6)&gt;0,Assumptions!$C$26*SUM(K5:K6),Assumptions!$C$27*(SUM(K5:K6)))</f>
        <v>155167.47518247133</v>
      </c>
      <c r="L8" s="1">
        <f ca="1">IF(SUM(L5:L6)&gt;0,Assumptions!$C$26*SUM(L5:L6),Assumptions!$C$27*(SUM(L5:L6)))</f>
        <v>162847.30263105611</v>
      </c>
      <c r="M8" s="1">
        <f ca="1">IF(SUM(M5:M6)&gt;0,Assumptions!$C$26*SUM(M5:M6),Assumptions!$C$27*(SUM(M5:M6)))</f>
        <v>170665.1316239929</v>
      </c>
      <c r="N8" s="1">
        <f ca="1">IF(SUM(N5:N6)&gt;0,Assumptions!$C$26*SUM(N5:N6),Assumptions!$C$27*(SUM(N5:N6)))</f>
        <v>178583.49685896465</v>
      </c>
      <c r="O8" s="1">
        <f ca="1">IF(SUM(O5:O6)&gt;0,Assumptions!$C$26*SUM(O5:O6),Assumptions!$C$27*(SUM(O5:O6)))</f>
        <v>186559.78511712176</v>
      </c>
      <c r="P8" s="1">
        <f ca="1">IF(SUM(P5:P6)&gt;0,Assumptions!$C$26*SUM(P5:P6),Assumptions!$C$27*(SUM(P5:P6)))</f>
        <v>194545.79477544676</v>
      </c>
      <c r="Q8" s="1">
        <f ca="1">IF(SUM(Q5:Q6)&gt;0,Assumptions!$C$26*SUM(Q5:Q6),Assumptions!$C$27*(SUM(Q5:Q6)))</f>
        <v>202487.26433479859</v>
      </c>
      <c r="R8" s="1">
        <f ca="1">IF(SUM(R5:R6)&gt;0,Assumptions!$C$26*SUM(R5:R6),Assumptions!$C$27*(SUM(R5:R6)))</f>
        <v>210323.36800802467</v>
      </c>
      <c r="S8" s="1">
        <f ca="1">IF(SUM(S5:S6)&gt;0,Assumptions!$C$26*SUM(S5:S6),Assumptions!$C$27*(SUM(S5:S6)))</f>
        <v>217986.176297178</v>
      </c>
      <c r="T8" s="1">
        <f ca="1">IF(SUM(T5:T6)&gt;0,Assumptions!$C$26*SUM(T5:T6),Assumptions!$C$27*(SUM(T5:T6)))</f>
        <v>225400.0793670227</v>
      </c>
      <c r="U8" s="1">
        <f ca="1">IF(SUM(U5:U6)&gt;0,Assumptions!$C$26*SUM(U5:U6),Assumptions!$C$27*(SUM(U5:U6)))</f>
        <v>232481.17089330032</v>
      </c>
      <c r="V8" s="1">
        <f ca="1">IF(SUM(V5:V6)&gt;0,Assumptions!$C$26*SUM(V5:V6),Assumptions!$C$27*(SUM(V5:V6)))</f>
        <v>240144.02847823245</v>
      </c>
      <c r="W8" s="1">
        <f ca="1">IF(SUM(W5:W6)&gt;0,Assumptions!$C$26*SUM(W5:W6),Assumptions!$C$27*(SUM(W5:W6)))</f>
        <v>248413.34252394483</v>
      </c>
      <c r="X8" s="1">
        <f ca="1">IF(SUM(X5:X6)&gt;0,Assumptions!$C$26*SUM(X5:X6),Assumptions!$C$27*(SUM(X5:X6)))</f>
        <v>257314.15519819219</v>
      </c>
      <c r="Y8" s="1">
        <f ca="1">IF(SUM(Y5:Y6)&gt;0,Assumptions!$C$26*SUM(Y5:Y6),Assumptions!$C$27*(SUM(Y5:Y6)))</f>
        <v>266871.82210410322</v>
      </c>
      <c r="Z8" s="1">
        <f ca="1">IF(SUM(Z5:Z6)&gt;0,Assumptions!$C$26*SUM(Z5:Z6),Assumptions!$C$27*(SUM(Z5:Z6)))</f>
        <v>277111.96942163253</v>
      </c>
      <c r="AA8" s="1">
        <f ca="1">IF(SUM(AA5:AA6)&gt;0,Assumptions!$C$26*SUM(AA5:AA6),Assumptions!$C$27*(SUM(AA5:AA6)))</f>
        <v>288060.44619201275</v>
      </c>
      <c r="AB8" s="1">
        <f ca="1">IF(SUM(AB5:AB6)&gt;0,Assumptions!$C$26*SUM(AB5:AB6),Assumptions!$C$27*(SUM(AB5:AB6)))</f>
        <v>299743.27139663516</v>
      </c>
      <c r="AC8" s="1">
        <f ca="1">IF(SUM(AC5:AC6)&gt;0,Assumptions!$C$26*SUM(AC5:AC6),Assumptions!$C$27*(SUM(AC5:AC6)))</f>
        <v>313512.29586433934</v>
      </c>
      <c r="AD8" s="1">
        <f ca="1">IF(SUM(AD5:AD6)&gt;0,Assumptions!$C$26*SUM(AD5:AD6),Assumptions!$C$27*(SUM(AD5:AD6)))</f>
        <v>330626.97416566615</v>
      </c>
      <c r="AE8" s="1">
        <f ca="1">IF(SUM(AE5:AE6)&gt;0,Assumptions!$C$26*SUM(AE5:AE6),Assumptions!$C$27*(SUM(AE5:AE6)))</f>
        <v>351360.7832883572</v>
      </c>
      <c r="AF8" s="1">
        <f ca="1">IF(SUM(AF5:AF6)&gt;0,Assumptions!$C$26*SUM(AF5:AF6),Assumptions!$C$27*(SUM(AF5:AF6)))</f>
        <v>376003.43899056024</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6"/>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37.332031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c r="B4" s="179"/>
    </row>
    <row r="5" spans="1:3" ht="18.5" x14ac:dyDescent="0.45">
      <c r="A5" s="89" t="s">
        <v>177</v>
      </c>
      <c r="B5" s="180"/>
    </row>
    <row r="6" spans="1:3" ht="18.5" x14ac:dyDescent="0.45">
      <c r="A6" s="90"/>
      <c r="B6" s="180"/>
    </row>
    <row r="7" spans="1:3" ht="18.5" x14ac:dyDescent="0.45">
      <c r="A7" s="90" t="s">
        <v>96</v>
      </c>
      <c r="B7" s="181">
        <f>Assumptions!C24</f>
        <v>135000</v>
      </c>
      <c r="C7" s="190" t="s">
        <v>136</v>
      </c>
    </row>
    <row r="8" spans="1:3" ht="34" x14ac:dyDescent="0.45">
      <c r="A8" s="90" t="s">
        <v>174</v>
      </c>
      <c r="B8" s="182">
        <f>Assumptions!$C$133</f>
        <v>0.7</v>
      </c>
      <c r="C8" s="190" t="s">
        <v>199</v>
      </c>
    </row>
    <row r="9" spans="1:3" ht="18.5" x14ac:dyDescent="0.45">
      <c r="A9" s="90"/>
      <c r="B9" s="183"/>
      <c r="C9" s="190"/>
    </row>
    <row r="10" spans="1:3" ht="102" x14ac:dyDescent="0.45">
      <c r="A10" s="94" t="s">
        <v>102</v>
      </c>
      <c r="B10" s="184">
        <f>Assumptions!C135</f>
        <v>74.074074074074076</v>
      </c>
      <c r="C10" s="190" t="s">
        <v>200</v>
      </c>
    </row>
    <row r="11" spans="1:3" ht="18.5" x14ac:dyDescent="0.45">
      <c r="A11" s="94"/>
      <c r="B11" s="185"/>
      <c r="C11" s="190"/>
    </row>
    <row r="12" spans="1:3" ht="18.5" x14ac:dyDescent="0.45">
      <c r="A12" s="94" t="s">
        <v>184</v>
      </c>
      <c r="B12" s="181">
        <f>(B7*B8)/B10</f>
        <v>1275.75</v>
      </c>
      <c r="C12" s="190"/>
    </row>
    <row r="13" spans="1:3" ht="18.5" x14ac:dyDescent="0.45">
      <c r="A13" s="96"/>
      <c r="B13" s="186"/>
      <c r="C13" s="190"/>
    </row>
    <row r="14" spans="1:3" ht="18.5" x14ac:dyDescent="0.45">
      <c r="A14" s="94" t="s">
        <v>103</v>
      </c>
      <c r="B14" s="103">
        <v>1</v>
      </c>
      <c r="C14" s="190"/>
    </row>
    <row r="15" spans="1:3" ht="18.5" x14ac:dyDescent="0.45">
      <c r="A15" s="96"/>
      <c r="B15" s="99"/>
      <c r="C15" s="190"/>
    </row>
    <row r="16" spans="1:3" ht="18.5" x14ac:dyDescent="0.45">
      <c r="A16" s="96" t="s">
        <v>179</v>
      </c>
      <c r="B16" s="187">
        <f>B12/B14</f>
        <v>1275.75</v>
      </c>
      <c r="C16" s="190"/>
    </row>
    <row r="17" spans="1:3" ht="18.5" x14ac:dyDescent="0.45">
      <c r="A17" s="94"/>
      <c r="B17" s="188"/>
      <c r="C17" s="190"/>
    </row>
    <row r="18" spans="1:3" ht="18.5" x14ac:dyDescent="0.45">
      <c r="A18" s="102" t="s">
        <v>178</v>
      </c>
      <c r="B18" s="188"/>
      <c r="C18" s="190"/>
    </row>
    <row r="19" spans="1:3" ht="18.5" x14ac:dyDescent="0.45">
      <c r="A19" s="94"/>
      <c r="B19" s="188"/>
      <c r="C19" s="190"/>
    </row>
    <row r="20" spans="1:3" ht="51" x14ac:dyDescent="0.45">
      <c r="A20" s="94" t="s">
        <v>65</v>
      </c>
      <c r="B20" s="181">
        <f>'Profit and Loss'!L5</f>
        <v>1790499.246636654</v>
      </c>
      <c r="C20" s="190" t="s">
        <v>201</v>
      </c>
    </row>
    <row r="21" spans="1:3" ht="34" x14ac:dyDescent="0.45">
      <c r="A21" s="94" t="str">
        <f>A8</f>
        <v>Assumed revenue from households</v>
      </c>
      <c r="B21" s="182">
        <f>B8</f>
        <v>0.7</v>
      </c>
      <c r="C21" s="190" t="s">
        <v>199</v>
      </c>
    </row>
    <row r="22" spans="1:3" ht="18.5" x14ac:dyDescent="0.45">
      <c r="A22" s="94"/>
      <c r="B22" s="185"/>
      <c r="C22" s="190"/>
    </row>
    <row r="23" spans="1:3" ht="34" x14ac:dyDescent="0.45">
      <c r="A23" s="94" t="s">
        <v>101</v>
      </c>
      <c r="B23" s="184">
        <f>Assumptions!M135</f>
        <v>74.074074074074076</v>
      </c>
      <c r="C23" s="190" t="s">
        <v>202</v>
      </c>
    </row>
    <row r="24" spans="1:3" ht="18.5" x14ac:dyDescent="0.45">
      <c r="A24" s="94"/>
      <c r="B24" s="185"/>
      <c r="C24" s="190"/>
    </row>
    <row r="25" spans="1:3" ht="18.5" x14ac:dyDescent="0.45">
      <c r="A25" s="94" t="s">
        <v>183</v>
      </c>
      <c r="B25" s="181">
        <f>(B20*B21)/B23</f>
        <v>16920.21788071638</v>
      </c>
      <c r="C25" s="190"/>
    </row>
    <row r="26" spans="1:3" ht="18.5" x14ac:dyDescent="0.45">
      <c r="A26" s="94"/>
      <c r="B26" s="181"/>
      <c r="C26" s="190"/>
    </row>
    <row r="27" spans="1:3" ht="51" x14ac:dyDescent="0.45">
      <c r="A27" s="94" t="s">
        <v>103</v>
      </c>
      <c r="B27" s="103">
        <f>1.022^11</f>
        <v>1.2704566586717592</v>
      </c>
      <c r="C27" s="190" t="s">
        <v>203</v>
      </c>
    </row>
    <row r="28" spans="1:3" ht="18.5" x14ac:dyDescent="0.45">
      <c r="A28" s="96"/>
      <c r="B28" s="186"/>
      <c r="C28" s="190"/>
    </row>
    <row r="29" spans="1:3" ht="18.5" x14ac:dyDescent="0.45">
      <c r="A29" s="96" t="s">
        <v>180</v>
      </c>
      <c r="B29" s="181">
        <f>B25/B27</f>
        <v>13318.21732384494</v>
      </c>
      <c r="C29" s="190"/>
    </row>
    <row r="30" spans="1:3" ht="18.5" x14ac:dyDescent="0.45">
      <c r="A30" s="96"/>
      <c r="B30" s="186"/>
      <c r="C30" s="190"/>
    </row>
    <row r="31" spans="1:3" ht="18.5" x14ac:dyDescent="0.45">
      <c r="A31" s="102" t="s">
        <v>186</v>
      </c>
      <c r="B31" s="189"/>
      <c r="C31" s="190"/>
    </row>
    <row r="32" spans="1:3" ht="18.5" x14ac:dyDescent="0.45">
      <c r="A32" s="94"/>
      <c r="B32" s="181"/>
      <c r="C32" s="190"/>
    </row>
    <row r="33" spans="1:3" ht="51" x14ac:dyDescent="0.45">
      <c r="A33" s="94" t="s">
        <v>66</v>
      </c>
      <c r="B33" s="181">
        <f>'Profit and Loss'!AF5</f>
        <v>4018843.7500134977</v>
      </c>
      <c r="C33" s="190" t="s">
        <v>201</v>
      </c>
    </row>
    <row r="34" spans="1:3" ht="34" x14ac:dyDescent="0.45">
      <c r="A34" s="94" t="str">
        <f>A21</f>
        <v>Assumed revenue from households</v>
      </c>
      <c r="B34" s="182">
        <f>B21</f>
        <v>0.7</v>
      </c>
      <c r="C34" s="190" t="s">
        <v>199</v>
      </c>
    </row>
    <row r="35" spans="1:3" ht="18.5" x14ac:dyDescent="0.45">
      <c r="A35" s="94"/>
      <c r="B35" s="185"/>
      <c r="C35" s="190"/>
    </row>
    <row r="36" spans="1:3" ht="34" x14ac:dyDescent="0.45">
      <c r="A36" s="94" t="s">
        <v>100</v>
      </c>
      <c r="B36" s="184">
        <f>Assumptions!AG135</f>
        <v>74.074074074074076</v>
      </c>
      <c r="C36" s="190" t="s">
        <v>202</v>
      </c>
    </row>
    <row r="37" spans="1:3" ht="18.5" x14ac:dyDescent="0.45">
      <c r="A37" s="94"/>
      <c r="B37" s="185"/>
      <c r="C37" s="190"/>
    </row>
    <row r="38" spans="1:3" ht="18.5" x14ac:dyDescent="0.45">
      <c r="A38" s="94" t="s">
        <v>182</v>
      </c>
      <c r="B38" s="181">
        <f>(B33*B34)/B36</f>
        <v>37978.07343762755</v>
      </c>
      <c r="C38" s="190"/>
    </row>
    <row r="39" spans="1:3" ht="18.5" x14ac:dyDescent="0.45">
      <c r="A39" s="94"/>
      <c r="B39" s="185"/>
      <c r="C39" s="190"/>
    </row>
    <row r="40" spans="1:3" ht="51" x14ac:dyDescent="0.45">
      <c r="A40" s="94" t="s">
        <v>103</v>
      </c>
      <c r="B40" s="103">
        <f>1.022^31</f>
        <v>1.9632597808456462</v>
      </c>
      <c r="C40" s="190" t="s">
        <v>203</v>
      </c>
    </row>
    <row r="41" spans="1:3" ht="18.5" x14ac:dyDescent="0.45">
      <c r="A41" s="96"/>
      <c r="B41" s="186"/>
    </row>
    <row r="42" spans="1:3" ht="18.5" x14ac:dyDescent="0.45">
      <c r="A42" s="96" t="s">
        <v>181</v>
      </c>
      <c r="B42" s="181">
        <f>B38/B40</f>
        <v>19344.39538167946</v>
      </c>
    </row>
    <row r="43" spans="1:3" x14ac:dyDescent="0.35">
      <c r="B43" s="179"/>
    </row>
    <row r="44" spans="1:3" x14ac:dyDescent="0.35">
      <c r="B44" s="179"/>
    </row>
    <row r="45" spans="1:3" x14ac:dyDescent="0.35">
      <c r="B45" s="179"/>
    </row>
    <row r="46" spans="1:3" x14ac:dyDescent="0.35">
      <c r="B46" s="17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1" t="s">
        <v>27</v>
      </c>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0</v>
      </c>
      <c r="D13" s="128">
        <f t="shared" ref="D13:AG13" si="3">(1+$C$13)^D8</f>
        <v>1</v>
      </c>
      <c r="E13" s="128">
        <f t="shared" si="3"/>
        <v>1</v>
      </c>
      <c r="F13" s="128">
        <f t="shared" si="3"/>
        <v>1</v>
      </c>
      <c r="G13" s="128">
        <f t="shared" si="3"/>
        <v>1</v>
      </c>
      <c r="H13" s="128">
        <f t="shared" si="3"/>
        <v>1</v>
      </c>
      <c r="I13" s="128">
        <f t="shared" si="3"/>
        <v>1</v>
      </c>
      <c r="J13" s="128">
        <f t="shared" si="3"/>
        <v>1</v>
      </c>
      <c r="K13" s="128">
        <f t="shared" si="3"/>
        <v>1</v>
      </c>
      <c r="L13" s="128">
        <f t="shared" si="3"/>
        <v>1</v>
      </c>
      <c r="M13" s="128">
        <f t="shared" si="3"/>
        <v>1</v>
      </c>
      <c r="N13" s="128">
        <f t="shared" si="3"/>
        <v>1</v>
      </c>
      <c r="O13" s="128">
        <f t="shared" si="3"/>
        <v>1</v>
      </c>
      <c r="P13" s="128">
        <f t="shared" si="3"/>
        <v>1</v>
      </c>
      <c r="Q13" s="128">
        <f t="shared" si="3"/>
        <v>1</v>
      </c>
      <c r="R13" s="128">
        <f t="shared" si="3"/>
        <v>1</v>
      </c>
      <c r="S13" s="128">
        <f t="shared" si="3"/>
        <v>1</v>
      </c>
      <c r="T13" s="128">
        <f t="shared" si="3"/>
        <v>1</v>
      </c>
      <c r="U13" s="128">
        <f t="shared" si="3"/>
        <v>1</v>
      </c>
      <c r="V13" s="128">
        <f t="shared" si="3"/>
        <v>1</v>
      </c>
      <c r="W13" s="128">
        <f t="shared" si="3"/>
        <v>1</v>
      </c>
      <c r="X13" s="128">
        <f t="shared" si="3"/>
        <v>1</v>
      </c>
      <c r="Y13" s="128">
        <f t="shared" si="3"/>
        <v>1</v>
      </c>
      <c r="Z13" s="128">
        <f t="shared" si="3"/>
        <v>1</v>
      </c>
      <c r="AA13" s="128">
        <f t="shared" si="3"/>
        <v>1</v>
      </c>
      <c r="AB13" s="128">
        <f t="shared" si="3"/>
        <v>1</v>
      </c>
      <c r="AC13" s="128">
        <f t="shared" si="3"/>
        <v>1</v>
      </c>
      <c r="AD13" s="128">
        <f t="shared" si="3"/>
        <v>1</v>
      </c>
      <c r="AE13" s="128">
        <f t="shared" si="3"/>
        <v>1</v>
      </c>
      <c r="AF13" s="128">
        <f t="shared" si="3"/>
        <v>1</v>
      </c>
      <c r="AG13" s="128">
        <f t="shared" si="3"/>
        <v>1</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16407750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8203875</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135000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429586.06030000001</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10938500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21877000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32307.340059687031</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91383.813289991391</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61845.576674839213</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88060.791111025756</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234346.37869826096</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161203.58490464336</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252587.39819463476</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70"/>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70" t="s">
        <v>176</v>
      </c>
      <c r="C77" s="87">
        <v>18000000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123590217.53543571</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150788909.03145424</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141590217.53543571</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168788909.03145424</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230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170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200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707951.08767717856</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843944.5451572712</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14000000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14000000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14000000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14000000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466666.66666666669</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252587.39819463476</v>
      </c>
      <c r="E111" s="149">
        <f t="shared" si="9"/>
        <v>252587.39819463476</v>
      </c>
      <c r="F111" s="149">
        <f t="shared" si="9"/>
        <v>252587.39819463476</v>
      </c>
      <c r="G111" s="149">
        <f t="shared" si="9"/>
        <v>252587.39819463476</v>
      </c>
      <c r="H111" s="149">
        <f t="shared" si="9"/>
        <v>252587.39819463476</v>
      </c>
      <c r="I111" s="149">
        <f t="shared" si="9"/>
        <v>252587.39819463476</v>
      </c>
      <c r="J111" s="149">
        <f t="shared" si="9"/>
        <v>252587.39819463476</v>
      </c>
      <c r="K111" s="149">
        <f t="shared" si="9"/>
        <v>252587.39819463476</v>
      </c>
      <c r="L111" s="149">
        <f t="shared" si="9"/>
        <v>252587.39819463476</v>
      </c>
      <c r="M111" s="149">
        <f t="shared" si="9"/>
        <v>252587.39819463476</v>
      </c>
      <c r="N111" s="149">
        <f t="shared" si="9"/>
        <v>252587.39819463476</v>
      </c>
      <c r="O111" s="149">
        <f t="shared" si="9"/>
        <v>252587.39819463476</v>
      </c>
      <c r="P111" s="149">
        <f t="shared" si="9"/>
        <v>252587.39819463476</v>
      </c>
      <c r="Q111" s="149">
        <f t="shared" si="9"/>
        <v>252587.39819463476</v>
      </c>
      <c r="R111" s="149">
        <f t="shared" si="9"/>
        <v>252587.39819463476</v>
      </c>
      <c r="S111" s="149">
        <f t="shared" si="9"/>
        <v>252587.39819463476</v>
      </c>
      <c r="T111" s="149">
        <f t="shared" si="9"/>
        <v>252587.39819463476</v>
      </c>
      <c r="U111" s="149">
        <f t="shared" si="9"/>
        <v>252587.39819463476</v>
      </c>
      <c r="V111" s="149">
        <f t="shared" si="9"/>
        <v>252587.39819463476</v>
      </c>
      <c r="W111" s="149">
        <f t="shared" si="9"/>
        <v>252587.39819463476</v>
      </c>
      <c r="X111" s="149">
        <f t="shared" si="9"/>
        <v>252587.39819463476</v>
      </c>
      <c r="Y111" s="149">
        <f t="shared" si="9"/>
        <v>252587.39819463476</v>
      </c>
      <c r="Z111" s="149">
        <f t="shared" si="9"/>
        <v>252587.39819463476</v>
      </c>
      <c r="AA111" s="149">
        <f t="shared" si="9"/>
        <v>252587.39819463476</v>
      </c>
      <c r="AB111" s="149">
        <f t="shared" si="9"/>
        <v>252587.39819463476</v>
      </c>
      <c r="AC111" s="149">
        <f t="shared" si="9"/>
        <v>252587.39819463476</v>
      </c>
      <c r="AD111" s="149">
        <f t="shared" si="9"/>
        <v>252587.39819463476</v>
      </c>
      <c r="AE111" s="149">
        <f t="shared" si="9"/>
        <v>252587.39819463476</v>
      </c>
      <c r="AF111" s="149">
        <f t="shared" si="9"/>
        <v>252587.39819463476</v>
      </c>
      <c r="AG111" s="149">
        <f t="shared" si="9"/>
        <v>252587.39819463476</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13999999.999999994</v>
      </c>
      <c r="D113" s="149">
        <f t="shared" ref="D113:AG113" si="10">$C$102</f>
        <v>466666.66666666669</v>
      </c>
      <c r="E113" s="149">
        <f t="shared" si="10"/>
        <v>466666.66666666669</v>
      </c>
      <c r="F113" s="149">
        <f t="shared" si="10"/>
        <v>466666.66666666669</v>
      </c>
      <c r="G113" s="149">
        <f t="shared" si="10"/>
        <v>466666.66666666669</v>
      </c>
      <c r="H113" s="149">
        <f t="shared" si="10"/>
        <v>466666.66666666669</v>
      </c>
      <c r="I113" s="149">
        <f t="shared" si="10"/>
        <v>466666.66666666669</v>
      </c>
      <c r="J113" s="149">
        <f t="shared" si="10"/>
        <v>466666.66666666669</v>
      </c>
      <c r="K113" s="149">
        <f t="shared" si="10"/>
        <v>466666.66666666669</v>
      </c>
      <c r="L113" s="149">
        <f t="shared" si="10"/>
        <v>466666.66666666669</v>
      </c>
      <c r="M113" s="149">
        <f t="shared" si="10"/>
        <v>466666.66666666669</v>
      </c>
      <c r="N113" s="149">
        <f t="shared" si="10"/>
        <v>466666.66666666669</v>
      </c>
      <c r="O113" s="149">
        <f t="shared" si="10"/>
        <v>466666.66666666669</v>
      </c>
      <c r="P113" s="149">
        <f t="shared" si="10"/>
        <v>466666.66666666669</v>
      </c>
      <c r="Q113" s="149">
        <f t="shared" si="10"/>
        <v>466666.66666666669</v>
      </c>
      <c r="R113" s="149">
        <f t="shared" si="10"/>
        <v>466666.66666666669</v>
      </c>
      <c r="S113" s="149">
        <f t="shared" si="10"/>
        <v>466666.66666666669</v>
      </c>
      <c r="T113" s="149">
        <f t="shared" si="10"/>
        <v>466666.66666666669</v>
      </c>
      <c r="U113" s="149">
        <f t="shared" si="10"/>
        <v>466666.66666666669</v>
      </c>
      <c r="V113" s="149">
        <f t="shared" si="10"/>
        <v>466666.66666666669</v>
      </c>
      <c r="W113" s="149">
        <f t="shared" si="10"/>
        <v>466666.66666666669</v>
      </c>
      <c r="X113" s="149">
        <f t="shared" si="10"/>
        <v>466666.66666666669</v>
      </c>
      <c r="Y113" s="149">
        <f t="shared" si="10"/>
        <v>466666.66666666669</v>
      </c>
      <c r="Z113" s="149">
        <f t="shared" si="10"/>
        <v>466666.66666666669</v>
      </c>
      <c r="AA113" s="149">
        <f t="shared" si="10"/>
        <v>466666.66666666669</v>
      </c>
      <c r="AB113" s="149">
        <f t="shared" si="10"/>
        <v>466666.66666666669</v>
      </c>
      <c r="AC113" s="149">
        <f t="shared" si="10"/>
        <v>466666.66666666669</v>
      </c>
      <c r="AD113" s="149">
        <f t="shared" si="10"/>
        <v>466666.66666666669</v>
      </c>
      <c r="AE113" s="149">
        <f t="shared" si="10"/>
        <v>466666.66666666669</v>
      </c>
      <c r="AF113" s="149">
        <f t="shared" si="10"/>
        <v>466666.66666666669</v>
      </c>
      <c r="AG113" s="149">
        <f t="shared" si="10"/>
        <v>466666.66666666669</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466666.66666666669</v>
      </c>
      <c r="E118" s="149">
        <f t="shared" ref="E118:AG118" si="13">E113+E115+E116</f>
        <v>466666.66666666669</v>
      </c>
      <c r="F118" s="149">
        <f>F113+F115+F116</f>
        <v>466666.66666666669</v>
      </c>
      <c r="G118" s="149">
        <f t="shared" si="13"/>
        <v>466666.66666666669</v>
      </c>
      <c r="H118" s="149">
        <f t="shared" si="13"/>
        <v>466666.66666666669</v>
      </c>
      <c r="I118" s="149">
        <f t="shared" si="13"/>
        <v>466666.66666666669</v>
      </c>
      <c r="J118" s="149">
        <f t="shared" si="13"/>
        <v>466666.66666666669</v>
      </c>
      <c r="K118" s="149">
        <f t="shared" si="13"/>
        <v>466666.66666666669</v>
      </c>
      <c r="L118" s="149">
        <f t="shared" si="13"/>
        <v>466666.66666666669</v>
      </c>
      <c r="M118" s="149">
        <f t="shared" si="13"/>
        <v>466666.66666666669</v>
      </c>
      <c r="N118" s="149">
        <f t="shared" si="13"/>
        <v>466666.66666666669</v>
      </c>
      <c r="O118" s="149">
        <f t="shared" si="13"/>
        <v>466666.66666666669</v>
      </c>
      <c r="P118" s="149">
        <f t="shared" si="13"/>
        <v>466666.66666666669</v>
      </c>
      <c r="Q118" s="149">
        <f t="shared" si="13"/>
        <v>466666.66666666669</v>
      </c>
      <c r="R118" s="149">
        <f t="shared" si="13"/>
        <v>466666.66666666669</v>
      </c>
      <c r="S118" s="149">
        <f t="shared" si="13"/>
        <v>466666.66666666669</v>
      </c>
      <c r="T118" s="149">
        <f t="shared" si="13"/>
        <v>466666.66666666669</v>
      </c>
      <c r="U118" s="149">
        <f t="shared" si="13"/>
        <v>466666.66666666669</v>
      </c>
      <c r="V118" s="149">
        <f t="shared" si="13"/>
        <v>466666.66666666669</v>
      </c>
      <c r="W118" s="149">
        <f t="shared" si="13"/>
        <v>466666.66666666669</v>
      </c>
      <c r="X118" s="149">
        <f t="shared" si="13"/>
        <v>466666.66666666669</v>
      </c>
      <c r="Y118" s="149">
        <f t="shared" si="13"/>
        <v>466666.66666666669</v>
      </c>
      <c r="Z118" s="149">
        <f t="shared" si="13"/>
        <v>466666.66666666669</v>
      </c>
      <c r="AA118" s="149">
        <f t="shared" si="13"/>
        <v>466666.66666666669</v>
      </c>
      <c r="AB118" s="149">
        <f t="shared" si="13"/>
        <v>466666.66666666669</v>
      </c>
      <c r="AC118" s="149">
        <f t="shared" si="13"/>
        <v>466666.66666666669</v>
      </c>
      <c r="AD118" s="149">
        <f t="shared" si="13"/>
        <v>466666.66666666669</v>
      </c>
      <c r="AE118" s="149">
        <f t="shared" si="13"/>
        <v>466666.66666666669</v>
      </c>
      <c r="AF118" s="149">
        <f t="shared" si="13"/>
        <v>466666.66666666669</v>
      </c>
      <c r="AG118" s="149">
        <f t="shared" si="13"/>
        <v>466666.66666666669</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11200</v>
      </c>
      <c r="E120" s="149">
        <f>(SUM($D$118:E118)*$C$104/$C$106)+(SUM($D$118:E118)*$C$105/$C$107)</f>
        <v>22400</v>
      </c>
      <c r="F120" s="149">
        <f>(SUM($D$118:F118)*$C$104/$C$106)+(SUM($D$118:F118)*$C$105/$C$107)</f>
        <v>33600</v>
      </c>
      <c r="G120" s="149">
        <f>(SUM($D$118:G118)*$C$104/$C$106)+(SUM($D$118:G118)*$C$105/$C$107)</f>
        <v>44800</v>
      </c>
      <c r="H120" s="149">
        <f>(SUM($D$118:H118)*$C$104/$C$106)+(SUM($D$118:H118)*$C$105/$C$107)</f>
        <v>56000</v>
      </c>
      <c r="I120" s="149">
        <f>(SUM($D$118:I118)*$C$104/$C$106)+(SUM($D$118:I118)*$C$105/$C$107)</f>
        <v>67200</v>
      </c>
      <c r="J120" s="149">
        <f>(SUM($D$118:J118)*$C$104/$C$106)+(SUM($D$118:J118)*$C$105/$C$107)</f>
        <v>78400</v>
      </c>
      <c r="K120" s="149">
        <f>(SUM($D$118:K118)*$C$104/$C$106)+(SUM($D$118:K118)*$C$105/$C$107)</f>
        <v>89599.999999999985</v>
      </c>
      <c r="L120" s="149">
        <f>(SUM($D$118:L118)*$C$104/$C$106)+(SUM($D$118:L118)*$C$105/$C$107)</f>
        <v>100800</v>
      </c>
      <c r="M120" s="149">
        <f>(SUM($D$118:M118)*$C$104/$C$106)+(SUM($D$118:M118)*$C$105/$C$107)</f>
        <v>112000</v>
      </c>
      <c r="N120" s="149">
        <f>(SUM($D$118:N118)*$C$104/$C$106)+(SUM($D$118:N118)*$C$105/$C$107)</f>
        <v>123200.00000000003</v>
      </c>
      <c r="O120" s="149">
        <f>(SUM($D$118:O118)*$C$104/$C$106)+(SUM($D$118:O118)*$C$105/$C$107)</f>
        <v>134400.00000000003</v>
      </c>
      <c r="P120" s="149">
        <f>(SUM($D$118:P118)*$C$104/$C$106)+(SUM($D$118:P118)*$C$105/$C$107)</f>
        <v>145600.00000000003</v>
      </c>
      <c r="Q120" s="149">
        <f>(SUM($D$118:Q118)*$C$104/$C$106)+(SUM($D$118:Q118)*$C$105/$C$107)</f>
        <v>156800.00000000003</v>
      </c>
      <c r="R120" s="149">
        <f>(SUM($D$118:R118)*$C$104/$C$106)+(SUM($D$118:R118)*$C$105/$C$107)</f>
        <v>168000.00000000003</v>
      </c>
      <c r="S120" s="149">
        <f>(SUM($D$118:S118)*$C$104/$C$106)+(SUM($D$118:S118)*$C$105/$C$107)</f>
        <v>179200.00000000006</v>
      </c>
      <c r="T120" s="149">
        <f>(SUM($D$118:T118)*$C$104/$C$106)+(SUM($D$118:T118)*$C$105/$C$107)</f>
        <v>190400.00000000003</v>
      </c>
      <c r="U120" s="149">
        <f>(SUM($D$118:U118)*$C$104/$C$106)+(SUM($D$118:U118)*$C$105/$C$107)</f>
        <v>201600.00000000003</v>
      </c>
      <c r="V120" s="149">
        <f>(SUM($D$118:V118)*$C$104/$C$106)+(SUM($D$118:V118)*$C$105/$C$107)</f>
        <v>212800.00000000006</v>
      </c>
      <c r="W120" s="149">
        <f>(SUM($D$118:W118)*$C$104/$C$106)+(SUM($D$118:W118)*$C$105/$C$107)</f>
        <v>224000</v>
      </c>
      <c r="X120" s="149">
        <f>(SUM($D$118:X118)*$C$104/$C$106)+(SUM($D$118:X118)*$C$105/$C$107)</f>
        <v>235200</v>
      </c>
      <c r="Y120" s="149">
        <f>(SUM($D$118:Y118)*$C$104/$C$106)+(SUM($D$118:Y118)*$C$105/$C$107)</f>
        <v>246399.99999999997</v>
      </c>
      <c r="Z120" s="149">
        <f>(SUM($D$118:Z118)*$C$104/$C$106)+(SUM($D$118:Z118)*$C$105/$C$107)</f>
        <v>257599.99999999994</v>
      </c>
      <c r="AA120" s="149">
        <f>(SUM($D$118:AA118)*$C$104/$C$106)+(SUM($D$118:AA118)*$C$105/$C$107)</f>
        <v>268799.99999999994</v>
      </c>
      <c r="AB120" s="149">
        <f>(SUM($D$118:AB118)*$C$104/$C$106)+(SUM($D$118:AB118)*$C$105/$C$107)</f>
        <v>279999.99999999994</v>
      </c>
      <c r="AC120" s="149">
        <f>(SUM($D$118:AC118)*$C$104/$C$106)+(SUM($D$118:AC118)*$C$105/$C$107)</f>
        <v>291199.99999999994</v>
      </c>
      <c r="AD120" s="149">
        <f>(SUM($D$118:AD118)*$C$104/$C$106)+(SUM($D$118:AD118)*$C$105/$C$107)</f>
        <v>302399.99999999988</v>
      </c>
      <c r="AE120" s="149">
        <f>(SUM($D$118:AE118)*$C$104/$C$106)+(SUM($D$118:AE118)*$C$105/$C$107)</f>
        <v>313599.99999999988</v>
      </c>
      <c r="AF120" s="149">
        <f>(SUM($D$118:AF118)*$C$104/$C$106)+(SUM($D$118:AF118)*$C$105/$C$107)</f>
        <v>324799.99999999988</v>
      </c>
      <c r="AG120" s="149">
        <f>(SUM($D$118:AG118)*$C$104/$C$106)+(SUM($D$118:AG118)*$C$105/$C$107)</f>
        <v>335999.99999999988</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14000</v>
      </c>
      <c r="E122" s="72">
        <f>(SUM($D$118:E118)*$C$109)</f>
        <v>28000</v>
      </c>
      <c r="F122" s="72">
        <f>(SUM($D$118:F118)*$C$109)</f>
        <v>42000</v>
      </c>
      <c r="G122" s="72">
        <f>(SUM($D$118:G118)*$C$109)</f>
        <v>56000</v>
      </c>
      <c r="H122" s="72">
        <f>(SUM($D$118:H118)*$C$109)</f>
        <v>70000</v>
      </c>
      <c r="I122" s="72">
        <f>(SUM($D$118:I118)*$C$109)</f>
        <v>84000</v>
      </c>
      <c r="J122" s="72">
        <f>(SUM($D$118:J118)*$C$109)</f>
        <v>97999.999999999985</v>
      </c>
      <c r="K122" s="72">
        <f>(SUM($D$118:K118)*$C$109)</f>
        <v>111999.99999999999</v>
      </c>
      <c r="L122" s="72">
        <f>(SUM($D$118:L118)*$C$109)</f>
        <v>126000</v>
      </c>
      <c r="M122" s="72">
        <f>(SUM($D$118:M118)*$C$109)</f>
        <v>140000</v>
      </c>
      <c r="N122" s="72">
        <f>(SUM($D$118:N118)*$C$109)</f>
        <v>154000</v>
      </c>
      <c r="O122" s="72">
        <f>(SUM($D$118:O118)*$C$109)</f>
        <v>168000.00000000003</v>
      </c>
      <c r="P122" s="72">
        <f>(SUM($D$118:P118)*$C$109)</f>
        <v>182000.00000000003</v>
      </c>
      <c r="Q122" s="72">
        <f>(SUM($D$118:Q118)*$C$109)</f>
        <v>196000.00000000003</v>
      </c>
      <c r="R122" s="72">
        <f>(SUM($D$118:R118)*$C$109)</f>
        <v>210000.00000000006</v>
      </c>
      <c r="S122" s="72">
        <f>(SUM($D$118:S118)*$C$109)</f>
        <v>224000.00000000006</v>
      </c>
      <c r="T122" s="72">
        <f>(SUM($D$118:T118)*$C$109)</f>
        <v>238000.00000000006</v>
      </c>
      <c r="U122" s="72">
        <f>(SUM($D$118:U118)*$C$109)</f>
        <v>252000.00000000006</v>
      </c>
      <c r="V122" s="72">
        <f>(SUM($D$118:V118)*$C$109)</f>
        <v>266000</v>
      </c>
      <c r="W122" s="72">
        <f>(SUM($D$118:W118)*$C$109)</f>
        <v>280000</v>
      </c>
      <c r="X122" s="72">
        <f>(SUM($D$118:X118)*$C$109)</f>
        <v>294000</v>
      </c>
      <c r="Y122" s="72">
        <f>(SUM($D$118:Y118)*$C$109)</f>
        <v>307999.99999999994</v>
      </c>
      <c r="Z122" s="72">
        <f>(SUM($D$118:Z118)*$C$109)</f>
        <v>321999.99999999994</v>
      </c>
      <c r="AA122" s="72">
        <f>(SUM($D$118:AA118)*$C$109)</f>
        <v>335999.99999999994</v>
      </c>
      <c r="AB122" s="72">
        <f>(SUM($D$118:AB118)*$C$109)</f>
        <v>349999.99999999988</v>
      </c>
      <c r="AC122" s="72">
        <f>(SUM($D$118:AC118)*$C$109)</f>
        <v>363999.99999999988</v>
      </c>
      <c r="AD122" s="72">
        <f>(SUM($D$118:AD118)*$C$109)</f>
        <v>377999.99999999988</v>
      </c>
      <c r="AE122" s="72">
        <f>(SUM($D$118:AE118)*$C$109)</f>
        <v>391999.99999999988</v>
      </c>
      <c r="AF122" s="72">
        <f>(SUM($D$118:AF118)*$C$109)</f>
        <v>405999.99999999983</v>
      </c>
      <c r="AG122" s="72">
        <f>(SUM($D$118:AG118)*$C$109)</f>
        <v>419999.99999999983</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230</v>
      </c>
      <c r="D126" s="140"/>
    </row>
    <row r="127" spans="1:33" x14ac:dyDescent="0.35">
      <c r="A127" s="77" t="s">
        <v>151</v>
      </c>
      <c r="B127" s="77" t="s">
        <v>133</v>
      </c>
      <c r="C127" s="126">
        <v>170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200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74.074074074074076</v>
      </c>
      <c r="D135" s="157">
        <f t="shared" ref="D135:AG135" si="14">$C$135*D13</f>
        <v>74.074074074074076</v>
      </c>
      <c r="E135" s="157">
        <f t="shared" si="14"/>
        <v>74.074074074074076</v>
      </c>
      <c r="F135" s="157">
        <f t="shared" si="14"/>
        <v>74.074074074074076</v>
      </c>
      <c r="G135" s="157">
        <f t="shared" si="14"/>
        <v>74.074074074074076</v>
      </c>
      <c r="H135" s="157">
        <f t="shared" si="14"/>
        <v>74.074074074074076</v>
      </c>
      <c r="I135" s="157">
        <f t="shared" si="14"/>
        <v>74.074074074074076</v>
      </c>
      <c r="J135" s="157">
        <f t="shared" si="14"/>
        <v>74.074074074074076</v>
      </c>
      <c r="K135" s="157">
        <f t="shared" si="14"/>
        <v>74.074074074074076</v>
      </c>
      <c r="L135" s="157">
        <f t="shared" si="14"/>
        <v>74.074074074074076</v>
      </c>
      <c r="M135" s="157">
        <f t="shared" si="14"/>
        <v>74.074074074074076</v>
      </c>
      <c r="N135" s="157">
        <f t="shared" si="14"/>
        <v>74.074074074074076</v>
      </c>
      <c r="O135" s="157">
        <f t="shared" si="14"/>
        <v>74.074074074074076</v>
      </c>
      <c r="P135" s="157">
        <f t="shared" si="14"/>
        <v>74.074074074074076</v>
      </c>
      <c r="Q135" s="157">
        <f t="shared" si="14"/>
        <v>74.074074074074076</v>
      </c>
      <c r="R135" s="157">
        <f t="shared" si="14"/>
        <v>74.074074074074076</v>
      </c>
      <c r="S135" s="157">
        <f t="shared" si="14"/>
        <v>74.074074074074076</v>
      </c>
      <c r="T135" s="157">
        <f t="shared" si="14"/>
        <v>74.074074074074076</v>
      </c>
      <c r="U135" s="157">
        <f t="shared" si="14"/>
        <v>74.074074074074076</v>
      </c>
      <c r="V135" s="157">
        <f t="shared" si="14"/>
        <v>74.074074074074076</v>
      </c>
      <c r="W135" s="157">
        <f t="shared" si="14"/>
        <v>74.074074074074076</v>
      </c>
      <c r="X135" s="157">
        <f t="shared" si="14"/>
        <v>74.074074074074076</v>
      </c>
      <c r="Y135" s="157">
        <f t="shared" si="14"/>
        <v>74.074074074074076</v>
      </c>
      <c r="Z135" s="157">
        <f t="shared" si="14"/>
        <v>74.074074074074076</v>
      </c>
      <c r="AA135" s="157">
        <f t="shared" si="14"/>
        <v>74.074074074074076</v>
      </c>
      <c r="AB135" s="157">
        <f t="shared" si="14"/>
        <v>74.074074074074076</v>
      </c>
      <c r="AC135" s="157">
        <f t="shared" si="14"/>
        <v>74.074074074074076</v>
      </c>
      <c r="AD135" s="157">
        <f t="shared" si="14"/>
        <v>74.074074074074076</v>
      </c>
      <c r="AE135" s="157">
        <f t="shared" si="14"/>
        <v>74.074074074074076</v>
      </c>
      <c r="AF135" s="157">
        <f t="shared" si="14"/>
        <v>74.074074074074076</v>
      </c>
      <c r="AG135" s="157">
        <f t="shared" si="14"/>
        <v>74.074074074074076</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0.8</v>
      </c>
      <c r="F4" s="65">
        <v>0.8</v>
      </c>
      <c r="G4" s="65">
        <v>0.75</v>
      </c>
      <c r="H4" s="65">
        <v>0.35</v>
      </c>
      <c r="I4" s="65">
        <v>0.17</v>
      </c>
      <c r="J4" s="65">
        <v>0.13</v>
      </c>
      <c r="K4" s="65">
        <v>0.08</v>
      </c>
      <c r="L4" s="65">
        <v>0.08</v>
      </c>
      <c r="M4" s="65">
        <v>0.06</v>
      </c>
      <c r="N4" s="65">
        <v>0.06</v>
      </c>
      <c r="O4" s="65">
        <v>0.05</v>
      </c>
      <c r="P4" s="65">
        <v>0.05</v>
      </c>
      <c r="Q4" s="65">
        <v>0.05</v>
      </c>
      <c r="R4" s="65">
        <v>0.05</v>
      </c>
      <c r="S4" s="65">
        <v>0.05</v>
      </c>
      <c r="T4" s="65">
        <v>0.05</v>
      </c>
      <c r="U4" s="65">
        <v>0.05</v>
      </c>
      <c r="V4" s="65">
        <v>0.05</v>
      </c>
      <c r="W4" s="65">
        <v>0.05</v>
      </c>
      <c r="X4" s="65">
        <v>0.04</v>
      </c>
      <c r="Y4" s="65">
        <v>0.04</v>
      </c>
      <c r="Z4" s="65">
        <v>0.04</v>
      </c>
      <c r="AA4" s="65">
        <v>0.04</v>
      </c>
      <c r="AB4" s="65">
        <v>0.04</v>
      </c>
      <c r="AC4" s="65">
        <v>0.04</v>
      </c>
      <c r="AD4" s="65">
        <v>0.04</v>
      </c>
      <c r="AE4" s="65">
        <v>0.03</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2.5021170552260577</v>
      </c>
      <c r="C6" s="25"/>
      <c r="D6" s="25"/>
      <c r="E6" s="27">
        <f>'Debt worksheet'!C5/'Profit and Loss'!C5</f>
        <v>0</v>
      </c>
      <c r="F6" s="28">
        <f ca="1">'Debt worksheet'!D5/'Profit and Loss'!D5</f>
        <v>2.2842788606330466</v>
      </c>
      <c r="G6" s="28">
        <f ca="1">'Debt worksheet'!E5/'Profit and Loss'!E5</f>
        <v>2.4768718066173578</v>
      </c>
      <c r="H6" s="28">
        <f ca="1">'Debt worksheet'!F5/'Profit and Loss'!F5</f>
        <v>2.4682734004689553</v>
      </c>
      <c r="I6" s="28">
        <f ca="1">'Debt worksheet'!G5/'Profit and Loss'!G5</f>
        <v>2.497315078368481</v>
      </c>
      <c r="J6" s="28">
        <f ca="1">'Debt worksheet'!H5/'Profit and Loss'!H5</f>
        <v>2.4839483975252872</v>
      </c>
      <c r="K6" s="28">
        <f ca="1">'Debt worksheet'!I5/'Profit and Loss'!I5</f>
        <v>2.5021170552260577</v>
      </c>
      <c r="L6" s="28">
        <f ca="1">'Debt worksheet'!J5/'Profit and Loss'!J5</f>
        <v>2.4875040914913957</v>
      </c>
      <c r="M6" s="28">
        <f ca="1">'Debt worksheet'!K5/'Profit and Loss'!K5</f>
        <v>2.4880697844512691</v>
      </c>
      <c r="N6" s="28">
        <f ca="1">'Debt worksheet'!L5/'Profit and Loss'!L5</f>
        <v>2.476044847331095</v>
      </c>
      <c r="O6" s="28">
        <f ca="1">'Debt worksheet'!M5/'Profit and Loss'!M5</f>
        <v>2.4748511497763492</v>
      </c>
      <c r="P6" s="28">
        <f ca="1">'Debt worksheet'!N5/'Profit and Loss'!N5</f>
        <v>2.470153914871414</v>
      </c>
      <c r="Q6" s="28">
        <f ca="1">'Debt worksheet'!O5/'Profit and Loss'!O5</f>
        <v>2.4616779666147464</v>
      </c>
      <c r="R6" s="28">
        <f ca="1">'Debt worksheet'!P5/'Profit and Loss'!P5</f>
        <v>2.4491684125180933</v>
      </c>
      <c r="S6" s="28">
        <f ca="1">'Debt worksheet'!Q5/'Profit and Loss'!Q5</f>
        <v>2.4323897541713051</v>
      </c>
      <c r="T6" s="28">
        <f ca="1">'Debt worksheet'!R5/'Profit and Loss'!R5</f>
        <v>2.4111250304435319</v>
      </c>
      <c r="U6" s="28">
        <f ca="1">'Debt worksheet'!S5/'Profit and Loss'!S5</f>
        <v>2.3851749922209979</v>
      </c>
      <c r="V6" s="28">
        <f ca="1">'Debt worksheet'!T5/'Profit and Loss'!T5</f>
        <v>2.3543573076169033</v>
      </c>
      <c r="W6" s="28">
        <f ca="1">'Debt worksheet'!U5/'Profit and Loss'!U5</f>
        <v>2.3185057966232399</v>
      </c>
      <c r="X6" s="28">
        <f ca="1">'Debt worksheet'!V5/'Profit and Loss'!V5</f>
        <v>2.2993684412671764</v>
      </c>
      <c r="Y6" s="28">
        <f ca="1">'Debt worksheet'!W5/'Profit and Loss'!W5</f>
        <v>2.2838061313156111</v>
      </c>
      <c r="Z6" s="28">
        <f ca="1">'Debt worksheet'!X5/'Profit and Loss'!X5</f>
        <v>2.2715851557912643</v>
      </c>
      <c r="AA6" s="28">
        <f ca="1">'Debt worksheet'!Y5/'Profit and Loss'!Y5</f>
        <v>2.2624784027933718</v>
      </c>
      <c r="AB6" s="28">
        <f ca="1">'Debt worksheet'!Z5/'Profit and Loss'!Z5</f>
        <v>2.2562652038486513</v>
      </c>
      <c r="AC6" s="28">
        <f ca="1">'Debt worksheet'!AA5/'Profit and Loss'!AA5</f>
        <v>2.2527311816933415</v>
      </c>
      <c r="AD6" s="28">
        <f ca="1">'Debt worksheet'!AB5/'Profit and Loss'!AB5</f>
        <v>2.2516681014135638</v>
      </c>
      <c r="AE6" s="28">
        <f ca="1">'Debt worksheet'!AC5/'Profit and Loss'!AC5</f>
        <v>2.2747462853084133</v>
      </c>
      <c r="AF6" s="28">
        <f ca="1">'Debt worksheet'!AD5/'Profit and Loss'!AD5</f>
        <v>2.3280226652430906</v>
      </c>
      <c r="AG6" s="28">
        <f ca="1">'Debt worksheet'!AE5/'Profit and Loss'!AE5</f>
        <v>2.4022600146136623</v>
      </c>
      <c r="AH6" s="28">
        <f ca="1">'Debt worksheet'!AF5/'Profit and Loss'!AF5</f>
        <v>2.4979521840058534</v>
      </c>
      <c r="AI6" s="31"/>
    </row>
    <row r="7" spans="1:35" ht="21" x14ac:dyDescent="0.5">
      <c r="A7" s="19" t="s">
        <v>38</v>
      </c>
      <c r="B7" s="26" t="e">
        <f ca="1">MIN('Price and Financial ratios'!E7:AH7)</f>
        <v>#DIV/0!</v>
      </c>
      <c r="C7" s="26"/>
      <c r="D7" s="26"/>
      <c r="E7" s="56" t="e">
        <f ca="1">'Cash Flow'!C7/'Debt worksheet'!C5</f>
        <v>#DIV/0!</v>
      </c>
      <c r="F7" s="32">
        <f ca="1">'Cash Flow'!D7/'Debt worksheet'!D5</f>
        <v>-0.10699020118798255</v>
      </c>
      <c r="G7" s="32">
        <f ca="1">'Cash Flow'!E7/'Debt worksheet'!E5</f>
        <v>9.113150730451762E-2</v>
      </c>
      <c r="H7" s="32">
        <f ca="1">'Cash Flow'!F7/'Debt worksheet'!F5</f>
        <v>0.15601473850015729</v>
      </c>
      <c r="I7" s="32">
        <f ca="1">'Cash Flow'!G7/'Debt worksheet'!G5</f>
        <v>0.17660931458773535</v>
      </c>
      <c r="J7" s="32">
        <f ca="1">'Cash Flow'!H7/'Debt worksheet'!H5</f>
        <v>0.19205918816758044</v>
      </c>
      <c r="K7" s="32">
        <f ca="1">'Cash Flow'!I7/'Debt worksheet'!I5</f>
        <v>0.19566316747046439</v>
      </c>
      <c r="L7" s="32">
        <f ca="1">'Cash Flow'!J7/'Debt worksheet'!J5</f>
        <v>0.20229051074278187</v>
      </c>
      <c r="M7" s="17">
        <f ca="1">'Cash Flow'!K7/'Debt worksheet'!K5</f>
        <v>0.2042000610166517</v>
      </c>
      <c r="N7" s="17">
        <f ca="1">'Cash Flow'!L7/'Debt worksheet'!L5</f>
        <v>0.20742631727291225</v>
      </c>
      <c r="O7" s="17">
        <f ca="1">'Cash Flow'!M7/'Debt worksheet'!M5</f>
        <v>0.2080343935216718</v>
      </c>
      <c r="P7" s="17">
        <f ca="1">'Cash Flow'!N7/'Debt worksheet'!N5</f>
        <v>0.20908562741430009</v>
      </c>
      <c r="Q7" s="17">
        <f ca="1">'Cash Flow'!O7/'Debt worksheet'!O5</f>
        <v>0.2106092363760064</v>
      </c>
      <c r="R7" s="17">
        <f ca="1">'Cash Flow'!P7/'Debt worksheet'!P5</f>
        <v>0.21263786947778021</v>
      </c>
      <c r="S7" s="17">
        <f ca="1">'Cash Flow'!Q7/'Debt worksheet'!Q5</f>
        <v>0.21520872455586892</v>
      </c>
      <c r="T7" s="17">
        <f ca="1">'Cash Flow'!R7/'Debt worksheet'!R5</f>
        <v>0.21836481995937149</v>
      </c>
      <c r="U7" s="17">
        <f ca="1">'Cash Flow'!S7/'Debt worksheet'!S5</f>
        <v>0.22215648449168307</v>
      </c>
      <c r="V7" s="17">
        <f ca="1">'Cash Flow'!T7/'Debt worksheet'!T5</f>
        <v>0.22664314822870765</v>
      </c>
      <c r="W7" s="17">
        <f ca="1">'Cash Flow'!U7/'Debt worksheet'!U5</f>
        <v>0.2318955437119129</v>
      </c>
      <c r="X7" s="17">
        <f ca="1">'Cash Flow'!V7/'Debt worksheet'!V5</f>
        <v>0.2336650452655708</v>
      </c>
      <c r="Y7" s="17">
        <f ca="1">'Cash Flow'!W7/'Debt worksheet'!W5</f>
        <v>0.23510624707675337</v>
      </c>
      <c r="Z7" s="17">
        <f ca="1">'Cash Flow'!X7/'Debt worksheet'!X5</f>
        <v>0.23623144116006309</v>
      </c>
      <c r="AA7" s="17">
        <f ca="1">'Cash Flow'!Y7/'Debt worksheet'!Y5</f>
        <v>0.23705581288413549</v>
      </c>
      <c r="AB7" s="17">
        <f ca="1">'Cash Flow'!Z7/'Debt worksheet'!Z5</f>
        <v>0.23759699404256879</v>
      </c>
      <c r="AC7" s="17">
        <f ca="1">'Cash Flow'!AA7/'Debt worksheet'!AA5</f>
        <v>0.2378745975860356</v>
      </c>
      <c r="AD7" s="17">
        <f ca="1">'Cash Flow'!AB7/'Debt worksheet'!AB5</f>
        <v>0.23790975197993586</v>
      </c>
      <c r="AE7" s="17">
        <f ca="1">'Cash Flow'!AC7/'Debt worksheet'!AC5</f>
        <v>0.23330179794326986</v>
      </c>
      <c r="AF7" s="17">
        <f ca="1">'Cash Flow'!AD7/'Debt worksheet'!AD5</f>
        <v>0.2239475452975363</v>
      </c>
      <c r="AG7" s="17">
        <f ca="1">'Cash Flow'!AE7/'Debt worksheet'!AE5</f>
        <v>0.21281629894641316</v>
      </c>
      <c r="AH7" s="17">
        <f ca="1">'Cash Flow'!AF7/'Debt worksheet'!AF5</f>
        <v>0.20029997665102786</v>
      </c>
      <c r="AI7" s="29"/>
    </row>
    <row r="8" spans="1:35" ht="21" x14ac:dyDescent="0.5">
      <c r="A8" s="19" t="s">
        <v>33</v>
      </c>
      <c r="B8" s="26">
        <f ca="1">MAX('Price and Financial ratios'!E8:AH8)</f>
        <v>0.38094321232572803</v>
      </c>
      <c r="C8" s="26"/>
      <c r="D8" s="176"/>
      <c r="E8" s="17">
        <f>'Balance Sheet'!B11/'Balance Sheet'!B8</f>
        <v>0</v>
      </c>
      <c r="F8" s="17">
        <f ca="1">'Balance Sheet'!C11/'Balance Sheet'!C8</f>
        <v>0.13513877599477545</v>
      </c>
      <c r="G8" s="17">
        <f ca="1">'Balance Sheet'!D11/'Balance Sheet'!D8</f>
        <v>0.24094185708965335</v>
      </c>
      <c r="H8" s="17">
        <f ca="1">'Balance Sheet'!E11/'Balance Sheet'!E8</f>
        <v>0.30513548472209351</v>
      </c>
      <c r="I8" s="17">
        <f ca="1">'Balance Sheet'!F11/'Balance Sheet'!F8</f>
        <v>0.3406138206234563</v>
      </c>
      <c r="J8" s="17">
        <f ca="1">'Balance Sheet'!G11/'Balance Sheet'!G8</f>
        <v>0.36157479472910864</v>
      </c>
      <c r="K8" s="17">
        <f ca="1">'Balance Sheet'!H11/'Balance Sheet'!H8</f>
        <v>0.37205303655900213</v>
      </c>
      <c r="L8" s="17">
        <f ca="1">'Balance Sheet'!I11/'Balance Sheet'!I8</f>
        <v>0.37834112665909414</v>
      </c>
      <c r="M8" s="17">
        <f ca="1">'Balance Sheet'!J11/'Balance Sheet'!J8</f>
        <v>0.38038572178036201</v>
      </c>
      <c r="N8" s="17">
        <f ca="1">'Balance Sheet'!K11/'Balance Sheet'!K8</f>
        <v>0.38094321232572803</v>
      </c>
      <c r="O8" s="17">
        <f ca="1">'Balance Sheet'!L11/'Balance Sheet'!L8</f>
        <v>0.37995952368401714</v>
      </c>
      <c r="P8" s="17">
        <f ca="1">'Balance Sheet'!M11/'Balance Sheet'!M8</f>
        <v>0.37881747799781718</v>
      </c>
      <c r="Q8" s="17">
        <f ca="1">'Balance Sheet'!N11/'Balance Sheet'!N8</f>
        <v>0.37744823841180153</v>
      </c>
      <c r="R8" s="17">
        <f ca="1">'Balance Sheet'!O11/'Balance Sheet'!O8</f>
        <v>0.37578655590476395</v>
      </c>
      <c r="S8" s="17">
        <f ca="1">'Balance Sheet'!P11/'Balance Sheet'!P8</f>
        <v>0.37377011375271046</v>
      </c>
      <c r="T8" s="17">
        <f ca="1">'Balance Sheet'!Q11/'Balance Sheet'!Q8</f>
        <v>0.37133897995598586</v>
      </c>
      <c r="U8" s="17">
        <f ca="1">'Balance Sheet'!R11/'Balance Sheet'!R8</f>
        <v>0.36843514694766788</v>
      </c>
      <c r="V8" s="17">
        <f ca="1">'Balance Sheet'!S11/'Balance Sheet'!S8</f>
        <v>0.36500214229830302</v>
      </c>
      <c r="W8" s="17">
        <f ca="1">'Balance Sheet'!T11/'Balance Sheet'!T8</f>
        <v>0.36098469750472978</v>
      </c>
      <c r="X8" s="17">
        <f ca="1">'Balance Sheet'!U11/'Balance Sheet'!U8</f>
        <v>0.3563284645570623</v>
      </c>
      <c r="Y8" s="17">
        <f ca="1">'Balance Sheet'!V11/'Balance Sheet'!V8</f>
        <v>0.35245838534918089</v>
      </c>
      <c r="Z8" s="17">
        <f ca="1">'Balance Sheet'!W11/'Balance Sheet'!W8</f>
        <v>0.34931421632581389</v>
      </c>
      <c r="AA8" s="17">
        <f ca="1">'Balance Sheet'!X11/'Balance Sheet'!X8</f>
        <v>0.3468405586590943</v>
      </c>
      <c r="AB8" s="17">
        <f ca="1">'Balance Sheet'!Y11/'Balance Sheet'!Y8</f>
        <v>0.34498628218007776</v>
      </c>
      <c r="AC8" s="17">
        <f ca="1">'Balance Sheet'!Z11/'Balance Sheet'!Z8</f>
        <v>0.34370402676219136</v>
      </c>
      <c r="AD8" s="17">
        <f ca="1">'Balance Sheet'!AA11/'Balance Sheet'!AA8</f>
        <v>0.34294976927311238</v>
      </c>
      <c r="AE8" s="17">
        <f ca="1">'Balance Sheet'!AB11/'Balance Sheet'!AB8</f>
        <v>0.34268244625092292</v>
      </c>
      <c r="AF8" s="17">
        <f ca="1">'Balance Sheet'!AC11/'Balance Sheet'!AC8</f>
        <v>0.34431961658102883</v>
      </c>
      <c r="AG8" s="17">
        <f ca="1">'Balance Sheet'!AD11/'Balance Sheet'!AD8</f>
        <v>0.34895650844134746</v>
      </c>
      <c r="AH8" s="17">
        <f ca="1">'Balance Sheet'!AE11/'Balance Sheet'!AE8</f>
        <v>0.35650492020585001</v>
      </c>
      <c r="AI8" s="29"/>
    </row>
    <row r="9" spans="1:35" ht="21.5" thickBot="1" x14ac:dyDescent="0.55000000000000004">
      <c r="A9" s="20" t="s">
        <v>32</v>
      </c>
      <c r="B9" s="21">
        <f ca="1">MIN('Price and Financial ratios'!E9:AH9)</f>
        <v>-6.015007228643678</v>
      </c>
      <c r="C9" s="21"/>
      <c r="D9" s="177"/>
      <c r="E9" s="21">
        <f ca="1">('Cash Flow'!C7+'Profit and Loss'!C8)/('Profit and Loss'!C8)</f>
        <v>-6.015007228643678</v>
      </c>
      <c r="F9" s="21">
        <f ca="1">('Cash Flow'!D7+'Profit and Loss'!D8)/('Profit and Loss'!D8)</f>
        <v>-0.61095534486088643</v>
      </c>
      <c r="G9" s="21">
        <f ca="1">('Cash Flow'!E7+'Profit and Loss'!E8)/('Profit and Loss'!E8)</f>
        <v>2.9354279449607743</v>
      </c>
      <c r="H9" s="21">
        <f ca="1">('Cash Flow'!F7+'Profit and Loss'!F8)/('Profit and Loss'!F8)</f>
        <v>4.7655779746921247</v>
      </c>
      <c r="I9" s="21">
        <f ca="1">('Cash Flow'!G7+'Profit and Loss'!G8)/('Profit and Loss'!G8)</f>
        <v>5.4894990830785746</v>
      </c>
      <c r="J9" s="21">
        <f ca="1">('Cash Flow'!H7+'Profit and Loss'!H8)/('Profit and Loss'!H8)</f>
        <v>6.0440366689996496</v>
      </c>
      <c r="K9" s="21">
        <f ca="1">('Cash Flow'!I7+'Profit and Loss'!I8)/('Profit and Loss'!I8)</f>
        <v>6.2066825465990352</v>
      </c>
      <c r="L9" s="21">
        <f ca="1">('Cash Flow'!J7+'Profit and Loss'!J8)/('Profit and Loss'!J8)</f>
        <v>6.4513347043693914</v>
      </c>
      <c r="M9" s="21">
        <f ca="1">('Cash Flow'!K7+'Profit and Loss'!K8)/('Profit and Loss'!K8)</f>
        <v>6.5307752210526324</v>
      </c>
      <c r="N9" s="21">
        <f ca="1">('Cash Flow'!L7+'Profit and Loss'!L8)/('Profit and Loss'!L8)</f>
        <v>6.6469759299703579</v>
      </c>
      <c r="O9" s="21">
        <f ca="1">('Cash Flow'!M7+'Profit and Loss'!M8)/('Profit and Loss'!M8)</f>
        <v>6.6715643782520768</v>
      </c>
      <c r="P9" s="21">
        <f ca="1">('Cash Flow'!N7+'Profit and Loss'!N8)/('Profit and Loss'!N8)</f>
        <v>6.708994352137319</v>
      </c>
      <c r="Q9" s="21">
        <f ca="1">('Cash Flow'!O7+'Profit and Loss'!O8)/('Profit and Loss'!O8)</f>
        <v>6.7601349583782682</v>
      </c>
      <c r="R9" s="21">
        <f ca="1">('Cash Flow'!P7+'Profit and Loss'!P8)/('Profit and Loss'!P8)</f>
        <v>6.825976828793995</v>
      </c>
      <c r="S9" s="21">
        <f ca="1">('Cash Flow'!Q7+'Profit and Loss'!Q8)/('Profit and Loss'!Q8)</f>
        <v>6.907666411779287</v>
      </c>
      <c r="T9" s="21">
        <f ca="1">('Cash Flow'!R7+'Profit and Loss'!R8)/('Profit and Loss'!R8)</f>
        <v>7.0065460749871784</v>
      </c>
      <c r="U9" s="21">
        <f ca="1">('Cash Flow'!S7+'Profit and Loss'!S8)/('Profit and Loss'!S8)</f>
        <v>7.1242022429131389</v>
      </c>
      <c r="V9" s="21">
        <f ca="1">('Cash Flow'!T7+'Profit and Loss'!T8)/('Profit and Loss'!T8)</f>
        <v>7.2625245113453074</v>
      </c>
      <c r="W9" s="21">
        <f ca="1">('Cash Flow'!U7+'Profit and Loss'!U8)/('Profit and Loss'!U8)</f>
        <v>7.4237797049088545</v>
      </c>
      <c r="X9" s="21">
        <f ca="1">('Cash Flow'!V7+'Profit and Loss'!V8)/('Profit and Loss'!V8)</f>
        <v>7.4631122371988088</v>
      </c>
      <c r="Y9" s="21">
        <f ca="1">('Cash Flow'!W7+'Profit and Loss'!W8)/('Profit and Loss'!W8)</f>
        <v>7.4937116178759924</v>
      </c>
      <c r="Z9" s="21">
        <f ca="1">('Cash Flow'!X7+'Profit and Loss'!X8)/('Profit and Loss'!X8)</f>
        <v>7.5159972988349777</v>
      </c>
      <c r="AA9" s="21">
        <f ca="1">('Cash Flow'!Y7+'Profit and Loss'!Y8)/('Profit and Loss'!Y8)</f>
        <v>7.5304562152909913</v>
      </c>
      <c r="AB9" s="21">
        <f ca="1">('Cash Flow'!Z7+'Profit and Loss'!Z8)/('Profit and Loss'!Z8)</f>
        <v>7.5376299344102078</v>
      </c>
      <c r="AC9" s="21">
        <f ca="1">('Cash Flow'!AA7+'Profit and Loss'!AA8)/('Profit and Loss'!AA8)</f>
        <v>7.5381017951356011</v>
      </c>
      <c r="AD9" s="21">
        <f ca="1">('Cash Flow'!AB7+'Profit and Loss'!AB8)/('Profit and Loss'!AB8)</f>
        <v>7.5324844719329302</v>
      </c>
      <c r="AE9" s="21">
        <f ca="1">('Cash Flow'!AC7+'Profit and Loss'!AC8)/('Profit and Loss'!AC8)</f>
        <v>7.3730144887652722</v>
      </c>
      <c r="AF9" s="21">
        <f ca="1">('Cash Flow'!AD7+'Profit and Loss'!AD8)/('Profit and Loss'!AD8)</f>
        <v>7.0672872680837235</v>
      </c>
      <c r="AG9" s="21">
        <f ca="1">('Cash Flow'!AE7+'Profit and Loss'!AE8)/('Profit and Loss'!AE8)</f>
        <v>6.7216572432040262</v>
      </c>
      <c r="AH9" s="21">
        <f ca="1">('Cash Flow'!AF7+'Profit and Loss'!AF8)/('Profit and Loss'!AF8)</f>
        <v>6.3477897419300451</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252587.39819463476</v>
      </c>
      <c r="D5" s="1">
        <f>Assumptions!E111</f>
        <v>252587.39819463476</v>
      </c>
      <c r="E5" s="1">
        <f>Assumptions!F111</f>
        <v>252587.39819463476</v>
      </c>
      <c r="F5" s="1">
        <f>Assumptions!G111</f>
        <v>252587.39819463476</v>
      </c>
      <c r="G5" s="1">
        <f>Assumptions!H111</f>
        <v>252587.39819463476</v>
      </c>
      <c r="H5" s="1">
        <f>Assumptions!I111</f>
        <v>252587.39819463476</v>
      </c>
      <c r="I5" s="1">
        <f>Assumptions!J111</f>
        <v>252587.39819463476</v>
      </c>
      <c r="J5" s="1">
        <f>Assumptions!K111</f>
        <v>252587.39819463476</v>
      </c>
      <c r="K5" s="1">
        <f>Assumptions!L111</f>
        <v>252587.39819463476</v>
      </c>
      <c r="L5" s="1">
        <f>Assumptions!M111</f>
        <v>252587.39819463476</v>
      </c>
      <c r="M5" s="1">
        <f>Assumptions!N111</f>
        <v>252587.39819463476</v>
      </c>
      <c r="N5" s="1">
        <f>Assumptions!O111</f>
        <v>252587.39819463476</v>
      </c>
      <c r="O5" s="1">
        <f>Assumptions!P111</f>
        <v>252587.39819463476</v>
      </c>
      <c r="P5" s="1">
        <f>Assumptions!Q111</f>
        <v>252587.39819463476</v>
      </c>
      <c r="Q5" s="1">
        <f>Assumptions!R111</f>
        <v>252587.39819463476</v>
      </c>
      <c r="R5" s="1">
        <f>Assumptions!S111</f>
        <v>252587.39819463476</v>
      </c>
      <c r="S5" s="1">
        <f>Assumptions!T111</f>
        <v>252587.39819463476</v>
      </c>
      <c r="T5" s="1">
        <f>Assumptions!U111</f>
        <v>252587.39819463476</v>
      </c>
      <c r="U5" s="1">
        <f>Assumptions!V111</f>
        <v>252587.39819463476</v>
      </c>
      <c r="V5" s="1">
        <f>Assumptions!W111</f>
        <v>252587.39819463476</v>
      </c>
      <c r="W5" s="1">
        <f>Assumptions!X111</f>
        <v>252587.39819463476</v>
      </c>
      <c r="X5" s="1">
        <f>Assumptions!Y111</f>
        <v>252587.39819463476</v>
      </c>
      <c r="Y5" s="1">
        <f>Assumptions!Z111</f>
        <v>252587.39819463476</v>
      </c>
      <c r="Z5" s="1">
        <f>Assumptions!AA111</f>
        <v>252587.39819463476</v>
      </c>
      <c r="AA5" s="1">
        <f>Assumptions!AB111</f>
        <v>252587.39819463476</v>
      </c>
      <c r="AB5" s="1">
        <f>Assumptions!AC111</f>
        <v>252587.39819463476</v>
      </c>
      <c r="AC5" s="1">
        <f>Assumptions!AD111</f>
        <v>252587.39819463476</v>
      </c>
      <c r="AD5" s="1">
        <f>Assumptions!AE111</f>
        <v>252587.39819463476</v>
      </c>
      <c r="AE5" s="1">
        <f>Assumptions!AF111</f>
        <v>252587.39819463476</v>
      </c>
      <c r="AF5" s="1">
        <f>Assumptions!AG111</f>
        <v>252587.39819463476</v>
      </c>
    </row>
    <row r="6" spans="1:32" x14ac:dyDescent="0.35">
      <c r="A6" t="s">
        <v>68</v>
      </c>
      <c r="C6" s="1">
        <f>Assumptions!D113</f>
        <v>466666.66666666669</v>
      </c>
      <c r="D6" s="1">
        <f>Assumptions!E113</f>
        <v>466666.66666666669</v>
      </c>
      <c r="E6" s="1">
        <f>Assumptions!F113</f>
        <v>466666.66666666669</v>
      </c>
      <c r="F6" s="1">
        <f>Assumptions!G113</f>
        <v>466666.66666666669</v>
      </c>
      <c r="G6" s="1">
        <f>Assumptions!H113</f>
        <v>466666.66666666669</v>
      </c>
      <c r="H6" s="1">
        <f>Assumptions!I113</f>
        <v>466666.66666666669</v>
      </c>
      <c r="I6" s="1">
        <f>Assumptions!J113</f>
        <v>466666.66666666669</v>
      </c>
      <c r="J6" s="1">
        <f>Assumptions!K113</f>
        <v>466666.66666666669</v>
      </c>
      <c r="K6" s="1">
        <f>Assumptions!L113</f>
        <v>466666.66666666669</v>
      </c>
      <c r="L6" s="1">
        <f>Assumptions!M113</f>
        <v>466666.66666666669</v>
      </c>
      <c r="M6" s="1">
        <f>Assumptions!N113</f>
        <v>466666.66666666669</v>
      </c>
      <c r="N6" s="1">
        <f>Assumptions!O113</f>
        <v>466666.66666666669</v>
      </c>
      <c r="O6" s="1">
        <f>Assumptions!P113</f>
        <v>466666.66666666669</v>
      </c>
      <c r="P6" s="1">
        <f>Assumptions!Q113</f>
        <v>466666.66666666669</v>
      </c>
      <c r="Q6" s="1">
        <f>Assumptions!R113</f>
        <v>466666.66666666669</v>
      </c>
      <c r="R6" s="1">
        <f>Assumptions!S113</f>
        <v>466666.66666666669</v>
      </c>
      <c r="S6" s="1">
        <f>Assumptions!T113</f>
        <v>466666.66666666669</v>
      </c>
      <c r="T6" s="1">
        <f>Assumptions!U113</f>
        <v>466666.66666666669</v>
      </c>
      <c r="U6" s="1">
        <f>Assumptions!V113</f>
        <v>466666.66666666669</v>
      </c>
      <c r="V6" s="1">
        <f>Assumptions!W113</f>
        <v>466666.66666666669</v>
      </c>
      <c r="W6" s="1">
        <f>Assumptions!X113</f>
        <v>466666.66666666669</v>
      </c>
      <c r="X6" s="1">
        <f>Assumptions!Y113</f>
        <v>466666.66666666669</v>
      </c>
      <c r="Y6" s="1">
        <f>Assumptions!Z113</f>
        <v>466666.66666666669</v>
      </c>
      <c r="Z6" s="1">
        <f>Assumptions!AA113</f>
        <v>466666.66666666669</v>
      </c>
      <c r="AA6" s="1">
        <f>Assumptions!AB113</f>
        <v>466666.66666666669</v>
      </c>
      <c r="AB6" s="1">
        <f>Assumptions!AC113</f>
        <v>466666.66666666669</v>
      </c>
      <c r="AC6" s="1">
        <f>Assumptions!AD113</f>
        <v>466666.66666666669</v>
      </c>
      <c r="AD6" s="1">
        <f>Assumptions!AE113</f>
        <v>466666.66666666669</v>
      </c>
      <c r="AE6" s="1">
        <f>Assumptions!AF113</f>
        <v>466666.66666666669</v>
      </c>
      <c r="AF6" s="1">
        <f>Assumptions!AG113</f>
        <v>466666.66666666669</v>
      </c>
    </row>
    <row r="7" spans="1:32" x14ac:dyDescent="0.35">
      <c r="A7" t="s">
        <v>73</v>
      </c>
      <c r="C7" s="1">
        <f>Assumptions!D120</f>
        <v>11200</v>
      </c>
      <c r="D7" s="1">
        <f>Assumptions!E120</f>
        <v>22400</v>
      </c>
      <c r="E7" s="1">
        <f>Assumptions!F120</f>
        <v>33600</v>
      </c>
      <c r="F7" s="1">
        <f>Assumptions!G120</f>
        <v>44800</v>
      </c>
      <c r="G7" s="1">
        <f>Assumptions!H120</f>
        <v>56000</v>
      </c>
      <c r="H7" s="1">
        <f>Assumptions!I120</f>
        <v>67200</v>
      </c>
      <c r="I7" s="1">
        <f>Assumptions!J120</f>
        <v>78400</v>
      </c>
      <c r="J7" s="1">
        <f>Assumptions!K120</f>
        <v>89599.999999999985</v>
      </c>
      <c r="K7" s="1">
        <f>Assumptions!L120</f>
        <v>100800</v>
      </c>
      <c r="L7" s="1">
        <f>Assumptions!M120</f>
        <v>112000</v>
      </c>
      <c r="M7" s="1">
        <f>Assumptions!N120</f>
        <v>123200.00000000003</v>
      </c>
      <c r="N7" s="1">
        <f>Assumptions!O120</f>
        <v>134400.00000000003</v>
      </c>
      <c r="O7" s="1">
        <f>Assumptions!P120</f>
        <v>145600.00000000003</v>
      </c>
      <c r="P7" s="1">
        <f>Assumptions!Q120</f>
        <v>156800.00000000003</v>
      </c>
      <c r="Q7" s="1">
        <f>Assumptions!R120</f>
        <v>168000.00000000003</v>
      </c>
      <c r="R7" s="1">
        <f>Assumptions!S120</f>
        <v>179200.00000000006</v>
      </c>
      <c r="S7" s="1">
        <f>Assumptions!T120</f>
        <v>190400.00000000003</v>
      </c>
      <c r="T7" s="1">
        <f>Assumptions!U120</f>
        <v>201600.00000000003</v>
      </c>
      <c r="U7" s="1">
        <f>Assumptions!V120</f>
        <v>212800.00000000006</v>
      </c>
      <c r="V7" s="1">
        <f>Assumptions!W120</f>
        <v>224000</v>
      </c>
      <c r="W7" s="1">
        <f>Assumptions!X120</f>
        <v>235200</v>
      </c>
      <c r="X7" s="1">
        <f>Assumptions!Y120</f>
        <v>246399.99999999997</v>
      </c>
      <c r="Y7" s="1">
        <f>Assumptions!Z120</f>
        <v>257599.99999999994</v>
      </c>
      <c r="Z7" s="1">
        <f>Assumptions!AA120</f>
        <v>268799.99999999994</v>
      </c>
      <c r="AA7" s="1">
        <f>Assumptions!AB120</f>
        <v>279999.99999999994</v>
      </c>
      <c r="AB7" s="1">
        <f>Assumptions!AC120</f>
        <v>291199.99999999994</v>
      </c>
      <c r="AC7" s="1">
        <f>Assumptions!AD120</f>
        <v>302399.99999999988</v>
      </c>
      <c r="AD7" s="1">
        <f>Assumptions!AE120</f>
        <v>313599.99999999988</v>
      </c>
      <c r="AE7" s="1">
        <f>Assumptions!AF120</f>
        <v>324799.99999999988</v>
      </c>
      <c r="AF7" s="1">
        <f>Assumptions!AG120</f>
        <v>335999.99999999988</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260670.19493686309</v>
      </c>
      <c r="D11" s="1">
        <f>D5*D$9</f>
        <v>269011.64117484266</v>
      </c>
      <c r="E11" s="1">
        <f t="shared" ref="D11:AF13" si="1">E5*E$9</f>
        <v>277620.01369243761</v>
      </c>
      <c r="F11" s="1">
        <f t="shared" si="1"/>
        <v>286503.85413059563</v>
      </c>
      <c r="G11" s="1">
        <f t="shared" si="1"/>
        <v>295671.97746277472</v>
      </c>
      <c r="H11" s="1">
        <f t="shared" si="1"/>
        <v>305133.48074158351</v>
      </c>
      <c r="I11" s="1">
        <f t="shared" si="1"/>
        <v>314897.75212531415</v>
      </c>
      <c r="J11" s="1">
        <f t="shared" si="1"/>
        <v>324974.48019332421</v>
      </c>
      <c r="K11" s="1">
        <f t="shared" si="1"/>
        <v>335373.66355951061</v>
      </c>
      <c r="L11" s="1">
        <f t="shared" si="1"/>
        <v>346105.62079341494</v>
      </c>
      <c r="M11" s="1">
        <f t="shared" si="1"/>
        <v>357181.0006588042</v>
      </c>
      <c r="N11" s="1">
        <f t="shared" si="1"/>
        <v>368610.79267988593</v>
      </c>
      <c r="O11" s="1">
        <f t="shared" si="1"/>
        <v>380406.3380456423</v>
      </c>
      <c r="P11" s="1">
        <f t="shared" si="1"/>
        <v>392579.34086310281</v>
      </c>
      <c r="Q11" s="1">
        <f t="shared" si="1"/>
        <v>405141.87977072201</v>
      </c>
      <c r="R11" s="1">
        <f t="shared" si="1"/>
        <v>418106.41992338526</v>
      </c>
      <c r="S11" s="1">
        <f t="shared" si="1"/>
        <v>431485.82536093361</v>
      </c>
      <c r="T11" s="1">
        <f t="shared" si="1"/>
        <v>445293.3717724834</v>
      </c>
      <c r="U11" s="1">
        <f t="shared" si="1"/>
        <v>459542.75966920285</v>
      </c>
      <c r="V11" s="1">
        <f t="shared" si="1"/>
        <v>474248.12797861738</v>
      </c>
      <c r="W11" s="1">
        <f t="shared" si="1"/>
        <v>489424.06807393319</v>
      </c>
      <c r="X11" s="1">
        <f t="shared" si="1"/>
        <v>505085.63825229899</v>
      </c>
      <c r="Y11" s="1">
        <f t="shared" si="1"/>
        <v>521248.37867637246</v>
      </c>
      <c r="Z11" s="1">
        <f t="shared" si="1"/>
        <v>537928.32679401641</v>
      </c>
      <c r="AA11" s="1">
        <f t="shared" si="1"/>
        <v>555142.03325142513</v>
      </c>
      <c r="AB11" s="1">
        <f t="shared" si="1"/>
        <v>572906.5783154706</v>
      </c>
      <c r="AC11" s="1">
        <f t="shared" si="1"/>
        <v>591239.58882156562</v>
      </c>
      <c r="AD11" s="1">
        <f t="shared" si="1"/>
        <v>610159.25566385582</v>
      </c>
      <c r="AE11" s="1">
        <f t="shared" si="1"/>
        <v>629684.35184509913</v>
      </c>
      <c r="AF11" s="1">
        <f t="shared" si="1"/>
        <v>649834.25110414217</v>
      </c>
    </row>
    <row r="12" spans="1:32" x14ac:dyDescent="0.35">
      <c r="A12" t="s">
        <v>71</v>
      </c>
      <c r="C12" s="1">
        <f t="shared" ref="C12:R12" si="2">C6*C$9</f>
        <v>481600.00000000006</v>
      </c>
      <c r="D12" s="1">
        <f t="shared" si="2"/>
        <v>497011.20000000001</v>
      </c>
      <c r="E12" s="1">
        <f t="shared" si="2"/>
        <v>512915.55839999998</v>
      </c>
      <c r="F12" s="1">
        <f t="shared" si="2"/>
        <v>529328.85626879998</v>
      </c>
      <c r="G12" s="1">
        <f t="shared" si="2"/>
        <v>546267.37966940168</v>
      </c>
      <c r="H12" s="1">
        <f t="shared" si="2"/>
        <v>563747.93581882236</v>
      </c>
      <c r="I12" s="1">
        <f t="shared" si="2"/>
        <v>581787.86976502463</v>
      </c>
      <c r="J12" s="1">
        <f t="shared" si="2"/>
        <v>600405.08159750549</v>
      </c>
      <c r="K12" s="1">
        <f t="shared" si="2"/>
        <v>619618.0442086258</v>
      </c>
      <c r="L12" s="1">
        <f t="shared" si="2"/>
        <v>639445.82162330172</v>
      </c>
      <c r="M12" s="1">
        <f t="shared" si="2"/>
        <v>659908.08791524731</v>
      </c>
      <c r="N12" s="1">
        <f t="shared" si="2"/>
        <v>681025.1467285353</v>
      </c>
      <c r="O12" s="1">
        <f t="shared" si="2"/>
        <v>702817.95142384851</v>
      </c>
      <c r="P12" s="1">
        <f t="shared" si="2"/>
        <v>725308.12586941151</v>
      </c>
      <c r="Q12" s="1">
        <f t="shared" si="2"/>
        <v>748517.98589723255</v>
      </c>
      <c r="R12" s="1">
        <f t="shared" si="2"/>
        <v>772470.56144594413</v>
      </c>
      <c r="S12" s="1">
        <f t="shared" si="1"/>
        <v>797189.6194122145</v>
      </c>
      <c r="T12" s="1">
        <f t="shared" si="1"/>
        <v>822699.68723340519</v>
      </c>
      <c r="U12" s="1">
        <f t="shared" si="1"/>
        <v>849026.07722487405</v>
      </c>
      <c r="V12" s="1">
        <f t="shared" si="1"/>
        <v>876194.91169607011</v>
      </c>
      <c r="W12" s="1">
        <f t="shared" si="1"/>
        <v>904233.14887034451</v>
      </c>
      <c r="X12" s="1">
        <f t="shared" si="1"/>
        <v>933168.60963419545</v>
      </c>
      <c r="Y12" s="1">
        <f t="shared" si="1"/>
        <v>963030.00514248945</v>
      </c>
      <c r="Z12" s="1">
        <f t="shared" si="1"/>
        <v>993846.96530704922</v>
      </c>
      <c r="AA12" s="1">
        <f t="shared" si="1"/>
        <v>1025650.068196875</v>
      </c>
      <c r="AB12" s="1">
        <f t="shared" si="1"/>
        <v>1058470.8703791748</v>
      </c>
      <c r="AC12" s="1">
        <f t="shared" si="1"/>
        <v>1092341.9382313082</v>
      </c>
      <c r="AD12" s="1">
        <f t="shared" si="1"/>
        <v>1127296.8802547103</v>
      </c>
      <c r="AE12" s="1">
        <f t="shared" si="1"/>
        <v>1163370.3804228611</v>
      </c>
      <c r="AF12" s="1">
        <f t="shared" si="1"/>
        <v>1200598.2325963925</v>
      </c>
    </row>
    <row r="13" spans="1:32" x14ac:dyDescent="0.35">
      <c r="A13" t="s">
        <v>74</v>
      </c>
      <c r="C13" s="1">
        <f>C7*C$9</f>
        <v>11558.4</v>
      </c>
      <c r="D13" s="1">
        <f t="shared" si="1"/>
        <v>23856.5376</v>
      </c>
      <c r="E13" s="1">
        <f t="shared" si="1"/>
        <v>36929.920204799993</v>
      </c>
      <c r="F13" s="1">
        <f t="shared" si="1"/>
        <v>50815.570201804796</v>
      </c>
      <c r="G13" s="1">
        <f t="shared" si="1"/>
        <v>65552.085560328196</v>
      </c>
      <c r="H13" s="1">
        <f t="shared" si="1"/>
        <v>81179.702757910418</v>
      </c>
      <c r="I13" s="1">
        <f t="shared" si="1"/>
        <v>97740.362120524136</v>
      </c>
      <c r="J13" s="1">
        <f t="shared" si="1"/>
        <v>115277.77566672103</v>
      </c>
      <c r="K13" s="1">
        <f t="shared" si="1"/>
        <v>133837.49754906315</v>
      </c>
      <c r="L13" s="1">
        <f t="shared" si="1"/>
        <v>153466.9971895924</v>
      </c>
      <c r="M13" s="1">
        <f t="shared" si="1"/>
        <v>174215.73520962533</v>
      </c>
      <c r="N13" s="1">
        <f t="shared" si="1"/>
        <v>196135.2422578182</v>
      </c>
      <c r="O13" s="1">
        <f t="shared" si="1"/>
        <v>219279.20084424075</v>
      </c>
      <c r="P13" s="1">
        <f t="shared" si="1"/>
        <v>243703.5302921223</v>
      </c>
      <c r="Q13" s="1">
        <f t="shared" si="1"/>
        <v>269466.47492300376</v>
      </c>
      <c r="R13" s="1">
        <f t="shared" si="1"/>
        <v>296628.69559524267</v>
      </c>
      <c r="S13" s="1">
        <f t="shared" si="1"/>
        <v>325253.36472018354</v>
      </c>
      <c r="T13" s="1">
        <f t="shared" si="1"/>
        <v>355406.26488483109</v>
      </c>
      <c r="U13" s="1">
        <f t="shared" si="1"/>
        <v>387155.89121454267</v>
      </c>
      <c r="V13" s="1">
        <f t="shared" si="1"/>
        <v>420573.55761411367</v>
      </c>
      <c r="W13" s="1">
        <f t="shared" si="1"/>
        <v>455733.50703065359</v>
      </c>
      <c r="X13" s="1">
        <f t="shared" si="1"/>
        <v>492713.02588685509</v>
      </c>
      <c r="Y13" s="1">
        <f t="shared" si="1"/>
        <v>531592.56283865403</v>
      </c>
      <c r="Z13" s="1">
        <f t="shared" si="1"/>
        <v>572455.85201686015</v>
      </c>
      <c r="AA13" s="1">
        <f t="shared" si="1"/>
        <v>615390.04091812484</v>
      </c>
      <c r="AB13" s="1">
        <f t="shared" si="1"/>
        <v>660485.82311660494</v>
      </c>
      <c r="AC13" s="1">
        <f t="shared" si="1"/>
        <v>707837.57597388746</v>
      </c>
      <c r="AD13" s="1">
        <f t="shared" si="1"/>
        <v>757543.50353116507</v>
      </c>
      <c r="AE13" s="1">
        <f t="shared" si="1"/>
        <v>809705.784774311</v>
      </c>
      <c r="AF13" s="1">
        <f t="shared" si="1"/>
        <v>864430.72746940225</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753828.59493686317</v>
      </c>
      <c r="D25" s="40">
        <f>SUM(D11:D13,D18:D23)</f>
        <v>789879.37877484271</v>
      </c>
      <c r="E25" s="40">
        <f t="shared" ref="E25:AF25" si="7">SUM(E11:E13,E18:E23)</f>
        <v>827465.49229723762</v>
      </c>
      <c r="F25" s="40">
        <f t="shared" si="7"/>
        <v>866648.2806012003</v>
      </c>
      <c r="G25" s="40">
        <f t="shared" si="7"/>
        <v>907491.44269250461</v>
      </c>
      <c r="H25" s="40">
        <f t="shared" si="7"/>
        <v>950061.11931831622</v>
      </c>
      <c r="I25" s="40">
        <f t="shared" si="7"/>
        <v>994425.984010863</v>
      </c>
      <c r="J25" s="40">
        <f t="shared" si="7"/>
        <v>1040657.3374575508</v>
      </c>
      <c r="K25" s="40">
        <f t="shared" si="7"/>
        <v>1088829.2053171995</v>
      </c>
      <c r="L25" s="40">
        <f t="shared" si="7"/>
        <v>1139018.4396063089</v>
      </c>
      <c r="M25" s="40">
        <f t="shared" si="7"/>
        <v>1191304.8237836768</v>
      </c>
      <c r="N25" s="40">
        <f t="shared" si="7"/>
        <v>1245771.1816662394</v>
      </c>
      <c r="O25" s="40">
        <f t="shared" si="7"/>
        <v>1302503.4903137316</v>
      </c>
      <c r="P25" s="40">
        <f t="shared" si="7"/>
        <v>1361590.9970246367</v>
      </c>
      <c r="Q25" s="40">
        <f t="shared" si="7"/>
        <v>1423126.3405909583</v>
      </c>
      <c r="R25" s="40">
        <f t="shared" si="7"/>
        <v>1487205.6769645722</v>
      </c>
      <c r="S25" s="40">
        <f t="shared" si="7"/>
        <v>1553928.8094933317</v>
      </c>
      <c r="T25" s="40">
        <f t="shared" si="7"/>
        <v>1623399.3238907198</v>
      </c>
      <c r="U25" s="40">
        <f t="shared" si="7"/>
        <v>1695724.7281086193</v>
      </c>
      <c r="V25" s="40">
        <f t="shared" si="7"/>
        <v>1771016.5972888011</v>
      </c>
      <c r="W25" s="40">
        <f t="shared" si="7"/>
        <v>1849390.7239749313</v>
      </c>
      <c r="X25" s="40">
        <f t="shared" si="7"/>
        <v>1930967.2737733496</v>
      </c>
      <c r="Y25" s="40">
        <f t="shared" si="7"/>
        <v>2015870.9466575161</v>
      </c>
      <c r="Z25" s="40">
        <f t="shared" si="7"/>
        <v>2104231.1441179258</v>
      </c>
      <c r="AA25" s="40">
        <f t="shared" si="7"/>
        <v>2196182.1423664251</v>
      </c>
      <c r="AB25" s="40">
        <f t="shared" si="7"/>
        <v>2291863.2718112506</v>
      </c>
      <c r="AC25" s="40">
        <f t="shared" si="7"/>
        <v>2391419.1030267612</v>
      </c>
      <c r="AD25" s="40">
        <f t="shared" si="7"/>
        <v>2494999.639449731</v>
      </c>
      <c r="AE25" s="40">
        <f t="shared" si="7"/>
        <v>2602760.5170422713</v>
      </c>
      <c r="AF25" s="40">
        <f t="shared" si="7"/>
        <v>2714863.2111699372</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243000</v>
      </c>
      <c r="D5" s="59">
        <f>C5*('Price and Financial ratios'!F4+1)*(1+Assumptions!$C$13)</f>
        <v>437400</v>
      </c>
      <c r="E5" s="59">
        <f>D5*('Price and Financial ratios'!G4+1)*(1+Assumptions!$C$13)</f>
        <v>765450</v>
      </c>
      <c r="F5" s="59">
        <f>E5*('Price and Financial ratios'!H4+1)*(1+Assumptions!$C$13)</f>
        <v>1033357.5000000001</v>
      </c>
      <c r="G5" s="59">
        <f>F5*('Price and Financial ratios'!I4+1)*(1+Assumptions!$C$13)</f>
        <v>1209028.2750000001</v>
      </c>
      <c r="H5" s="59">
        <f>G5*('Price and Financial ratios'!J4+1)*(1+Assumptions!$C$13)</f>
        <v>1366201.9507500001</v>
      </c>
      <c r="I5" s="59">
        <f>H5*('Price and Financial ratios'!K4+1)*(1+Assumptions!$C$13)</f>
        <v>1475498.1068100003</v>
      </c>
      <c r="J5" s="59">
        <f>I5*('Price and Financial ratios'!L4+1)*(1+Assumptions!$C$13)</f>
        <v>1593537.9553548004</v>
      </c>
      <c r="K5" s="59">
        <f>J5*('Price and Financial ratios'!M4+1)*(1+Assumptions!$C$13)</f>
        <v>1689150.2326760886</v>
      </c>
      <c r="L5" s="59">
        <f>K5*('Price and Financial ratios'!N4+1)*(1+Assumptions!$C$13)</f>
        <v>1790499.246636654</v>
      </c>
      <c r="M5" s="59">
        <f>L5*('Price and Financial ratios'!O4+1)*(1+Assumptions!$C$13)</f>
        <v>1880024.2089684869</v>
      </c>
      <c r="N5" s="59">
        <f>M5*('Price and Financial ratios'!P4+1)*(1+Assumptions!$C$13)</f>
        <v>1974025.4194169112</v>
      </c>
      <c r="O5" s="59">
        <f>N5*('Price and Financial ratios'!Q4+1)*(1+Assumptions!$C$13)</f>
        <v>2072726.6903877568</v>
      </c>
      <c r="P5" s="59">
        <f>O5*('Price and Financial ratios'!R4+1)*(1+Assumptions!$C$13)</f>
        <v>2176363.0249071447</v>
      </c>
      <c r="Q5" s="59">
        <f>P5*('Price and Financial ratios'!S4+1)*(1+Assumptions!$C$13)</f>
        <v>2285181.1761525022</v>
      </c>
      <c r="R5" s="59">
        <f>Q5*('Price and Financial ratios'!T4+1)*(1+Assumptions!$C$13)</f>
        <v>2399440.2349601276</v>
      </c>
      <c r="S5" s="59">
        <f>R5*('Price and Financial ratios'!U4+1)*(1+Assumptions!$C$13)</f>
        <v>2519412.2467081342</v>
      </c>
      <c r="T5" s="59">
        <f>S5*('Price and Financial ratios'!V4+1)*(1+Assumptions!$C$13)</f>
        <v>2645382.8590435409</v>
      </c>
      <c r="U5" s="59">
        <f>T5*('Price and Financial ratios'!W4+1)*(1+Assumptions!$C$13)</f>
        <v>2777652.0019957181</v>
      </c>
      <c r="V5" s="59">
        <f>U5*('Price and Financial ratios'!X4+1)*(1+Assumptions!$C$13)</f>
        <v>2888758.082075547</v>
      </c>
      <c r="W5" s="59">
        <f>V5*('Price and Financial ratios'!Y4+1)*(1+Assumptions!$C$13)</f>
        <v>3004308.4053585688</v>
      </c>
      <c r="X5" s="59">
        <f>W5*('Price and Financial ratios'!Z4+1)*(1+Assumptions!$C$13)</f>
        <v>3124480.7415729119</v>
      </c>
      <c r="Y5" s="59">
        <f>X5*('Price and Financial ratios'!AA4+1)*(1+Assumptions!$C$13)</f>
        <v>3249459.9712358285</v>
      </c>
      <c r="Z5" s="59">
        <f>Y5*('Price and Financial ratios'!AB4+1)*(1+Assumptions!$C$13)</f>
        <v>3379438.3700852618</v>
      </c>
      <c r="AA5" s="59">
        <f>Z5*('Price and Financial ratios'!AC4+1)*(1+Assumptions!$C$13)</f>
        <v>3514615.9048886723</v>
      </c>
      <c r="AB5" s="59">
        <f>AA5*('Price and Financial ratios'!AD4+1)*(1+Assumptions!$C$13)</f>
        <v>3655200.5410842192</v>
      </c>
      <c r="AC5" s="59">
        <f>AB5*('Price and Financial ratios'!AE4+1)*(1+Assumptions!$C$13)</f>
        <v>3764856.5573167461</v>
      </c>
      <c r="AD5" s="59">
        <f>AC5*('Price and Financial ratios'!AF4+1)*(1+Assumptions!$C$13)</f>
        <v>3847683.4015777144</v>
      </c>
      <c r="AE5" s="59">
        <f>AD5*('Price and Financial ratios'!AG4+1)*(1+Assumptions!$C$13)</f>
        <v>3932332.4364124243</v>
      </c>
      <c r="AF5" s="59">
        <f>AE5*('Price and Financial ratios'!AH4+1)*(1+Assumptions!$C$13)</f>
        <v>4018843.7500134977</v>
      </c>
    </row>
    <row r="6" spans="1:32" s="11" customFormat="1" x14ac:dyDescent="0.35">
      <c r="A6" s="11" t="s">
        <v>20</v>
      </c>
      <c r="C6" s="59">
        <f>C27</f>
        <v>453344.95362660004</v>
      </c>
      <c r="D6" s="59">
        <f t="shared" ref="D6:AF6" si="1">D27</f>
        <v>477941.3186063852</v>
      </c>
      <c r="E6" s="59">
        <f>E27</f>
        <v>503400.50468772568</v>
      </c>
      <c r="F6" s="59">
        <f t="shared" si="1"/>
        <v>529748.57135843963</v>
      </c>
      <c r="G6" s="59">
        <f t="shared" si="1"/>
        <v>557012.30711839616</v>
      </c>
      <c r="H6" s="59">
        <f t="shared" si="1"/>
        <v>585219.2489432533</v>
      </c>
      <c r="I6" s="59">
        <f t="shared" si="1"/>
        <v>614397.70225175878</v>
      </c>
      <c r="J6" s="59">
        <f t="shared" si="1"/>
        <v>644576.76138935017</v>
      </c>
      <c r="K6" s="59">
        <f t="shared" si="1"/>
        <v>675786.33064110554</v>
      </c>
      <c r="L6" s="59">
        <f t="shared" si="1"/>
        <v>708057.14578742569</v>
      </c>
      <c r="M6" s="59">
        <f t="shared" si="1"/>
        <v>741420.79621615377</v>
      </c>
      <c r="N6" s="59">
        <f t="shared" si="1"/>
        <v>775909.74760518479</v>
      </c>
      <c r="O6" s="59">
        <f t="shared" si="1"/>
        <v>811557.36518996442</v>
      </c>
      <c r="P6" s="59">
        <f t="shared" si="1"/>
        <v>848397.93763063336</v>
      </c>
      <c r="Q6" s="59">
        <f t="shared" si="1"/>
        <v>886466.70149394008</v>
      </c>
      <c r="R6" s="59">
        <f t="shared" si="1"/>
        <v>925799.86636541889</v>
      </c>
      <c r="S6" s="59">
        <f t="shared" si="1"/>
        <v>966434.64060771978</v>
      </c>
      <c r="T6" s="59">
        <f t="shared" si="1"/>
        <v>1008409.2577813608</v>
      </c>
      <c r="U6" s="59">
        <f t="shared" si="1"/>
        <v>1051763.003744588</v>
      </c>
      <c r="V6" s="59">
        <f t="shared" si="1"/>
        <v>1096536.2444494311</v>
      </c>
      <c r="W6" s="59">
        <f t="shared" si="1"/>
        <v>1142770.4544514751</v>
      </c>
      <c r="X6" s="59">
        <f t="shared" si="1"/>
        <v>1190508.246151295</v>
      </c>
      <c r="Y6" s="59">
        <f t="shared" si="1"/>
        <v>1239793.3997859526</v>
      </c>
      <c r="Z6" s="59">
        <f t="shared" si="1"/>
        <v>1290670.8941893983</v>
      </c>
      <c r="AA6" s="59">
        <f t="shared" si="1"/>
        <v>1343186.9383410988</v>
      </c>
      <c r="AB6" s="59">
        <f t="shared" si="1"/>
        <v>1397389.0037226868</v>
      </c>
      <c r="AC6" s="59">
        <f t="shared" si="1"/>
        <v>1453325.8575029075</v>
      </c>
      <c r="AD6" s="59">
        <f t="shared" si="1"/>
        <v>1511047.5965716559</v>
      </c>
      <c r="AE6" s="59">
        <f t="shared" si="1"/>
        <v>1570605.6824443981</v>
      </c>
      <c r="AF6" s="59">
        <f t="shared" si="1"/>
        <v>1632052.9770587999</v>
      </c>
    </row>
    <row r="7" spans="1:32" x14ac:dyDescent="0.35">
      <c r="A7" t="s">
        <v>21</v>
      </c>
      <c r="C7" s="4">
        <f>Depreciation!C8+Depreciation!C9</f>
        <v>272228.59493686311</v>
      </c>
      <c r="D7" s="4">
        <f>Depreciation!D8+Depreciation!D9</f>
        <v>292868.17877484264</v>
      </c>
      <c r="E7" s="4">
        <f>Depreciation!E8+Depreciation!E9</f>
        <v>314549.93389723758</v>
      </c>
      <c r="F7" s="4">
        <f>Depreciation!F8+Depreciation!F9</f>
        <v>337319.42433240043</v>
      </c>
      <c r="G7" s="4">
        <f>Depreciation!G8+Depreciation!G9</f>
        <v>361224.06302310294</v>
      </c>
      <c r="H7" s="4">
        <f>Depreciation!H8+Depreciation!H9</f>
        <v>386313.18349949393</v>
      </c>
      <c r="I7" s="4">
        <f>Depreciation!I8+Depreciation!I9</f>
        <v>412638.11424583825</v>
      </c>
      <c r="J7" s="4">
        <f>Depreciation!J8+Depreciation!J9</f>
        <v>440252.25586004526</v>
      </c>
      <c r="K7" s="4">
        <f>Depreciation!K8+Depreciation!K9</f>
        <v>469211.16110857378</v>
      </c>
      <c r="L7" s="4">
        <f>Depreciation!L8+Depreciation!L9</f>
        <v>499572.61798300734</v>
      </c>
      <c r="M7" s="4">
        <f>Depreciation!M8+Depreciation!M9</f>
        <v>531396.73586842953</v>
      </c>
      <c r="N7" s="4">
        <f>Depreciation!N8+Depreciation!N9</f>
        <v>564746.0349377041</v>
      </c>
      <c r="O7" s="4">
        <f>Depreciation!O8+Depreciation!O9</f>
        <v>599685.53888988309</v>
      </c>
      <c r="P7" s="4">
        <f>Depreciation!P8+Depreciation!P9</f>
        <v>636282.87115522509</v>
      </c>
      <c r="Q7" s="4">
        <f>Depreciation!Q8+Depreciation!Q9</f>
        <v>674608.35469372571</v>
      </c>
      <c r="R7" s="4">
        <f>Depreciation!R8+Depreciation!R9</f>
        <v>714735.11551862792</v>
      </c>
      <c r="S7" s="4">
        <f>Depreciation!S8+Depreciation!S9</f>
        <v>756739.19008111721</v>
      </c>
      <c r="T7" s="4">
        <f>Depreciation!T8+Depreciation!T9</f>
        <v>800699.63665731449</v>
      </c>
      <c r="U7" s="4">
        <f>Depreciation!U8+Depreciation!U9</f>
        <v>846698.65088374552</v>
      </c>
      <c r="V7" s="4">
        <f>Depreciation!V8+Depreciation!V9</f>
        <v>894821.685592731</v>
      </c>
      <c r="W7" s="4">
        <f>Depreciation!W8+Depreciation!W9</f>
        <v>945157.57510458678</v>
      </c>
      <c r="X7" s="4">
        <f>Depreciation!X8+Depreciation!X9</f>
        <v>997798.66413915413</v>
      </c>
      <c r="Y7" s="4">
        <f>Depreciation!Y8+Depreciation!Y9</f>
        <v>1052840.9415150266</v>
      </c>
      <c r="Z7" s="4">
        <f>Depreciation!Z8+Depreciation!Z9</f>
        <v>1110384.1788108766</v>
      </c>
      <c r="AA7" s="4">
        <f>Depreciation!AA8+Depreciation!AA9</f>
        <v>1170532.0741695501</v>
      </c>
      <c r="AB7" s="4">
        <f>Depreciation!AB8+Depreciation!AB9</f>
        <v>1233392.4014320755</v>
      </c>
      <c r="AC7" s="4">
        <f>Depreciation!AC8+Depreciation!AC9</f>
        <v>1299077.1647954532</v>
      </c>
      <c r="AD7" s="4">
        <f>Depreciation!AD8+Depreciation!AD9</f>
        <v>1367702.7591950209</v>
      </c>
      <c r="AE7" s="4">
        <f>Depreciation!AE8+Depreciation!AE9</f>
        <v>1439390.13661941</v>
      </c>
      <c r="AF7" s="4">
        <f>Depreciation!AF8+Depreciation!AF9</f>
        <v>1514264.9785735444</v>
      </c>
    </row>
    <row r="8" spans="1:32" x14ac:dyDescent="0.35">
      <c r="A8" t="s">
        <v>6</v>
      </c>
      <c r="C8" s="4">
        <f ca="1">'Debt worksheet'!C8</f>
        <v>34970.025077431317</v>
      </c>
      <c r="D8" s="4">
        <f ca="1">'Debt worksheet'!D8</f>
        <v>66357.253353133987</v>
      </c>
      <c r="E8" s="4">
        <f ca="1">'Debt worksheet'!E8</f>
        <v>89271.309064878456</v>
      </c>
      <c r="F8" s="4">
        <f ca="1">'Debt worksheet'!F8</f>
        <v>105676.35894659674</v>
      </c>
      <c r="G8" s="4">
        <f ca="1">'Debt worksheet'!G8</f>
        <v>118775.13011914845</v>
      </c>
      <c r="H8" s="4">
        <f ca="1">'Debt worksheet'!H8</f>
        <v>129215.41423010714</v>
      </c>
      <c r="I8" s="4">
        <f ca="1">'Debt worksheet'!I8</f>
        <v>138737.62643621647</v>
      </c>
      <c r="J8" s="4">
        <f ca="1">'Debt worksheet'!J8</f>
        <v>147095.32793620724</v>
      </c>
      <c r="K8" s="4">
        <f ca="1">'Debt worksheet'!K8</f>
        <v>155167.47518247133</v>
      </c>
      <c r="L8" s="4">
        <f ca="1">'Debt worksheet'!L8</f>
        <v>162847.30263105611</v>
      </c>
      <c r="M8" s="4">
        <f ca="1">'Debt worksheet'!M8</f>
        <v>170665.1316239929</v>
      </c>
      <c r="N8" s="4">
        <f ca="1">'Debt worksheet'!N8</f>
        <v>178583.49685896465</v>
      </c>
      <c r="O8" s="4">
        <f ca="1">'Debt worksheet'!O8</f>
        <v>186559.78511712176</v>
      </c>
      <c r="P8" s="4">
        <f ca="1">'Debt worksheet'!P8</f>
        <v>194545.79477544676</v>
      </c>
      <c r="Q8" s="4">
        <f ca="1">'Debt worksheet'!Q8</f>
        <v>202487.26433479859</v>
      </c>
      <c r="R8" s="4">
        <f ca="1">'Debt worksheet'!R8</f>
        <v>210323.36800802467</v>
      </c>
      <c r="S8" s="4">
        <f ca="1">'Debt worksheet'!S8</f>
        <v>217986.176297178</v>
      </c>
      <c r="T8" s="4">
        <f ca="1">'Debt worksheet'!T8</f>
        <v>225400.0793670227</v>
      </c>
      <c r="U8" s="4">
        <f ca="1">'Debt worksheet'!U8</f>
        <v>232481.17089330032</v>
      </c>
      <c r="V8" s="4">
        <f ca="1">'Debt worksheet'!V8</f>
        <v>240144.02847823245</v>
      </c>
      <c r="W8" s="4">
        <f ca="1">'Debt worksheet'!W8</f>
        <v>248413.34252394483</v>
      </c>
      <c r="X8" s="4">
        <f ca="1">'Debt worksheet'!X8</f>
        <v>257314.15519819219</v>
      </c>
      <c r="Y8" s="4">
        <f ca="1">'Debt worksheet'!Y8</f>
        <v>266871.82210410322</v>
      </c>
      <c r="Z8" s="4">
        <f ca="1">'Debt worksheet'!Z8</f>
        <v>277111.96942163253</v>
      </c>
      <c r="AA8" s="4">
        <f ca="1">'Debt worksheet'!AA8</f>
        <v>288060.44619201275</v>
      </c>
      <c r="AB8" s="4">
        <f ca="1">'Debt worksheet'!AB8</f>
        <v>299743.27139663516</v>
      </c>
      <c r="AC8" s="4">
        <f ca="1">'Debt worksheet'!AC8</f>
        <v>313512.29586433934</v>
      </c>
      <c r="AD8" s="4">
        <f ca="1">'Debt worksheet'!AD8</f>
        <v>330626.97416566615</v>
      </c>
      <c r="AE8" s="4">
        <f ca="1">'Debt worksheet'!AE8</f>
        <v>351360.7832883572</v>
      </c>
      <c r="AF8" s="4">
        <f ca="1">'Debt worksheet'!AF8</f>
        <v>376003.43899056024</v>
      </c>
    </row>
    <row r="9" spans="1:32" x14ac:dyDescent="0.35">
      <c r="A9" t="s">
        <v>22</v>
      </c>
      <c r="C9" s="4">
        <f ca="1">C5-C6-C7-C8</f>
        <v>-517543.57364089449</v>
      </c>
      <c r="D9" s="4">
        <f t="shared" ref="D9:AF9" ca="1" si="2">D5-D6-D7-D8</f>
        <v>-399766.75073436182</v>
      </c>
      <c r="E9" s="4">
        <f t="shared" ca="1" si="2"/>
        <v>-141771.74764984171</v>
      </c>
      <c r="F9" s="4">
        <f t="shared" ca="1" si="2"/>
        <v>60613.145362563315</v>
      </c>
      <c r="G9" s="4">
        <f t="shared" ca="1" si="2"/>
        <v>172016.77473935258</v>
      </c>
      <c r="H9" s="4">
        <f t="shared" ca="1" si="2"/>
        <v>265454.10407714569</v>
      </c>
      <c r="I9" s="4">
        <f t="shared" ca="1" si="2"/>
        <v>309724.66387618677</v>
      </c>
      <c r="J9" s="4">
        <f t="shared" ca="1" si="2"/>
        <v>361613.61016919778</v>
      </c>
      <c r="K9" s="4">
        <f t="shared" ca="1" si="2"/>
        <v>388985.26574393793</v>
      </c>
      <c r="L9" s="4">
        <f t="shared" ca="1" si="2"/>
        <v>420022.180235165</v>
      </c>
      <c r="M9" s="4">
        <f t="shared" ca="1" si="2"/>
        <v>436541.54525991064</v>
      </c>
      <c r="N9" s="4">
        <f t="shared" ca="1" si="2"/>
        <v>454786.14001505764</v>
      </c>
      <c r="O9" s="4">
        <f t="shared" ca="1" si="2"/>
        <v>474924.00119078753</v>
      </c>
      <c r="P9" s="4">
        <f t="shared" ca="1" si="2"/>
        <v>497136.42134583951</v>
      </c>
      <c r="Q9" s="4">
        <f t="shared" ca="1" si="2"/>
        <v>521618.85563003784</v>
      </c>
      <c r="R9" s="4">
        <f t="shared" ca="1" si="2"/>
        <v>548581.88506805629</v>
      </c>
      <c r="S9" s="4">
        <f t="shared" ca="1" si="2"/>
        <v>578252.23972211918</v>
      </c>
      <c r="T9" s="4">
        <f t="shared" ca="1" si="2"/>
        <v>610873.88523784291</v>
      </c>
      <c r="U9" s="4">
        <f t="shared" ca="1" si="2"/>
        <v>646709.17647408426</v>
      </c>
      <c r="V9" s="4">
        <f t="shared" ca="1" si="2"/>
        <v>657256.12355515244</v>
      </c>
      <c r="W9" s="4">
        <f t="shared" ca="1" si="2"/>
        <v>667967.03327856213</v>
      </c>
      <c r="X9" s="4">
        <f t="shared" ca="1" si="2"/>
        <v>678859.67608427047</v>
      </c>
      <c r="Y9" s="4">
        <f t="shared" ca="1" si="2"/>
        <v>689953.80783074605</v>
      </c>
      <c r="Z9" s="4">
        <f t="shared" ca="1" si="2"/>
        <v>701271.32766335434</v>
      </c>
      <c r="AA9" s="4">
        <f t="shared" ca="1" si="2"/>
        <v>712836.44618601061</v>
      </c>
      <c r="AB9" s="4">
        <f t="shared" ca="1" si="2"/>
        <v>724675.86453282181</v>
      </c>
      <c r="AC9" s="4">
        <f t="shared" ca="1" si="2"/>
        <v>698941.23915404605</v>
      </c>
      <c r="AD9" s="4">
        <f t="shared" ca="1" si="2"/>
        <v>638306.07164537138</v>
      </c>
      <c r="AE9" s="4">
        <f t="shared" ca="1" si="2"/>
        <v>570975.83406025928</v>
      </c>
      <c r="AF9" s="4">
        <f t="shared" ca="1" si="2"/>
        <v>496522.35539059306</v>
      </c>
    </row>
    <row r="12" spans="1:32" x14ac:dyDescent="0.35">
      <c r="A12" t="s">
        <v>79</v>
      </c>
      <c r="C12" s="2">
        <f>Assumptions!$C$25*Assumptions!D9*Assumptions!D13</f>
        <v>439036.95362660004</v>
      </c>
      <c r="D12" s="2">
        <f>Assumptions!$C$25*Assumptions!E9*Assumptions!E13</f>
        <v>448695.76660638518</v>
      </c>
      <c r="E12" s="2">
        <f>Assumptions!$C$25*Assumptions!F9*Assumptions!F13</f>
        <v>458567.07347172569</v>
      </c>
      <c r="F12" s="2">
        <f>Assumptions!$C$25*Assumptions!G9*Assumptions!G13</f>
        <v>468655.54908810364</v>
      </c>
      <c r="G12" s="2">
        <f>Assumptions!$C$25*Assumptions!H9*Assumptions!H13</f>
        <v>478965.97116804193</v>
      </c>
      <c r="H12" s="2">
        <f>Assumptions!$C$25*Assumptions!I9*Assumptions!I13</f>
        <v>489503.22253373882</v>
      </c>
      <c r="I12" s="2">
        <f>Assumptions!$C$25*Assumptions!J9*Assumptions!J13</f>
        <v>500272.2934294811</v>
      </c>
      <c r="J12" s="2">
        <f>Assumptions!$C$25*Assumptions!K9*Assumptions!K13</f>
        <v>511278.28388492978</v>
      </c>
      <c r="K12" s="2">
        <f>Assumptions!$C$25*Assumptions!L9*Assumptions!L13</f>
        <v>522526.40613039816</v>
      </c>
      <c r="L12" s="2">
        <f>Assumptions!$C$25*Assumptions!M9*Assumptions!M13</f>
        <v>534021.98706526693</v>
      </c>
      <c r="M12" s="2">
        <f>Assumptions!$C$25*Assumptions!N9*Assumptions!N13</f>
        <v>545770.47078070289</v>
      </c>
      <c r="N12" s="2">
        <f>Assumptions!$C$25*Assumptions!O9*Assumptions!O13</f>
        <v>557777.42113787832</v>
      </c>
      <c r="O12" s="2">
        <f>Assumptions!$C$25*Assumptions!P9*Assumptions!P13</f>
        <v>570048.52440291166</v>
      </c>
      <c r="P12" s="2">
        <f>Assumptions!$C$25*Assumptions!Q9*Assumptions!Q13</f>
        <v>582589.59193977562</v>
      </c>
      <c r="Q12" s="2">
        <f>Assumptions!$C$25*Assumptions!R9*Assumptions!R13</f>
        <v>595406.56296245079</v>
      </c>
      <c r="R12" s="2">
        <f>Assumptions!$C$25*Assumptions!S9*Assumptions!S13</f>
        <v>608505.50734762475</v>
      </c>
      <c r="S12" s="2">
        <f>Assumptions!$C$25*Assumptions!T9*Assumptions!T13</f>
        <v>621892.62850927247</v>
      </c>
      <c r="T12" s="2">
        <f>Assumptions!$C$25*Assumptions!U9*Assumptions!U13</f>
        <v>635574.26633647643</v>
      </c>
      <c r="U12" s="2">
        <f>Assumptions!$C$25*Assumptions!V9*Assumptions!V13</f>
        <v>649556.90019587893</v>
      </c>
      <c r="V12" s="2">
        <f>Assumptions!$C$25*Assumptions!W9*Assumptions!W13</f>
        <v>663847.15200018825</v>
      </c>
      <c r="W12" s="2">
        <f>Assumptions!$C$25*Assumptions!X9*Assumptions!X13</f>
        <v>678451.78934419248</v>
      </c>
      <c r="X12" s="2">
        <f>Assumptions!$C$25*Assumptions!Y9*Assumptions!Y13</f>
        <v>693377.72870976466</v>
      </c>
      <c r="Y12" s="2">
        <f>Assumptions!$C$25*Assumptions!Z9*Assumptions!Z13</f>
        <v>708632.03874137939</v>
      </c>
      <c r="Z12" s="2">
        <f>Assumptions!$C$25*Assumptions!AA9*Assumptions!AA13</f>
        <v>724221.94359368982</v>
      </c>
      <c r="AA12" s="2">
        <f>Assumptions!$C$25*Assumptions!AB9*Assumptions!AB13</f>
        <v>740154.826352751</v>
      </c>
      <c r="AB12" s="2">
        <f>Assumptions!$C$25*Assumptions!AC9*Assumptions!AC13</f>
        <v>756438.23253251158</v>
      </c>
      <c r="AC12" s="2">
        <f>Assumptions!$C$25*Assumptions!AD9*Assumptions!AD13</f>
        <v>773079.87364822684</v>
      </c>
      <c r="AD12" s="2">
        <f>Assumptions!$C$25*Assumptions!AE9*Assumptions!AE13</f>
        <v>790087.63086848787</v>
      </c>
      <c r="AE12" s="2">
        <f>Assumptions!$C$25*Assumptions!AF9*Assumptions!AF13</f>
        <v>807469.55874759459</v>
      </c>
      <c r="AF12" s="2">
        <f>Assumptions!$C$25*Assumptions!AG9*Assumptions!AG13</f>
        <v>825233.8890400416</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14308</v>
      </c>
      <c r="D14" s="5">
        <f>Assumptions!E122*Assumptions!E9</f>
        <v>29245.552</v>
      </c>
      <c r="E14" s="5">
        <f>Assumptions!F122*Assumptions!F9</f>
        <v>44833.431215999997</v>
      </c>
      <c r="F14" s="5">
        <f>Assumptions!G122*Assumptions!G9</f>
        <v>61093.022270336005</v>
      </c>
      <c r="G14" s="5">
        <f>Assumptions!H122*Assumptions!H9</f>
        <v>78046.335950354245</v>
      </c>
      <c r="H14" s="5">
        <f>Assumptions!I122*Assumptions!I9</f>
        <v>95716.026409514438</v>
      </c>
      <c r="I14" s="5">
        <f>Assumptions!J122*Assumptions!J9</f>
        <v>114125.40882227769</v>
      </c>
      <c r="J14" s="5">
        <f>Assumptions!K122*Assumptions!K9</f>
        <v>133298.47750442039</v>
      </c>
      <c r="K14" s="5">
        <f>Assumptions!L122*Assumptions!L9</f>
        <v>153259.92451070732</v>
      </c>
      <c r="L14" s="5">
        <f>Assumptions!M122*Assumptions!M9</f>
        <v>174035.15872215878</v>
      </c>
      <c r="M14" s="5">
        <f>Assumptions!N122*Assumptions!N9</f>
        <v>195650.32543545091</v>
      </c>
      <c r="N14" s="5">
        <f>Assumptions!O122*Assumptions!O9</f>
        <v>218132.32646730641</v>
      </c>
      <c r="O14" s="5">
        <f>Assumptions!P122*Assumptions!P9</f>
        <v>241508.84078705273</v>
      </c>
      <c r="P14" s="5">
        <f>Assumptions!Q122*Assumptions!Q9</f>
        <v>265808.34569085768</v>
      </c>
      <c r="Q14" s="5">
        <f>Assumptions!R122*Assumptions!R9</f>
        <v>291060.13853148924</v>
      </c>
      <c r="R14" s="5">
        <f>Assumptions!S122*Assumptions!S9</f>
        <v>317294.35901779414</v>
      </c>
      <c r="S14" s="5">
        <f>Assumptions!T122*Assumptions!T9</f>
        <v>344542.01209844725</v>
      </c>
      <c r="T14" s="5">
        <f>Assumptions!U122*Assumptions!U9</f>
        <v>372834.99144488439</v>
      </c>
      <c r="U14" s="5">
        <f>Assumptions!V122*Assumptions!V9</f>
        <v>402206.10354870907</v>
      </c>
      <c r="V14" s="5">
        <f>Assumptions!W122*Assumptions!W9</f>
        <v>432689.09244924283</v>
      </c>
      <c r="W14" s="5">
        <f>Assumptions!X122*Assumptions!X9</f>
        <v>464318.66510728252</v>
      </c>
      <c r="X14" s="5">
        <f>Assumptions!Y122*Assumptions!Y9</f>
        <v>497130.51744153036</v>
      </c>
      <c r="Y14" s="5">
        <f>Assumptions!Z122*Assumptions!Z9</f>
        <v>531161.36104457325</v>
      </c>
      <c r="Z14" s="5">
        <f>Assumptions!AA122*Assumptions!AA9</f>
        <v>566448.95059570845</v>
      </c>
      <c r="AA14" s="5">
        <f>Assumptions!AB122*Assumptions!AB9</f>
        <v>603032.11198834784</v>
      </c>
      <c r="AB14" s="5">
        <f>Assumptions!AC122*Assumptions!AC9</f>
        <v>640950.7711901752</v>
      </c>
      <c r="AC14" s="5">
        <f>Assumptions!AD122*Assumptions!AD9</f>
        <v>680245.98385468055</v>
      </c>
      <c r="AD14" s="5">
        <f>Assumptions!AE122*Assumptions!AE9</f>
        <v>720959.96570316819</v>
      </c>
      <c r="AE14" s="5">
        <f>Assumptions!AF122*Assumptions!AF9</f>
        <v>763136.12369680346</v>
      </c>
      <c r="AF14" s="5">
        <f>Assumptions!AG122*Assumptions!AG9</f>
        <v>806819.08801875834</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453344.95362660004</v>
      </c>
      <c r="D27" s="2">
        <f t="shared" ref="D27:AF27" si="8">D12+D13+D14+D19+D20+D22+D24+D25</f>
        <v>477941.3186063852</v>
      </c>
      <c r="E27" s="2">
        <f t="shared" si="8"/>
        <v>503400.50468772568</v>
      </c>
      <c r="F27" s="2">
        <f t="shared" si="8"/>
        <v>529748.57135843963</v>
      </c>
      <c r="G27" s="2">
        <f t="shared" si="8"/>
        <v>557012.30711839616</v>
      </c>
      <c r="H27" s="2">
        <f t="shared" si="8"/>
        <v>585219.2489432533</v>
      </c>
      <c r="I27" s="2">
        <f t="shared" si="8"/>
        <v>614397.70225175878</v>
      </c>
      <c r="J27" s="2">
        <f t="shared" si="8"/>
        <v>644576.76138935017</v>
      </c>
      <c r="K27" s="2">
        <f t="shared" si="8"/>
        <v>675786.33064110554</v>
      </c>
      <c r="L27" s="2">
        <f t="shared" si="8"/>
        <v>708057.14578742569</v>
      </c>
      <c r="M27" s="2">
        <f t="shared" si="8"/>
        <v>741420.79621615377</v>
      </c>
      <c r="N27" s="2">
        <f t="shared" si="8"/>
        <v>775909.74760518479</v>
      </c>
      <c r="O27" s="2">
        <f t="shared" si="8"/>
        <v>811557.36518996442</v>
      </c>
      <c r="P27" s="2">
        <f t="shared" si="8"/>
        <v>848397.93763063336</v>
      </c>
      <c r="Q27" s="2">
        <f t="shared" si="8"/>
        <v>886466.70149394008</v>
      </c>
      <c r="R27" s="2">
        <f t="shared" si="8"/>
        <v>925799.86636541889</v>
      </c>
      <c r="S27" s="2">
        <f t="shared" si="8"/>
        <v>966434.64060771978</v>
      </c>
      <c r="T27" s="2">
        <f t="shared" si="8"/>
        <v>1008409.2577813608</v>
      </c>
      <c r="U27" s="2">
        <f t="shared" si="8"/>
        <v>1051763.003744588</v>
      </c>
      <c r="V27" s="2">
        <f t="shared" si="8"/>
        <v>1096536.2444494311</v>
      </c>
      <c r="W27" s="2">
        <f t="shared" si="8"/>
        <v>1142770.4544514751</v>
      </c>
      <c r="X27" s="2">
        <f t="shared" si="8"/>
        <v>1190508.246151295</v>
      </c>
      <c r="Y27" s="2">
        <f t="shared" si="8"/>
        <v>1239793.3997859526</v>
      </c>
      <c r="Z27" s="2">
        <f t="shared" si="8"/>
        <v>1290670.8941893983</v>
      </c>
      <c r="AA27" s="2">
        <f t="shared" si="8"/>
        <v>1343186.9383410988</v>
      </c>
      <c r="AB27" s="2">
        <f t="shared" si="8"/>
        <v>1397389.0037226868</v>
      </c>
      <c r="AC27" s="2">
        <f t="shared" si="8"/>
        <v>1453325.8575029075</v>
      </c>
      <c r="AD27" s="2">
        <f t="shared" si="8"/>
        <v>1511047.5965716559</v>
      </c>
      <c r="AE27" s="2">
        <f t="shared" si="8"/>
        <v>1570605.6824443981</v>
      </c>
      <c r="AF27" s="2">
        <f t="shared" si="8"/>
        <v>1632052.9770587999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3W2DU3RAJ5R2-1900874439-766</_dlc_DocId>
    <_dlc_DocIdUrl xmlns="f54e2983-00ce-40fc-8108-18f351fc47bf">
      <Url>https://dia.cohesion.net.nz/Sites/LGV/TWRP/CAE/_layouts/15/DocIdRedir.aspx?ID=3W2DU3RAJ5R2-1900874439-766</Url>
      <Description>3W2DU3RAJ5R2-1900874439-766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http://purl.org/dc/dcmitype/"/>
    <ds:schemaRef ds:uri="http://purl.org/dc/terms/"/>
    <ds:schemaRef ds:uri="http://schemas.openxmlformats.org/package/2006/metadata/core-properties"/>
    <ds:schemaRef ds:uri="http://www.w3.org/XML/1998/namespace"/>
    <ds:schemaRef ds:uri="65b6d800-2dda-48d6-88d8-9e2b35e6f7ea"/>
    <ds:schemaRef ds:uri="08a23fc5-e034-477c-ac83-93bc1440f322"/>
    <ds:schemaRef ds:uri="http://schemas.microsoft.com/sharepoint/v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A3DEFCB0-10B3-4A60-B409-128081F3C6AA}"/>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F8E506BA-472E-47A1-A281-34D348FC92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2021-07-05T12:08:07Z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d44996dd-c87e-4e82-a21b-b5f6e8ea94d4</vt:lpwstr>
  </property>
</Properties>
</file>