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307" documentId="8_{576FD8B4-ED31-4603-8C1E-8DB4A101918C}" xr6:coauthVersionLast="47" xr6:coauthVersionMax="47" xr10:uidLastSave="{7548153E-E1E7-47B5-812B-638579C4557E}"/>
  <bookViews>
    <workbookView xWindow="-110" yWindow="-110" windowWidth="38620" windowHeight="2122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9" l="1"/>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C40" i="2" l="1"/>
  <c r="C41" i="2"/>
  <c r="C39" i="2"/>
  <c r="C36" i="2"/>
  <c r="C37" i="2"/>
  <c r="C35"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5" i="9"/>
  <c r="C11" i="9"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<sst xmlns="http://schemas.openxmlformats.org/spreadsheetml/2006/main" count="278" uniqueCount="206">
  <si>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</si>
  <si>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</si>
  <si>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</si>
  <si>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</si>
  <si>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</si>
  <si>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</si>
  <si>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</si>
  <si>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</si>
  <si>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</si>
  <si>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</si>
  <si>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</si>
  <si>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</si>
  <si>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</si>
  <si>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</si>
  <si>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</si>
  <si>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</si>
  <si>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</si>
  <si>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</si>
  <si>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</si>
  <si>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</si>
  <si>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</si>
  <si>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</si>
  <si>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</si>
  <si>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</si>
  <si>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</si>
  <si>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Growth in debt</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</si>
  <si>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</si>
  <si>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</si>
  <si>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</si>
  <si>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</si>
  <si>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</si>
  <si>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</si>
  <si>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</si>
  <si>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</si>
  <si>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</si>
  <si>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</si>
  <si>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</si>
  <si>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</si>
  <si>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</si>
  <si>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</si>
  <si>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</si>
  <si>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</si>
  <si>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</si>
  <si>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</si>
  <si>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</si>
  <si>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</si>
  <si>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</si>
  <si>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</si>
  <si>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</si>
  <si>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</si>
  <si>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</si>
  <si>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</si>
  <si>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</si>
  <si>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</si>
  <si>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</si>
  <si>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</si>
  <si>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</si>
  <si>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</si>
  <si>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</si>
  <si>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</si>
  <si>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</si>
  <si>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</si>
  <si>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</si>
  <si>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</si>
  <si>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</si>
  <si>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</si>
  <si>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</si>
  <si>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</si>
  <si>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</si>
  <si>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</si>
  <si>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</si>
  <si>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</si>
  <si>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</si>
  <si>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</si>
  <si>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</si>
  <si>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</si>
  <si>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</si>
  <si>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</si>
  <si>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</si>
  <si>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</si>
  <si>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</si>
  <si>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</si>
  <si>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</si>
  <si>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</si>
  <si>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</si>
  <si>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</si>
  <si>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</si>
  <si>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</si>
  <si>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</si>
  <si>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</si>
  <si>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</si>
  <si>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</si>
  <si>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</si>
  <si>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</si>
  <si>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</si>
  <si>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</si>
  <si>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</si>
  <si>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</si>
  <si>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</si>
  <si>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</si>
  <si>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</si>
  <si>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</si>
  <si>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</si>
  <si>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</si>
  <si>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</si>
  <si>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</si>
  <si>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</si>
  <si>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</si>
  <si>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</si>
  <si>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</si>
  <si>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</si>
  <si>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</si>
  <si>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</si>
  <si>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</si>
  <si>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</si>
  <si>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</si>
  <si>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</si>
  <si>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</si>
  <si>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</si>
  <si>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</si>
  <si>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</si>
  <si>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</si>
  <si>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</si>
  <si>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</si>
  <si>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</si>
  <si>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</si>
  <si>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</si>
  <si>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</si>
  <si>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</si>
  <si>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</si>
  <si>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Based on observed experience from GB for entities of such a scale</t>
  </si>
  <si>
    <t xml:space="preserve">Optimised replacement cost </t>
  </si>
  <si>
    <t>RFI Table A1; Line A1.47</t>
  </si>
  <si>
    <t>RFI Table A3; Line A3.58</t>
  </si>
  <si>
    <t>RFI Table J1; Sum of lines J1.1 to J1.30 (Column I)</t>
  </si>
  <si>
    <t>RFI Table J1; Sum of lines J1.1 to J1.30 (Column J)</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</si>
  <si>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</si>
  <si>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</si>
  <si>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</si>
  <si>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</si>
  <si>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</si>
  <si>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</si>
  <si>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</si>
  <si>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</si>
  <si>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</si>
  <si>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</si>
  <si>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</si>
  <si>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</si>
  <si>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</si>
  <si>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</si>
  <si>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</si>
  <si>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</si>
  <si>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</si>
  <si>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</si>
  <si>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</si>
  <si>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</si>
  <si>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</si>
  <si>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</si>
  <si>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</si>
  <si>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</si>
  <si>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</si>
  <si>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</si>
  <si>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</si>
  <si>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</si>
  <si>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</si>
  <si>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</si>
  <si>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</si>
  <si>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</si>
  <si>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</si>
  <si>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</si>
  <si>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</si>
  <si>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</si>
  <si>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</si>
  <si>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</si>
  <si>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</si>
  <si>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(adjusted for projected inflation in RFI Table G5)</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</si>
  <si>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</si>
  <si>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</si>
  <si>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</si>
  <si>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</si>
  <si>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</si>
  <si>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</si>
  <si>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</si>
  <si>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</si>
  <si>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</si>
  <si>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</si>
  <si>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</si>
  <si>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</si>
  <si>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</si>
  <si>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</si>
  <si>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</si>
  <si>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</si>
  <si>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</si>
  <si>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</si>
  <si>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</si>
  <si>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</si>
  <si>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Central Hawke's Bay Stand-alone Council</t>
  </si>
  <si>
    <t>RFI Table F10; Lines F10.62 + F10.70 - F10.61</t>
  </si>
  <si>
    <t>RFI Table F10; Lines F10.62 + F10.70</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</si>
  <si>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</si>
  <si>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</si>
  <si>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</si>
  <si>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</si>
  <si>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</si>
  <si>
    <t>Consistent with reaching a percentage split of 30% for short-medium life assets by 2051. This split is in line with international experience</t>
  </si>
  <si>
    <t>Consistent with reaching a percentage split of 70% for long life assets by 2051. This split is in line with international experience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</si>
</sst>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83">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166" fontId="0" fillId="0" borderId="0" xfId="0" applyNumberFormat="1" applyFont="1" applyFill="1" applyAlignment="1">
      <alignment vertical="top" wrapText="1"/>
    </xf>
    <xf numFmtId="0" fontId="18" fillId="0" borderId="0" xfId="0" applyFont="1" applyAlignment="1">
      <alignment horizontal="left" vertical="center" wrapText="1"/>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80" zoomScaleNormal="8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95</v>
      </c>
      <c r="D1" s="61"/>
      <c r="E1" s="61"/>
      <c r="F1" s="61"/>
    </row>
    <row r="2" spans="1:6" x14ac:dyDescent="0.35">
      <c r="A2" s="63" t="s">
        <v>96</v>
      </c>
      <c r="B2" s="60" t="s">
        <v>196</v>
      </c>
      <c r="C2" s="171"/>
      <c r="D2" s="60"/>
      <c r="E2" s="14"/>
      <c r="F2" s="60"/>
    </row>
    <row r="3" spans="1:6" x14ac:dyDescent="0.35">
      <c r="C3" s="14"/>
      <c r="D3" s="14"/>
    </row>
    <row r="4" spans="1:6" x14ac:dyDescent="0.35">
      <c r="A4" s="14" t="s">
        <v>157</v>
      </c>
      <c r="B4" s="14"/>
      <c r="D4" s="14"/>
    </row>
    <row r="6" spans="1:6" ht="21" x14ac:dyDescent="0.5">
      <c r="A6" s="15" t="s">
        <v>166</v>
      </c>
    </row>
    <row r="7" spans="1:6" ht="241" customHeight="1" x14ac:dyDescent="0.35">
      <c r="A7" s="107">
        <v>1</v>
      </c>
      <c r="B7" s="104" t="s">
        <v>167</v>
      </c>
    </row>
    <row r="8" spans="1:6" ht="408" customHeight="1" x14ac:dyDescent="0.35">
      <c r="A8" s="107">
        <v>2</v>
      </c>
      <c r="B8" s="104" t="s">
        <v>188</v>
      </c>
    </row>
    <row r="9" spans="1:6" ht="195.5" customHeight="1" x14ac:dyDescent="0.35">
      <c r="A9" s="107">
        <f>A8+1</f>
        <v>3</v>
      </c>
      <c r="B9" s="105" t="s">
        <v>171</v>
      </c>
    </row>
    <row r="10" spans="1:6" ht="236" customHeight="1" x14ac:dyDescent="0.35">
      <c r="A10" s="107">
        <v>4</v>
      </c>
      <c r="B10" s="105" t="s">
        <v>172</v>
      </c>
    </row>
    <row r="11" spans="1:6" ht="21" x14ac:dyDescent="0.35">
      <c r="A11" s="107">
        <f>A10+1</f>
        <v>5</v>
      </c>
      <c r="B11" s="63" t="s">
        <v>186</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163</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189</v>
      </c>
      <c r="B6" s="1">
        <f>Assumptions!C17</f>
        <v>192554374.63000005</v>
      </c>
      <c r="C6" s="12">
        <f ca="1">B6+Depreciation!C18+'Cash Flow'!C13</f>
        <v>197342296.36914936</v>
      </c>
      <c r="D6" s="1">
        <f ca="1">C6+Depreciation!D18</f>
        <v>224762488.97572204</v>
      </c>
      <c r="E6" s="1">
        <f ca="1">D6+Depreciation!E18</f>
        <v>253642358.71266723</v>
      </c>
      <c r="F6" s="1">
        <f ca="1">E6+Depreciation!F18</f>
        <v>284047246.63909966</v>
      </c>
      <c r="G6" s="1">
        <f ca="1">F6+Depreciation!G18</f>
        <v>316045180.93253583</v>
      </c>
      <c r="H6" s="1">
        <f ca="1">G6+Depreciation!H18</f>
        <v>349706981.95522732</v>
      </c>
      <c r="I6" s="1">
        <f ca="1">H6+Depreciation!I18</f>
        <v>385106371.29313004</v>
      </c>
      <c r="J6" s="1">
        <f ca="1">I6+Depreciation!J18</f>
        <v>422320084.91417021</v>
      </c>
      <c r="K6" s="1">
        <f ca="1">J6+Depreciation!K18</f>
        <v>461427990.59778666</v>
      </c>
      <c r="L6" s="1">
        <f ca="1">K6+Depreciation!L18</f>
        <v>502513209.79323632</v>
      </c>
      <c r="M6" s="1">
        <f ca="1">L6+Depreciation!M18</f>
        <v>545662244.06985641</v>
      </c>
      <c r="N6" s="1">
        <f ca="1">M6+Depreciation!N18</f>
        <v>590965106.32838583</v>
      </c>
      <c r="O6" s="1">
        <f ca="1">N6+Depreciation!O18</f>
        <v>638515456.94856751</v>
      </c>
      <c r="P6" s="1">
        <f ca="1">O6+Depreciation!P18</f>
        <v>688410745.05459428</v>
      </c>
      <c r="Q6" s="1">
        <f ca="1">P6+Depreciation!Q18</f>
        <v>740752355.08652532</v>
      </c>
      <c r="R6" s="1">
        <f ca="1">Q6+Depreciation!R18</f>
        <v>795645758.87259793</v>
      </c>
      <c r="S6" s="1">
        <f ca="1">R6+Depreciation!S18</f>
        <v>853200673.40440452</v>
      </c>
      <c r="T6" s="1">
        <f ca="1">S6+Depreciation!T18</f>
        <v>913531224.52419496</v>
      </c>
      <c r="U6" s="1">
        <f ca="1">T6+Depreciation!U18</f>
        <v>976756116.74111974</v>
      </c>
      <c r="V6" s="1">
        <f ca="1">U6+Depreciation!V18</f>
        <v>1042998809.4010488</v>
      </c>
      <c r="W6" s="1">
        <f ca="1">V6+Depreciation!W18</f>
        <v>1112387699.4427042</v>
      </c>
      <c r="X6" s="1">
        <f ca="1">W6+Depreciation!X18</f>
        <v>1185056310.9812329</v>
      </c>
      <c r="Y6" s="1">
        <f ca="1">X6+Depreciation!Y18</f>
        <v>1261143491.9690318</v>
      </c>
      <c r="Z6" s="1">
        <f ca="1">Y6+Depreciation!Z18</f>
        <v>1340793618.1926391</v>
      </c>
      <c r="AA6" s="1">
        <f ca="1">Z6+Depreciation!AA18</f>
        <v>1424156804.8738148</v>
      </c>
      <c r="AB6" s="1">
        <f ca="1">AA6+Depreciation!AB18</f>
        <v>1511389126.1525903</v>
      </c>
      <c r="AC6" s="1">
        <f ca="1">AB6+Depreciation!AC18</f>
        <v>1602652842.7400503</v>
      </c>
      <c r="AD6" s="1">
        <f ca="1">AC6+Depreciation!AD18</f>
        <v>1698116638.0389616</v>
      </c>
      <c r="AE6" s="1">
        <f ca="1">AD6+Depreciation!AE18</f>
        <v>1797955863.0410712</v>
      </c>
      <c r="AF6" s="1"/>
      <c r="AG6" s="1"/>
      <c r="AH6" s="1"/>
      <c r="AI6" s="1"/>
      <c r="AJ6" s="1"/>
      <c r="AK6" s="1"/>
      <c r="AL6" s="1"/>
      <c r="AM6" s="1"/>
      <c r="AN6" s="1"/>
      <c r="AO6" s="1"/>
      <c r="AP6" s="1"/>
    </row>
    <row r="7" spans="1:42" x14ac:dyDescent="0.35">
      <c r="A7" t="s">
        <v>12</v>
      </c>
      <c r="B7" s="1">
        <f>Depreciation!C12</f>
        <v>99521981.967136353</v>
      </c>
      <c r="C7" s="1">
        <f>Depreciation!D12</f>
        <v>103434787.34170905</v>
      </c>
      <c r="D7" s="1">
        <f>Depreciation!E12</f>
        <v>108055033.45523024</v>
      </c>
      <c r="E7" s="1">
        <f>Depreciation!F12</f>
        <v>113423989.80228908</v>
      </c>
      <c r="F7" s="1">
        <f>Depreciation!G12</f>
        <v>119584842.70581174</v>
      </c>
      <c r="G7" s="1">
        <f>Depreciation!H12</f>
        <v>126582775.73411249</v>
      </c>
      <c r="H7" s="1">
        <f>Depreciation!I12</f>
        <v>134465053.30180392</v>
      </c>
      <c r="I7" s="1">
        <f>Depreciation!J12</f>
        <v>143281107.57598609</v>
      </c>
      <c r="J7" s="1">
        <f>Depreciation!K12</f>
        <v>153082628.81364504</v>
      </c>
      <c r="K7" s="1">
        <f>Depreciation!L12</f>
        <v>163923659.26086655</v>
      </c>
      <c r="L7" s="1">
        <f>Depreciation!M12</f>
        <v>175860690.74931529</v>
      </c>
      <c r="M7" s="1">
        <f>Depreciation!N12</f>
        <v>188952766.1304518</v>
      </c>
      <c r="N7" s="1">
        <f>Depreciation!O12</f>
        <v>203261584.69316396</v>
      </c>
      <c r="O7" s="1">
        <f>Depreciation!P12</f>
        <v>218851611.71588233</v>
      </c>
      <c r="P7" s="1">
        <f>Depreciation!Q12</f>
        <v>235790192.30983904</v>
      </c>
      <c r="Q7" s="1">
        <f>Depreciation!R12</f>
        <v>254147669.71592212</v>
      </c>
      <c r="R7" s="1">
        <f>Depreciation!S12</f>
        <v>273997508.22357947</v>
      </c>
      <c r="S7" s="1">
        <f>Depreciation!T12</f>
        <v>295416420.88644797</v>
      </c>
      <c r="T7" s="1">
        <f>Depreciation!U12</f>
        <v>318484502.21582931</v>
      </c>
      <c r="U7" s="1">
        <f>Depreciation!V12</f>
        <v>343285366.03981352</v>
      </c>
      <c r="V7" s="1">
        <f>Depreciation!W12</f>
        <v>369906288.72277391</v>
      </c>
      <c r="W7" s="1">
        <f>Depreciation!X12</f>
        <v>398438357.94712919</v>
      </c>
      <c r="X7" s="1">
        <f>Depreciation!Y12</f>
        <v>428976627.26670128</v>
      </c>
      <c r="Y7" s="1">
        <f>Depreciation!Z12</f>
        <v>461620276.64869827</v>
      </c>
      <c r="Z7" s="1">
        <f>Depreciation!AA12</f>
        <v>496472779.22933221</v>
      </c>
      <c r="AA7" s="1">
        <f>Depreciation!AB12</f>
        <v>533642074.51634866</v>
      </c>
      <c r="AB7" s="1">
        <f>Depreciation!AC12</f>
        <v>573240748.28031349</v>
      </c>
      <c r="AC7" s="1">
        <f>Depreciation!AD12</f>
        <v>615386219.38537753</v>
      </c>
      <c r="AD7" s="1">
        <f>Depreciation!AE12</f>
        <v>660200933.81943691</v>
      </c>
      <c r="AE7" s="1">
        <f>Depreciation!AF12</f>
        <v>707812566.1931355</v>
      </c>
      <c r="AF7" s="1"/>
      <c r="AG7" s="1"/>
      <c r="AH7" s="1"/>
      <c r="AI7" s="1"/>
      <c r="AJ7" s="1"/>
      <c r="AK7" s="1"/>
      <c r="AL7" s="1"/>
      <c r="AM7" s="1"/>
      <c r="AN7" s="1"/>
      <c r="AO7" s="1"/>
      <c r="AP7" s="1"/>
    </row>
    <row r="8" spans="1:42" x14ac:dyDescent="0.35">
      <c r="A8" t="s">
        <v>190</v>
      </c>
      <c r="B8" s="1">
        <f t="shared" ref="B8:AE8" si="1">B6-B7</f>
        <v>93032392.662863702</v>
      </c>
      <c r="C8" s="1">
        <f t="shared" ca="1" si="1"/>
        <v>93907509.02744031</v>
      </c>
      <c r="D8" s="1">
        <f ca="1">D6-D7</f>
        <v>116707455.52049181</v>
      </c>
      <c r="E8" s="1">
        <f t="shared" ca="1" si="1"/>
        <v>140218368.91037816</v>
      </c>
      <c r="F8" s="1">
        <f t="shared" ca="1" si="1"/>
        <v>164462403.93328792</v>
      </c>
      <c r="G8" s="1">
        <f t="shared" ca="1" si="1"/>
        <v>189462405.19842333</v>
      </c>
      <c r="H8" s="1">
        <f t="shared" ca="1" si="1"/>
        <v>215241928.6534234</v>
      </c>
      <c r="I8" s="1">
        <f t="shared" ca="1" si="1"/>
        <v>241825263.71714395</v>
      </c>
      <c r="J8" s="1">
        <f t="shared" ca="1" si="1"/>
        <v>269237456.10052514</v>
      </c>
      <c r="K8" s="1">
        <f t="shared" ca="1" si="1"/>
        <v>297504331.33692014</v>
      </c>
      <c r="L8" s="1">
        <f t="shared" ca="1" si="1"/>
        <v>326652519.04392099</v>
      </c>
      <c r="M8" s="1">
        <f t="shared" ca="1" si="1"/>
        <v>356709477.93940461</v>
      </c>
      <c r="N8" s="1">
        <f t="shared" ca="1" si="1"/>
        <v>387703521.63522184</v>
      </c>
      <c r="O8" s="1">
        <f t="shared" ca="1" si="1"/>
        <v>419663845.23268521</v>
      </c>
      <c r="P8" s="1">
        <f t="shared" ca="1" si="1"/>
        <v>452620552.74475527</v>
      </c>
      <c r="Q8" s="1">
        <f t="shared" ca="1" si="1"/>
        <v>486604685.3706032</v>
      </c>
      <c r="R8" s="1">
        <f t="shared" ca="1" si="1"/>
        <v>521648250.64901847</v>
      </c>
      <c r="S8" s="1">
        <f t="shared" ca="1" si="1"/>
        <v>557784252.5179565</v>
      </c>
      <c r="T8" s="1">
        <f t="shared" ca="1" si="1"/>
        <v>595046722.30836558</v>
      </c>
      <c r="U8" s="1">
        <f t="shared" ca="1" si="1"/>
        <v>633470750.70130622</v>
      </c>
      <c r="V8" s="1">
        <f t="shared" ca="1" si="1"/>
        <v>673092520.67827487</v>
      </c>
      <c r="W8" s="1">
        <f t="shared" ca="1" si="1"/>
        <v>713949341.49557495</v>
      </c>
      <c r="X8" s="1">
        <f t="shared" ca="1" si="1"/>
        <v>756079683.71453166</v>
      </c>
      <c r="Y8" s="1">
        <f t="shared" ca="1" si="1"/>
        <v>799523215.32033348</v>
      </c>
      <c r="Z8" s="1">
        <f t="shared" ca="1" si="1"/>
        <v>844320838.9633069</v>
      </c>
      <c r="AA8" s="1">
        <f t="shared" ca="1" si="1"/>
        <v>890514730.35746622</v>
      </c>
      <c r="AB8" s="1">
        <f t="shared" ca="1" si="1"/>
        <v>938148377.87227678</v>
      </c>
      <c r="AC8" s="1">
        <f t="shared" ca="1" si="1"/>
        <v>987266623.35467279</v>
      </c>
      <c r="AD8" s="1">
        <f t="shared" ca="1" si="1"/>
        <v>1037915704.2195247</v>
      </c>
      <c r="AE8" s="1">
        <f t="shared" ca="1" si="1"/>
        <v>1090143296.8479357</v>
      </c>
      <c r="AF8" s="1"/>
      <c r="AG8" s="1"/>
      <c r="AH8" s="1"/>
      <c r="AI8" s="1"/>
      <c r="AJ8" s="1"/>
      <c r="AK8" s="1"/>
      <c r="AL8" s="1"/>
      <c r="AM8" s="1"/>
      <c r="AN8" s="1"/>
      <c r="AO8" s="1"/>
      <c r="AP8" s="1"/>
    </row>
    <row r="10" spans="1:42" x14ac:dyDescent="0.35">
      <c r="A10" t="s">
        <v>17</v>
      </c>
      <c r="B10" s="1">
        <f>B8-B11</f>
        <v>75432272.502863705</v>
      </c>
      <c r="C10" s="1">
        <f ca="1">C8-C11</f>
        <v>55072039.954453282</v>
      </c>
      <c r="D10" s="1">
        <f ca="1">D8-D11</f>
        <v>58521490.263735011</v>
      </c>
      <c r="E10" s="1">
        <f t="shared" ref="E10:AE10" ca="1" si="2">E8-E11</f>
        <v>66638673.435917661</v>
      </c>
      <c r="F10" s="1">
        <f t="shared" ca="1" si="2"/>
        <v>79197024.647555232</v>
      </c>
      <c r="G10" s="1">
        <f ca="1">G8-G11</f>
        <v>93351508.101430118</v>
      </c>
      <c r="H10" s="1">
        <f t="shared" ca="1" si="2"/>
        <v>109551221.25349911</v>
      </c>
      <c r="I10" s="1">
        <f t="shared" ca="1" si="2"/>
        <v>127091557.0685727</v>
      </c>
      <c r="J10" s="1">
        <f t="shared" ca="1" si="2"/>
        <v>145814964.89511514</v>
      </c>
      <c r="K10" s="1">
        <f t="shared" ca="1" si="2"/>
        <v>165467411.51279047</v>
      </c>
      <c r="L10" s="1">
        <f t="shared" ca="1" si="2"/>
        <v>186218680.88873264</v>
      </c>
      <c r="M10" s="1">
        <f t="shared" ca="1" si="2"/>
        <v>208260797.93847159</v>
      </c>
      <c r="N10" s="1">
        <f t="shared" ca="1" si="2"/>
        <v>231810298.6971097</v>
      </c>
      <c r="O10" s="1">
        <f t="shared" ca="1" si="2"/>
        <v>256451634.93934458</v>
      </c>
      <c r="P10" s="1">
        <f t="shared" ca="1" si="2"/>
        <v>282339348.17673647</v>
      </c>
      <c r="Q10" s="1">
        <f t="shared" ca="1" si="2"/>
        <v>308896053.8238132</v>
      </c>
      <c r="R10" s="1">
        <f t="shared" ca="1" si="2"/>
        <v>336194478.94519794</v>
      </c>
      <c r="S10" s="1">
        <f t="shared" ca="1" si="2"/>
        <v>363897446.71538162</v>
      </c>
      <c r="T10" s="1">
        <f t="shared" ca="1" si="2"/>
        <v>391771432.14146531</v>
      </c>
      <c r="U10" s="1">
        <f t="shared" ca="1" si="2"/>
        <v>419815525.2353766</v>
      </c>
      <c r="V10" s="1">
        <f t="shared" ca="1" si="2"/>
        <v>448030448.85000038</v>
      </c>
      <c r="W10" s="1">
        <f t="shared" ca="1" si="2"/>
        <v>476418782.66857362</v>
      </c>
      <c r="X10" s="1">
        <f t="shared" ca="1" si="2"/>
        <v>504985206.44540322</v>
      </c>
      <c r="Y10" s="1">
        <f t="shared" ca="1" si="2"/>
        <v>533736763.84765112</v>
      </c>
      <c r="Z10" s="1">
        <f t="shared" ca="1" si="2"/>
        <v>562683148.33239031</v>
      </c>
      <c r="AA10" s="1">
        <f t="shared" ca="1" si="2"/>
        <v>591837012.58249009</v>
      </c>
      <c r="AB10" s="1">
        <f t="shared" ca="1" si="2"/>
        <v>621214303.11947119</v>
      </c>
      <c r="AC10" s="1">
        <f t="shared" ca="1" si="2"/>
        <v>650834621.81149435</v>
      </c>
      <c r="AD10" s="1">
        <f t="shared" ca="1" si="2"/>
        <v>680721616.10048008</v>
      </c>
      <c r="AE10" s="1">
        <f t="shared" ca="1" si="2"/>
        <v>710903399.88427794</v>
      </c>
      <c r="AF10" s="1"/>
      <c r="AG10" s="1"/>
      <c r="AH10" s="1"/>
      <c r="AI10" s="1"/>
      <c r="AJ10" s="1"/>
      <c r="AK10" s="1"/>
      <c r="AL10" s="1"/>
      <c r="AM10" s="1"/>
      <c r="AN10" s="1"/>
      <c r="AO10" s="1"/>
    </row>
    <row r="11" spans="1:42" x14ac:dyDescent="0.35">
      <c r="A11" t="s">
        <v>9</v>
      </c>
      <c r="B11" s="1">
        <f>Assumptions!$C$20</f>
        <v>17600120.16</v>
      </c>
      <c r="C11" s="1">
        <f ca="1">'Debt worksheet'!D5</f>
        <v>38835469.072987027</v>
      </c>
      <c r="D11" s="1">
        <f ca="1">'Debt worksheet'!E5</f>
        <v>58185965.256756797</v>
      </c>
      <c r="E11" s="1">
        <f ca="1">'Debt worksheet'!F5</f>
        <v>73579695.474460497</v>
      </c>
      <c r="F11" s="1">
        <f ca="1">'Debt worksheet'!G5</f>
        <v>85265379.285732687</v>
      </c>
      <c r="G11" s="1">
        <f ca="1">'Debt worksheet'!H5</f>
        <v>96110897.096993208</v>
      </c>
      <c r="H11" s="1">
        <f ca="1">'Debt worksheet'!I5</f>
        <v>105690707.39992429</v>
      </c>
      <c r="I11" s="1">
        <f ca="1">'Debt worksheet'!J5</f>
        <v>114733706.64857125</v>
      </c>
      <c r="J11" s="1">
        <f ca="1">'Debt worksheet'!K5</f>
        <v>123422491.20541002</v>
      </c>
      <c r="K11" s="1">
        <f ca="1">'Debt worksheet'!L5</f>
        <v>132036919.82412967</v>
      </c>
      <c r="L11" s="1">
        <f ca="1">'Debt worksheet'!M5</f>
        <v>140433838.15518835</v>
      </c>
      <c r="M11" s="1">
        <f ca="1">'Debt worksheet'!N5</f>
        <v>148448680.00093302</v>
      </c>
      <c r="N11" s="1">
        <f ca="1">'Debt worksheet'!O5</f>
        <v>155893222.93811214</v>
      </c>
      <c r="O11" s="1">
        <f ca="1">'Debt worksheet'!P5</f>
        <v>163212210.29334062</v>
      </c>
      <c r="P11" s="1">
        <f ca="1">'Debt worksheet'!Q5</f>
        <v>170281204.56801879</v>
      </c>
      <c r="Q11" s="1">
        <f ca="1">'Debt worksheet'!R5</f>
        <v>177708631.54679003</v>
      </c>
      <c r="R11" s="1">
        <f ca="1">'Debt worksheet'!S5</f>
        <v>185453771.7038205</v>
      </c>
      <c r="S11" s="1">
        <f ca="1">'Debt worksheet'!T5</f>
        <v>193886805.80257484</v>
      </c>
      <c r="T11" s="1">
        <f ca="1">'Debt worksheet'!U5</f>
        <v>203275290.16690031</v>
      </c>
      <c r="U11" s="1">
        <f ca="1">'Debt worksheet'!V5</f>
        <v>213655225.46592963</v>
      </c>
      <c r="V11" s="1">
        <f ca="1">'Debt worksheet'!W5</f>
        <v>225062071.82827449</v>
      </c>
      <c r="W11" s="1">
        <f ca="1">'Debt worksheet'!X5</f>
        <v>237530558.82700133</v>
      </c>
      <c r="X11" s="1">
        <f ca="1">'Debt worksheet'!Y5</f>
        <v>251094477.26912844</v>
      </c>
      <c r="Y11" s="1">
        <f ca="1">'Debt worksheet'!Z5</f>
        <v>265786451.47268233</v>
      </c>
      <c r="Z11" s="1">
        <f ca="1">'Debt worksheet'!AA5</f>
        <v>281637690.63091666</v>
      </c>
      <c r="AA11" s="1">
        <f ca="1">'Debt worksheet'!AB5</f>
        <v>298677717.77497613</v>
      </c>
      <c r="AB11" s="1">
        <f ca="1">'Debt worksheet'!AC5</f>
        <v>316934074.75280559</v>
      </c>
      <c r="AC11" s="1">
        <f ca="1">'Debt worksheet'!AD5</f>
        <v>336432001.54317844</v>
      </c>
      <c r="AD11" s="1">
        <f ca="1">'Debt worksheet'!AE5</f>
        <v>357194088.11904472</v>
      </c>
      <c r="AE11" s="1">
        <f ca="1">'Debt worksheet'!AF5</f>
        <v>379239896.96365774</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80" zoomScaleNormal="8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164</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1543127.0870129736</v>
      </c>
      <c r="D5" s="4">
        <f ca="1">'Profit and Loss'!D9</f>
        <v>4156891.048230228</v>
      </c>
      <c r="E5" s="4">
        <f ca="1">'Profit and Loss'!E9</f>
        <v>8865893.4057202972</v>
      </c>
      <c r="F5" s="4">
        <f ca="1">'Profit and Loss'!F9</f>
        <v>13350247.768101381</v>
      </c>
      <c r="G5" s="4">
        <f ca="1">'Profit and Loss'!G9</f>
        <v>14991563.578653011</v>
      </c>
      <c r="H5" s="4">
        <f ca="1">'Profit and Loss'!H9</f>
        <v>17084057.691459663</v>
      </c>
      <c r="I5" s="4">
        <f ca="1">'Profit and Loss'!I9</f>
        <v>18474112.521564301</v>
      </c>
      <c r="J5" s="4">
        <f ca="1">'Profit and Loss'!J9</f>
        <v>19708874.790019251</v>
      </c>
      <c r="K5" s="4">
        <f ca="1">'Profit and Loss'!K9</f>
        <v>20691955.827237822</v>
      </c>
      <c r="L5" s="4">
        <f ca="1">'Profit and Loss'!L9</f>
        <v>21847270.417169429</v>
      </c>
      <c r="M5" s="4">
        <f ca="1">'Profit and Loss'!M9</f>
        <v>23197160.942426741</v>
      </c>
      <c r="N5" s="4">
        <f ca="1">'Profit and Loss'!N9</f>
        <v>24766243.94021377</v>
      </c>
      <c r="O5" s="4">
        <f ca="1">'Profit and Loss'!O9</f>
        <v>25922544.702240981</v>
      </c>
      <c r="P5" s="4">
        <f ca="1">'Profit and Loss'!P9</f>
        <v>27236266.808630317</v>
      </c>
      <c r="Q5" s="4">
        <f ca="1">'Profit and Loss'!Q9</f>
        <v>27975602.459203117</v>
      </c>
      <c r="R5" s="4">
        <f ca="1">'Profit and Loss'!R9</f>
        <v>28790786.222959079</v>
      </c>
      <c r="S5" s="4">
        <f ca="1">'Profit and Loss'!S9</f>
        <v>29272041.925394867</v>
      </c>
      <c r="T5" s="4">
        <f ca="1">'Profit and Loss'!T9</f>
        <v>29523154.09259652</v>
      </c>
      <c r="U5" s="4">
        <f ca="1">'Profit and Loss'!U9</f>
        <v>29776875.588514145</v>
      </c>
      <c r="V5" s="4">
        <f ca="1">'Profit and Loss'!V9</f>
        <v>30034982.473600019</v>
      </c>
      <c r="W5" s="4">
        <f ca="1">'Profit and Loss'!W9</f>
        <v>30299480.359968271</v>
      </c>
      <c r="X5" s="4">
        <f ca="1">'Profit and Loss'!X9</f>
        <v>30572623.872046217</v>
      </c>
      <c r="Y5" s="4">
        <f ca="1">'Profit and Loss'!Y9</f>
        <v>30856937.464673012</v>
      </c>
      <c r="Z5" s="4">
        <f ca="1">'Profit and Loss'!Z9</f>
        <v>31155237.683375835</v>
      </c>
      <c r="AA5" s="4">
        <f ca="1">'Profit and Loss'!AA9</f>
        <v>31470656.956482187</v>
      </c>
      <c r="AB5" s="4">
        <f ca="1">'Profit and Loss'!AB9</f>
        <v>31806669.013929565</v>
      </c>
      <c r="AC5" s="4">
        <f ca="1">'Profit and Loss'!AC9</f>
        <v>32167116.03312242</v>
      </c>
      <c r="AD5" s="4">
        <f ca="1">'Profit and Loss'!AD9</f>
        <v>32556237.617980883</v>
      </c>
      <c r="AE5" s="4">
        <f ca="1">'Profit and Loss'!AE9</f>
        <v>32978701.723437231</v>
      </c>
      <c r="AF5" s="4">
        <f ca="1">'Profit and Loss'!AF9</f>
        <v>33439637.64408645</v>
      </c>
      <c r="AG5" s="4"/>
      <c r="AH5" s="4"/>
      <c r="AI5" s="4"/>
      <c r="AJ5" s="4"/>
      <c r="AK5" s="4"/>
      <c r="AL5" s="4"/>
      <c r="AM5" s="4"/>
      <c r="AN5" s="4"/>
      <c r="AO5" s="4"/>
      <c r="AP5" s="4"/>
    </row>
    <row r="6" spans="1:42" x14ac:dyDescent="0.35">
      <c r="A6" t="s">
        <v>21</v>
      </c>
      <c r="C6" s="4">
        <f>Depreciation!C8+Depreciation!C9</f>
        <v>3244794.6521363277</v>
      </c>
      <c r="D6" s="4">
        <f>Depreciation!D8+Depreciation!D9</f>
        <v>3912805.3745726896</v>
      </c>
      <c r="E6" s="4">
        <f>Depreciation!E8+Depreciation!E9</f>
        <v>4620246.1135211913</v>
      </c>
      <c r="F6" s="4">
        <f>Depreciation!F8+Depreciation!F9</f>
        <v>5368956.3470588354</v>
      </c>
      <c r="G6" s="4">
        <f>Depreciation!G8+Depreciation!G9</f>
        <v>6160852.9035226433</v>
      </c>
      <c r="H6" s="4">
        <f>Depreciation!H8+Depreciation!H9</f>
        <v>6997933.0283007454</v>
      </c>
      <c r="I6" s="4">
        <f>Depreciation!I8+Depreciation!I9</f>
        <v>7882277.5676914388</v>
      </c>
      <c r="J6" s="4">
        <f>Depreciation!J8+Depreciation!J9</f>
        <v>8816054.2741821576</v>
      </c>
      <c r="K6" s="4">
        <f>Depreciation!K8+Depreciation!K9</f>
        <v>9801521.2376589663</v>
      </c>
      <c r="L6" s="4">
        <f>Depreciation!L8+Depreciation!L9</f>
        <v>10841030.447221527</v>
      </c>
      <c r="M6" s="4">
        <f>Depreciation!M8+Depreciation!M9</f>
        <v>11937031.488448728</v>
      </c>
      <c r="N6" s="4">
        <f>Depreciation!N8+Depreciation!N9</f>
        <v>13092075.381136518</v>
      </c>
      <c r="O6" s="4">
        <f>Depreciation!O8+Depreciation!O9</f>
        <v>14308818.562712155</v>
      </c>
      <c r="P6" s="4">
        <f>Depreciation!P8+Depreciation!P9</f>
        <v>15590027.022718344</v>
      </c>
      <c r="Q6" s="4">
        <f>Depreciation!Q8+Depreciation!Q9</f>
        <v>16938580.593956716</v>
      </c>
      <c r="R6" s="4">
        <f>Depreciation!R8+Depreciation!R9</f>
        <v>18357477.406083085</v>
      </c>
      <c r="S6" s="4">
        <f>Depreciation!S8+Depreciation!S9</f>
        <v>19849838.507657327</v>
      </c>
      <c r="T6" s="4">
        <f>Depreciation!T8+Depreciation!T9</f>
        <v>21418912.662868489</v>
      </c>
      <c r="U6" s="4">
        <f>Depreciation!U8+Depreciation!U9</f>
        <v>23068081.329381317</v>
      </c>
      <c r="V6" s="4">
        <f>Depreciation!V8+Depreciation!V9</f>
        <v>24800863.823984202</v>
      </c>
      <c r="W6" s="4">
        <f>Depreciation!W8+Depreciation!W9</f>
        <v>26620922.68296038</v>
      </c>
      <c r="X6" s="4">
        <f>Depreciation!X8+Depreciation!X9</f>
        <v>28532069.224355277</v>
      </c>
      <c r="Y6" s="4">
        <f>Depreciation!Y8+Depreciation!Y9</f>
        <v>30538269.319572084</v>
      </c>
      <c r="Z6" s="4">
        <f>Depreciation!Z8+Depreciation!Z9</f>
        <v>32643649.381997034</v>
      </c>
      <c r="AA6" s="4">
        <f>Depreciation!AA8+Depreciation!AA9</f>
        <v>34852502.580633953</v>
      </c>
      <c r="AB6" s="4">
        <f>Depreciation!AB8+Depreciation!AB9</f>
        <v>37169295.287016444</v>
      </c>
      <c r="AC6" s="4">
        <f>Depreciation!AC8+Depreciation!AC9</f>
        <v>39598673.763964854</v>
      </c>
      <c r="AD6" s="4">
        <f>Depreciation!AD8+Depreciation!AD9</f>
        <v>42145471.105064072</v>
      </c>
      <c r="AE6" s="4">
        <f>Depreciation!AE8+Depreciation!AE9</f>
        <v>44814714.434059322</v>
      </c>
      <c r="AF6" s="4">
        <f>Depreciation!AF8+Depreciation!AF9</f>
        <v>47611632.373698674</v>
      </c>
      <c r="AG6" s="4"/>
      <c r="AH6" s="4"/>
      <c r="AI6" s="4"/>
      <c r="AJ6" s="4"/>
      <c r="AK6" s="4"/>
      <c r="AL6" s="4"/>
      <c r="AM6" s="4"/>
      <c r="AN6" s="4"/>
      <c r="AO6" s="4"/>
      <c r="AP6" s="4"/>
    </row>
    <row r="7" spans="1:42" x14ac:dyDescent="0.35">
      <c r="A7" t="s">
        <v>23</v>
      </c>
      <c r="C7" s="4">
        <f ca="1">C6+C5</f>
        <v>4787921.7391493013</v>
      </c>
      <c r="D7" s="4">
        <f ca="1">D6+D5</f>
        <v>8069696.4228029177</v>
      </c>
      <c r="E7" s="4">
        <f t="shared" ref="E7:AF7" ca="1" si="1">E6+E5</f>
        <v>13486139.519241489</v>
      </c>
      <c r="F7" s="4">
        <f t="shared" ca="1" si="1"/>
        <v>18719204.115160216</v>
      </c>
      <c r="G7" s="4">
        <f ca="1">G6+G5</f>
        <v>21152416.482175656</v>
      </c>
      <c r="H7" s="4">
        <f t="shared" ca="1" si="1"/>
        <v>24081990.71976041</v>
      </c>
      <c r="I7" s="4">
        <f t="shared" ca="1" si="1"/>
        <v>26356390.089255739</v>
      </c>
      <c r="J7" s="4">
        <f t="shared" ca="1" si="1"/>
        <v>28524929.064201407</v>
      </c>
      <c r="K7" s="4">
        <f t="shared" ca="1" si="1"/>
        <v>30493477.064896788</v>
      </c>
      <c r="L7" s="4">
        <f t="shared" ca="1" si="1"/>
        <v>32688300.864390954</v>
      </c>
      <c r="M7" s="4">
        <f t="shared" ca="1" si="1"/>
        <v>35134192.430875465</v>
      </c>
      <c r="N7" s="4">
        <f t="shared" ca="1" si="1"/>
        <v>37858319.321350291</v>
      </c>
      <c r="O7" s="4">
        <f t="shared" ca="1" si="1"/>
        <v>40231363.264953136</v>
      </c>
      <c r="P7" s="4">
        <f t="shared" ca="1" si="1"/>
        <v>42826293.831348658</v>
      </c>
      <c r="Q7" s="4">
        <f t="shared" ca="1" si="1"/>
        <v>44914183.053159833</v>
      </c>
      <c r="R7" s="4">
        <f t="shared" ca="1" si="1"/>
        <v>47148263.629042163</v>
      </c>
      <c r="S7" s="4">
        <f t="shared" ca="1" si="1"/>
        <v>49121880.433052197</v>
      </c>
      <c r="T7" s="4">
        <f t="shared" ca="1" si="1"/>
        <v>50942066.755465008</v>
      </c>
      <c r="U7" s="4">
        <f t="shared" ca="1" si="1"/>
        <v>52844956.917895466</v>
      </c>
      <c r="V7" s="4">
        <f t="shared" ca="1" si="1"/>
        <v>54835846.297584221</v>
      </c>
      <c r="W7" s="4">
        <f t="shared" ca="1" si="1"/>
        <v>56920403.042928651</v>
      </c>
      <c r="X7" s="4">
        <f t="shared" ca="1" si="1"/>
        <v>59104693.096401498</v>
      </c>
      <c r="Y7" s="4">
        <f t="shared" ca="1" si="1"/>
        <v>61395206.784245096</v>
      </c>
      <c r="Z7" s="4">
        <f t="shared" ca="1" si="1"/>
        <v>63798887.065372869</v>
      </c>
      <c r="AA7" s="4">
        <f t="shared" ca="1" si="1"/>
        <v>66323159.53711614</v>
      </c>
      <c r="AB7" s="4">
        <f t="shared" ca="1" si="1"/>
        <v>68975964.300946012</v>
      </c>
      <c r="AC7" s="4">
        <f t="shared" ca="1" si="1"/>
        <v>71765789.797087282</v>
      </c>
      <c r="AD7" s="4">
        <f t="shared" ca="1" si="1"/>
        <v>74701708.723044962</v>
      </c>
      <c r="AE7" s="4">
        <f t="shared" ca="1" si="1"/>
        <v>77793416.157496557</v>
      </c>
      <c r="AF7" s="4">
        <f t="shared" ca="1" si="1"/>
        <v>81051270.017785132</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26023270.65213633</v>
      </c>
      <c r="D10" s="9">
        <f>Investment!D25</f>
        <v>27420192.606572691</v>
      </c>
      <c r="E10" s="9">
        <f>Investment!E25</f>
        <v>28879869.73694519</v>
      </c>
      <c r="F10" s="9">
        <f>Investment!F25</f>
        <v>30404887.926432405</v>
      </c>
      <c r="G10" s="9">
        <f>Investment!G25</f>
        <v>31997934.29343617</v>
      </c>
      <c r="H10" s="9">
        <f>Investment!H25</f>
        <v>33661801.022691496</v>
      </c>
      <c r="I10" s="9">
        <f>Investment!I25</f>
        <v>35399389.337902695</v>
      </c>
      <c r="J10" s="9">
        <f>Investment!J25</f>
        <v>37213713.621040173</v>
      </c>
      <c r="K10" s="9">
        <f>Investment!K25</f>
        <v>39107905.683616444</v>
      </c>
      <c r="L10" s="9">
        <f>Investment!L25</f>
        <v>41085219.195449643</v>
      </c>
      <c r="M10" s="9">
        <f>Investment!M25</f>
        <v>43149034.276620135</v>
      </c>
      <c r="N10" s="9">
        <f>Investment!N25</f>
        <v>45302862.258529417</v>
      </c>
      <c r="O10" s="9">
        <f>Investment!O25</f>
        <v>47550350.620181635</v>
      </c>
      <c r="P10" s="9">
        <f>Investment!P25</f>
        <v>49895288.106026828</v>
      </c>
      <c r="Q10" s="9">
        <f>Investment!Q25</f>
        <v>52341610.031931072</v>
      </c>
      <c r="R10" s="9">
        <f>Investment!R25</f>
        <v>54893403.786072627</v>
      </c>
      <c r="S10" s="9">
        <f>Investment!S25</f>
        <v>57554914.531806543</v>
      </c>
      <c r="T10" s="9">
        <f>Investment!T25</f>
        <v>60330551.119790465</v>
      </c>
      <c r="U10" s="9">
        <f>Investment!U25</f>
        <v>63224892.216924801</v>
      </c>
      <c r="V10" s="9">
        <f>Investment!V25</f>
        <v>66242692.659929082</v>
      </c>
      <c r="W10" s="9">
        <f>Investment!W25</f>
        <v>69388890.041655511</v>
      </c>
      <c r="X10" s="9">
        <f>Investment!X25</f>
        <v>72668611.538528621</v>
      </c>
      <c r="Y10" s="9">
        <f>Investment!Y25</f>
        <v>76087180.987798989</v>
      </c>
      <c r="Z10" s="9">
        <f>Investment!Z25</f>
        <v>79650126.223607197</v>
      </c>
      <c r="AA10" s="9">
        <f>Investment!AA25</f>
        <v>83363186.681175649</v>
      </c>
      <c r="AB10" s="9">
        <f>Investment!AB25</f>
        <v>87232321.278775468</v>
      </c>
      <c r="AC10" s="9">
        <f>Investment!AC25</f>
        <v>91263716.58746016</v>
      </c>
      <c r="AD10" s="9">
        <f>Investment!AD25</f>
        <v>95463795.298911244</v>
      </c>
      <c r="AE10" s="9">
        <f>Investment!AE25</f>
        <v>99839225.002109587</v>
      </c>
      <c r="AF10" s="9">
        <f>Investment!AF25</f>
        <v>104396927.27992654</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-21235348.912987027</v>
      </c>
      <c r="D12" s="1">
        <f t="shared" ref="D12:AF12" ca="1" si="2">D7-D9-D10</f>
        <v>-19350496.183769774</v>
      </c>
      <c r="E12" s="1">
        <f ca="1">E7-E9-E10</f>
        <v>-15393730.2177037</v>
      </c>
      <c r="F12" s="1">
        <f t="shared" ca="1" si="2"/>
        <v>-11685683.811272189</v>
      </c>
      <c r="G12" s="1">
        <f ca="1">G7-G9-G10</f>
        <v>-10845517.811260514</v>
      </c>
      <c r="H12" s="1">
        <f t="shared" ca="1" si="2"/>
        <v>-9579810.3029310852</v>
      </c>
      <c r="I12" s="1">
        <f t="shared" ca="1" si="2"/>
        <v>-9042999.2486469559</v>
      </c>
      <c r="J12" s="1">
        <f t="shared" ca="1" si="2"/>
        <v>-8688784.5568387657</v>
      </c>
      <c r="K12" s="1">
        <f t="shared" ca="1" si="2"/>
        <v>-8614428.618719656</v>
      </c>
      <c r="L12" s="1">
        <f t="shared" ca="1" si="2"/>
        <v>-8396918.3310586885</v>
      </c>
      <c r="M12" s="1">
        <f t="shared" ca="1" si="2"/>
        <v>-8014841.8457446694</v>
      </c>
      <c r="N12" s="1">
        <f t="shared" ca="1" si="2"/>
        <v>-7444542.9371791258</v>
      </c>
      <c r="O12" s="1">
        <f t="shared" ca="1" si="2"/>
        <v>-7318987.3552284986</v>
      </c>
      <c r="P12" s="1">
        <f t="shared" ca="1" si="2"/>
        <v>-7068994.2746781707</v>
      </c>
      <c r="Q12" s="1">
        <f t="shared" ca="1" si="2"/>
        <v>-7427426.9787712395</v>
      </c>
      <c r="R12" s="1">
        <f t="shared" ca="1" si="2"/>
        <v>-7745140.1570304632</v>
      </c>
      <c r="S12" s="1">
        <f t="shared" ca="1" si="2"/>
        <v>-8433034.0987543464</v>
      </c>
      <c r="T12" s="1">
        <f t="shared" ca="1" si="2"/>
        <v>-9388484.3643254563</v>
      </c>
      <c r="U12" s="1">
        <f t="shared" ca="1" si="2"/>
        <v>-10379935.299029335</v>
      </c>
      <c r="V12" s="1">
        <f t="shared" ca="1" si="2"/>
        <v>-11406846.362344861</v>
      </c>
      <c r="W12" s="1">
        <f t="shared" ca="1" si="2"/>
        <v>-12468486.99872686</v>
      </c>
      <c r="X12" s="1">
        <f t="shared" ca="1" si="2"/>
        <v>-13563918.442127123</v>
      </c>
      <c r="Y12" s="1">
        <f t="shared" ca="1" si="2"/>
        <v>-14691974.203553893</v>
      </c>
      <c r="Z12" s="1">
        <f t="shared" ca="1" si="2"/>
        <v>-15851239.158234328</v>
      </c>
      <c r="AA12" s="1">
        <f t="shared" ca="1" si="2"/>
        <v>-17040027.144059509</v>
      </c>
      <c r="AB12" s="1">
        <f t="shared" ca="1" si="2"/>
        <v>-18256356.977829456</v>
      </c>
      <c r="AC12" s="1">
        <f t="shared" ca="1" si="2"/>
        <v>-19497926.790372878</v>
      </c>
      <c r="AD12" s="1">
        <f t="shared" ca="1" si="2"/>
        <v>-20762086.575866282</v>
      </c>
      <c r="AE12" s="1">
        <f t="shared" ca="1" si="2"/>
        <v>-22045808.844613031</v>
      </c>
      <c r="AF12" s="1">
        <f t="shared" ca="1" si="2"/>
        <v>-23345657.262141407</v>
      </c>
      <c r="AG12" s="1"/>
      <c r="AH12" s="1"/>
      <c r="AI12" s="1"/>
      <c r="AJ12" s="1"/>
      <c r="AK12" s="1"/>
      <c r="AL12" s="1"/>
      <c r="AM12" s="1"/>
      <c r="AN12" s="1"/>
      <c r="AO12" s="1"/>
      <c r="AP12" s="1"/>
    </row>
    <row r="13" spans="1:42" x14ac:dyDescent="0.35">
      <c r="A13" t="s">
        <v>19</v>
      </c>
      <c r="C13" s="1">
        <f ca="1">C12</f>
        <v>-21235348.912987027</v>
      </c>
      <c r="D13" s="1">
        <f ca="1">D12</f>
        <v>-19350496.183769774</v>
      </c>
      <c r="E13" s="1">
        <f ca="1">E12</f>
        <v>-15393730.2177037</v>
      </c>
      <c r="F13" s="1">
        <f t="shared" ref="F13:AF13" ca="1" si="3">F12</f>
        <v>-11685683.811272189</v>
      </c>
      <c r="G13" s="1">
        <f ca="1">G12</f>
        <v>-10845517.811260514</v>
      </c>
      <c r="H13" s="1">
        <f t="shared" ca="1" si="3"/>
        <v>-9579810.3029310852</v>
      </c>
      <c r="I13" s="1">
        <f t="shared" ca="1" si="3"/>
        <v>-9042999.2486469559</v>
      </c>
      <c r="J13" s="1">
        <f t="shared" ca="1" si="3"/>
        <v>-8688784.5568387657</v>
      </c>
      <c r="K13" s="1">
        <f t="shared" ca="1" si="3"/>
        <v>-8614428.618719656</v>
      </c>
      <c r="L13" s="1">
        <f t="shared" ca="1" si="3"/>
        <v>-8396918.3310586885</v>
      </c>
      <c r="M13" s="1">
        <f t="shared" ca="1" si="3"/>
        <v>-8014841.8457446694</v>
      </c>
      <c r="N13" s="1">
        <f t="shared" ca="1" si="3"/>
        <v>-7444542.9371791258</v>
      </c>
      <c r="O13" s="1">
        <f t="shared" ca="1" si="3"/>
        <v>-7318987.3552284986</v>
      </c>
      <c r="P13" s="1">
        <f t="shared" ca="1" si="3"/>
        <v>-7068994.2746781707</v>
      </c>
      <c r="Q13" s="1">
        <f t="shared" ca="1" si="3"/>
        <v>-7427426.9787712395</v>
      </c>
      <c r="R13" s="1">
        <f t="shared" ca="1" si="3"/>
        <v>-7745140.1570304632</v>
      </c>
      <c r="S13" s="1">
        <f t="shared" ca="1" si="3"/>
        <v>-8433034.0987543464</v>
      </c>
      <c r="T13" s="1">
        <f t="shared" ca="1" si="3"/>
        <v>-9388484.3643254563</v>
      </c>
      <c r="U13" s="1">
        <f t="shared" ca="1" si="3"/>
        <v>-10379935.299029335</v>
      </c>
      <c r="V13" s="1">
        <f t="shared" ca="1" si="3"/>
        <v>-11406846.362344861</v>
      </c>
      <c r="W13" s="1">
        <f t="shared" ca="1" si="3"/>
        <v>-12468486.99872686</v>
      </c>
      <c r="X13" s="1">
        <f t="shared" ca="1" si="3"/>
        <v>-13563918.442127123</v>
      </c>
      <c r="Y13" s="1">
        <f t="shared" ca="1" si="3"/>
        <v>-14691974.203553893</v>
      </c>
      <c r="Z13" s="1">
        <f t="shared" ca="1" si="3"/>
        <v>-15851239.158234328</v>
      </c>
      <c r="AA13" s="1">
        <f t="shared" ca="1" si="3"/>
        <v>-17040027.144059509</v>
      </c>
      <c r="AB13" s="1">
        <f t="shared" ca="1" si="3"/>
        <v>-18256356.977829456</v>
      </c>
      <c r="AC13" s="1">
        <f t="shared" ca="1" si="3"/>
        <v>-19497926.790372878</v>
      </c>
      <c r="AD13" s="1">
        <f t="shared" ca="1" si="3"/>
        <v>-20762086.575866282</v>
      </c>
      <c r="AE13" s="1">
        <f t="shared" ca="1" si="3"/>
        <v>-22045808.844613031</v>
      </c>
      <c r="AF13" s="1">
        <f t="shared" ca="1" si="3"/>
        <v>-23345657.262141407</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80" zoomScaleNormal="8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138</v>
      </c>
      <c r="C6" s="9">
        <f>Assumptions!C17</f>
        <v>192554374.63000005</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96277187.315000027</v>
      </c>
      <c r="D7" s="9">
        <f>C12</f>
        <v>99521981.967136353</v>
      </c>
      <c r="E7" s="9">
        <f>D12</f>
        <v>103434787.34170905</v>
      </c>
      <c r="F7" s="9">
        <f t="shared" ref="F7:H7" si="1">E12</f>
        <v>108055033.45523024</v>
      </c>
      <c r="G7" s="9">
        <f t="shared" si="1"/>
        <v>113423989.80228908</v>
      </c>
      <c r="H7" s="9">
        <f t="shared" si="1"/>
        <v>119584842.70581174</v>
      </c>
      <c r="I7" s="9">
        <f t="shared" ref="I7" si="2">H12</f>
        <v>126582775.73411249</v>
      </c>
      <c r="J7" s="9">
        <f t="shared" ref="J7" si="3">I12</f>
        <v>134465053.30180392</v>
      </c>
      <c r="K7" s="9">
        <f t="shared" ref="K7" si="4">J12</f>
        <v>143281107.57598609</v>
      </c>
      <c r="L7" s="9">
        <f t="shared" ref="L7" si="5">K12</f>
        <v>153082628.81364504</v>
      </c>
      <c r="M7" s="9">
        <f t="shared" ref="M7" si="6">L12</f>
        <v>163923659.26086655</v>
      </c>
      <c r="N7" s="9">
        <f t="shared" ref="N7" si="7">M12</f>
        <v>175860690.74931529</v>
      </c>
      <c r="O7" s="9">
        <f t="shared" ref="O7" si="8">N12</f>
        <v>188952766.1304518</v>
      </c>
      <c r="P7" s="9">
        <f t="shared" ref="P7" si="9">O12</f>
        <v>203261584.69316396</v>
      </c>
      <c r="Q7" s="9">
        <f t="shared" ref="Q7" si="10">P12</f>
        <v>218851611.71588233</v>
      </c>
      <c r="R7" s="9">
        <f t="shared" ref="R7" si="11">Q12</f>
        <v>235790192.30983904</v>
      </c>
      <c r="S7" s="9">
        <f t="shared" ref="S7" si="12">R12</f>
        <v>254147669.71592212</v>
      </c>
      <c r="T7" s="9">
        <f t="shared" ref="T7" si="13">S12</f>
        <v>273997508.22357947</v>
      </c>
      <c r="U7" s="9">
        <f t="shared" ref="U7" si="14">T12</f>
        <v>295416420.88644797</v>
      </c>
      <c r="V7" s="9">
        <f t="shared" ref="V7" si="15">U12</f>
        <v>318484502.21582931</v>
      </c>
      <c r="W7" s="9">
        <f t="shared" ref="W7" si="16">V12</f>
        <v>343285366.03981352</v>
      </c>
      <c r="X7" s="9">
        <f t="shared" ref="X7" si="17">W12</f>
        <v>369906288.72277391</v>
      </c>
      <c r="Y7" s="9">
        <f t="shared" ref="Y7" si="18">X12</f>
        <v>398438357.94712919</v>
      </c>
      <c r="Z7" s="9">
        <f t="shared" ref="Z7" si="19">Y12</f>
        <v>428976627.26670128</v>
      </c>
      <c r="AA7" s="9">
        <f t="shared" ref="AA7" si="20">Z12</f>
        <v>461620276.64869827</v>
      </c>
      <c r="AB7" s="9">
        <f t="shared" ref="AB7" si="21">AA12</f>
        <v>496472779.22933221</v>
      </c>
      <c r="AC7" s="9">
        <f t="shared" ref="AC7" si="22">AB12</f>
        <v>533642074.51634866</v>
      </c>
      <c r="AD7" s="9">
        <f t="shared" ref="AD7" si="23">AC12</f>
        <v>573240748.28031349</v>
      </c>
      <c r="AE7" s="9">
        <f t="shared" ref="AE7" si="24">AD12</f>
        <v>615386219.38537753</v>
      </c>
      <c r="AF7" s="9">
        <f t="shared" ref="AF7" si="25">AE12</f>
        <v>660200933.81943691</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139</v>
      </c>
      <c r="C8" s="9">
        <f>Assumptions!D111*Assumptions!D11</f>
        <v>2698111.2281363276</v>
      </c>
      <c r="D8" s="9">
        <f>Assumptions!E111*Assumptions!E11</f>
        <v>2784450.7874366897</v>
      </c>
      <c r="E8" s="9">
        <f>Assumptions!F111*Assumptions!F11</f>
        <v>2873553.2126346636</v>
      </c>
      <c r="F8" s="9">
        <f>Assumptions!G111*Assumptions!G11</f>
        <v>2965506.9154389729</v>
      </c>
      <c r="G8" s="9">
        <f>Assumptions!H111*Assumptions!H11</f>
        <v>3060403.1367330207</v>
      </c>
      <c r="H8" s="9">
        <f>Assumptions!I111*Assumptions!I11</f>
        <v>3158336.0371084767</v>
      </c>
      <c r="I8" s="9">
        <f>Assumptions!J111*Assumptions!J11</f>
        <v>3259402.7902959473</v>
      </c>
      <c r="J8" s="9">
        <f>Assumptions!K111*Assumptions!K11</f>
        <v>3363703.6795854182</v>
      </c>
      <c r="K8" s="9">
        <f>Assumptions!L111*Assumptions!L11</f>
        <v>3471342.1973321522</v>
      </c>
      <c r="L8" s="9">
        <f>Assumptions!M111*Assumptions!M11</f>
        <v>3582425.1476467806</v>
      </c>
      <c r="M8" s="9">
        <f>Assumptions!N111*Assumptions!N11</f>
        <v>3697062.7523714774</v>
      </c>
      <c r="N8" s="9">
        <f>Assumptions!O111*Assumptions!O11</f>
        <v>3815368.7604473648</v>
      </c>
      <c r="O8" s="9">
        <f>Assumptions!P111*Assumptions!P11</f>
        <v>3937460.560781681</v>
      </c>
      <c r="P8" s="9">
        <f>Assumptions!Q111*Assumptions!Q11</f>
        <v>4063459.2987266937</v>
      </c>
      <c r="Q8" s="9">
        <f>Assumptions!R111*Assumptions!R11</f>
        <v>4193489.9962859475</v>
      </c>
      <c r="R8" s="9">
        <f>Assumptions!S111*Assumptions!S11</f>
        <v>4327681.6761670988</v>
      </c>
      <c r="S8" s="9">
        <f>Assumptions!T111*Assumptions!T11</f>
        <v>4466167.4898044467</v>
      </c>
      <c r="T8" s="9">
        <f>Assumptions!U111*Assumptions!U11</f>
        <v>4609084.849478188</v>
      </c>
      <c r="U8" s="9">
        <f>Assumptions!V111*Assumptions!V11</f>
        <v>4756575.5646614898</v>
      </c>
      <c r="V8" s="9">
        <f>Assumptions!W111*Assumptions!W11</f>
        <v>4908785.9827306578</v>
      </c>
      <c r="W8" s="9">
        <f>Assumptions!X111*Assumptions!X11</f>
        <v>5065867.1341780396</v>
      </c>
      <c r="X8" s="9">
        <f>Assumptions!Y111*Assumptions!Y11</f>
        <v>5227974.8824717356</v>
      </c>
      <c r="Y8" s="9">
        <f>Assumptions!Z111*Assumptions!Z11</f>
        <v>5395270.0787108308</v>
      </c>
      <c r="Z8" s="9">
        <f>Assumptions!AA111*Assumptions!AA11</f>
        <v>5567918.7212295774</v>
      </c>
      <c r="AA8" s="9">
        <f>Assumptions!AB111*Assumptions!AB11</f>
        <v>5746092.1203089254</v>
      </c>
      <c r="AB8" s="9">
        <f>Assumptions!AC111*Assumptions!AC11</f>
        <v>5929967.06815881</v>
      </c>
      <c r="AC8" s="9">
        <f>Assumptions!AD111*Assumptions!AD11</f>
        <v>6119726.0143398913</v>
      </c>
      <c r="AD8" s="9">
        <f>Assumptions!AE111*Assumptions!AE11</f>
        <v>6315557.2467987686</v>
      </c>
      <c r="AE8" s="9">
        <f>Assumptions!AF111*Assumptions!AF11</f>
        <v>6517655.0786963291</v>
      </c>
      <c r="AF8" s="9">
        <f>Assumptions!AG111*Assumptions!AG11</f>
        <v>6726220.0412146104</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546683.424</v>
      </c>
      <c r="D9" s="9">
        <f>Assumptions!E120*Assumptions!E11</f>
        <v>1128354.5871359999</v>
      </c>
      <c r="E9" s="9">
        <f>Assumptions!F120*Assumptions!F11</f>
        <v>1746692.9008865277</v>
      </c>
      <c r="F9" s="9">
        <f>Assumptions!G120*Assumptions!G11</f>
        <v>2403449.4316198626</v>
      </c>
      <c r="G9" s="9">
        <f>Assumptions!H120*Assumptions!H11</f>
        <v>3100449.7667896226</v>
      </c>
      <c r="H9" s="9">
        <f>Assumptions!I120*Assumptions!I11</f>
        <v>3839596.9911922682</v>
      </c>
      <c r="I9" s="9">
        <f>Assumptions!J120*Assumptions!J11</f>
        <v>4622874.7773954915</v>
      </c>
      <c r="J9" s="9">
        <f>Assumptions!K120*Assumptions!K11</f>
        <v>5452350.5945967389</v>
      </c>
      <c r="K9" s="9">
        <f>Assumptions!L120*Assumptions!L11</f>
        <v>6330179.0403268151</v>
      </c>
      <c r="L9" s="9">
        <f>Assumptions!M120*Assumptions!M11</f>
        <v>7258605.2995747468</v>
      </c>
      <c r="M9" s="9">
        <f>Assumptions!N120*Assumptions!N11</f>
        <v>8239968.7360772509</v>
      </c>
      <c r="N9" s="9">
        <f>Assumptions!O120*Assumptions!O11</f>
        <v>9276706.6206891537</v>
      </c>
      <c r="O9" s="9">
        <f>Assumptions!P120*Assumptions!P11</f>
        <v>10371358.001930473</v>
      </c>
      <c r="P9" s="9">
        <f>Assumptions!Q120*Assumptions!Q11</f>
        <v>11526567.723991651</v>
      </c>
      <c r="Q9" s="9">
        <f>Assumptions!R120*Assumptions!R11</f>
        <v>12745090.597670767</v>
      </c>
      <c r="R9" s="9">
        <f>Assumptions!S120*Assumptions!S11</f>
        <v>14029795.729915984</v>
      </c>
      <c r="S9" s="9">
        <f>Assumptions!T120*Assumptions!T11</f>
        <v>15383671.017852882</v>
      </c>
      <c r="T9" s="9">
        <f>Assumptions!U120*Assumptions!U11</f>
        <v>16809827.8133903</v>
      </c>
      <c r="U9" s="9">
        <f>Assumptions!V120*Assumptions!V11</f>
        <v>18311505.764719829</v>
      </c>
      <c r="V9" s="9">
        <f>Assumptions!W120*Assumptions!W11</f>
        <v>19892077.841253545</v>
      </c>
      <c r="W9" s="9">
        <f>Assumptions!X120*Assumptions!X11</f>
        <v>21555055.548782341</v>
      </c>
      <c r="X9" s="9">
        <f>Assumptions!Y120*Assumptions!Y11</f>
        <v>23304094.34188354</v>
      </c>
      <c r="Y9" s="9">
        <f>Assumptions!Z120*Assumptions!Z11</f>
        <v>25142999.240861252</v>
      </c>
      <c r="Z9" s="9">
        <f>Assumptions!AA120*Assumptions!AA11</f>
        <v>27075730.660767458</v>
      </c>
      <c r="AA9" s="9">
        <f>Assumptions!AB120*Assumptions!AB11</f>
        <v>29106410.460325029</v>
      </c>
      <c r="AB9" s="9">
        <f>Assumptions!AC120*Assumptions!AC11</f>
        <v>31239328.218857635</v>
      </c>
      <c r="AC9" s="9">
        <f>Assumptions!AD120*Assumptions!AD11</f>
        <v>33478947.74962496</v>
      </c>
      <c r="AD9" s="9">
        <f>Assumptions!AE120*Assumptions!AE11</f>
        <v>35829913.858265303</v>
      </c>
      <c r="AE9" s="9">
        <f>Assumptions!AF120*Assumptions!AF11</f>
        <v>38297059.355362989</v>
      </c>
      <c r="AF9" s="9">
        <f>Assumptions!AG120*Assumptions!AG11</f>
        <v>40885412.332484066</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36</v>
      </c>
      <c r="C10" s="9">
        <f>SUM($C$8:C9)</f>
        <v>3244794.6521363277</v>
      </c>
      <c r="D10" s="9">
        <f>SUM($C$8:D9)</f>
        <v>7157600.0267090164</v>
      </c>
      <c r="E10" s="9">
        <f>SUM($C$8:E9)</f>
        <v>11777846.14023021</v>
      </c>
      <c r="F10" s="9">
        <f>SUM($C$8:F9)</f>
        <v>17146802.487289045</v>
      </c>
      <c r="G10" s="9">
        <f>SUM($C$8:G9)</f>
        <v>23307655.390811689</v>
      </c>
      <c r="H10" s="9">
        <f>SUM($C$8:H9)</f>
        <v>30305588.419112436</v>
      </c>
      <c r="I10" s="9">
        <f>SUM($C$8:I9)</f>
        <v>38187865.986803874</v>
      </c>
      <c r="J10" s="9">
        <f>SUM($C$8:J9)</f>
        <v>47003920.26098603</v>
      </c>
      <c r="K10" s="9">
        <f>SUM($C$8:K9)</f>
        <v>56805441.498644993</v>
      </c>
      <c r="L10" s="9">
        <f>SUM($C$8:L9)</f>
        <v>67646471.945866525</v>
      </c>
      <c r="M10" s="9">
        <f>SUM($C$8:M9)</f>
        <v>79583503.434315249</v>
      </c>
      <c r="N10" s="9">
        <f>SUM($C$8:N9)</f>
        <v>92675578.815451771</v>
      </c>
      <c r="O10" s="9">
        <f>SUM($C$8:O9)</f>
        <v>106984397.37816393</v>
      </c>
      <c r="P10" s="9">
        <f>SUM($C$8:P9)</f>
        <v>122574424.40088227</v>
      </c>
      <c r="Q10" s="9">
        <f>SUM($C$8:Q9)</f>
        <v>139513004.99483898</v>
      </c>
      <c r="R10" s="9">
        <f>SUM($C$8:R9)</f>
        <v>157870482.40092206</v>
      </c>
      <c r="S10" s="9">
        <f>SUM($C$8:S9)</f>
        <v>177720320.90857938</v>
      </c>
      <c r="T10" s="9">
        <f>SUM($C$8:T9)</f>
        <v>199139233.57144785</v>
      </c>
      <c r="U10" s="9">
        <f>SUM($C$8:U9)</f>
        <v>222207314.9008292</v>
      </c>
      <c r="V10" s="9">
        <f>SUM($C$8:V9)</f>
        <v>247008178.72481337</v>
      </c>
      <c r="W10" s="9">
        <f>SUM($C$8:W9)</f>
        <v>273629101.40777373</v>
      </c>
      <c r="X10" s="9">
        <f>SUM($C$8:X9)</f>
        <v>302161170.63212901</v>
      </c>
      <c r="Y10" s="9">
        <f>SUM($C$8:Y9)</f>
        <v>332699439.9517011</v>
      </c>
      <c r="Z10" s="9">
        <f>SUM($C$8:Z9)</f>
        <v>365343089.33369815</v>
      </c>
      <c r="AA10" s="9">
        <f>SUM($C$8:AA9)</f>
        <v>400195591.91433203</v>
      </c>
      <c r="AB10" s="9">
        <f>SUM($C$8:AB9)</f>
        <v>437364887.20134848</v>
      </c>
      <c r="AC10" s="9">
        <f>SUM($C$8:AC9)</f>
        <v>476963560.96531332</v>
      </c>
      <c r="AD10" s="9">
        <f>SUM($C$8:AD9)</f>
        <v>519109032.07037741</v>
      </c>
      <c r="AE10" s="9">
        <f>SUM($C$8:AE9)</f>
        <v>563923746.50443673</v>
      </c>
      <c r="AF10" s="9">
        <f>SUM($C$8:AF9)</f>
        <v>611535378.87813544</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99521981.967136353</v>
      </c>
      <c r="D12" s="9">
        <f>D7+D8+D9</f>
        <v>103434787.34170905</v>
      </c>
      <c r="E12" s="9">
        <f>E7+E8+E9</f>
        <v>108055033.45523024</v>
      </c>
      <c r="F12" s="9">
        <f t="shared" ref="F12:H12" si="26">F7+F8+F9</f>
        <v>113423989.80228908</v>
      </c>
      <c r="G12" s="9">
        <f t="shared" si="26"/>
        <v>119584842.70581174</v>
      </c>
      <c r="H12" s="9">
        <f t="shared" si="26"/>
        <v>126582775.73411249</v>
      </c>
      <c r="I12" s="9">
        <f t="shared" ref="I12:AF12" si="27">I7+I8+I9</f>
        <v>134465053.30180392</v>
      </c>
      <c r="J12" s="9">
        <f t="shared" si="27"/>
        <v>143281107.57598609</v>
      </c>
      <c r="K12" s="9">
        <f t="shared" si="27"/>
        <v>153082628.81364504</v>
      </c>
      <c r="L12" s="9">
        <f t="shared" si="27"/>
        <v>163923659.26086655</v>
      </c>
      <c r="M12" s="9">
        <f t="shared" si="27"/>
        <v>175860690.74931529</v>
      </c>
      <c r="N12" s="9">
        <f t="shared" si="27"/>
        <v>188952766.1304518</v>
      </c>
      <c r="O12" s="9">
        <f t="shared" si="27"/>
        <v>203261584.69316396</v>
      </c>
      <c r="P12" s="9">
        <f t="shared" si="27"/>
        <v>218851611.71588233</v>
      </c>
      <c r="Q12" s="9">
        <f t="shared" si="27"/>
        <v>235790192.30983904</v>
      </c>
      <c r="R12" s="9">
        <f t="shared" si="27"/>
        <v>254147669.71592212</v>
      </c>
      <c r="S12" s="9">
        <f t="shared" si="27"/>
        <v>273997508.22357947</v>
      </c>
      <c r="T12" s="9">
        <f t="shared" si="27"/>
        <v>295416420.88644797</v>
      </c>
      <c r="U12" s="9">
        <f t="shared" si="27"/>
        <v>318484502.21582931</v>
      </c>
      <c r="V12" s="9">
        <f t="shared" si="27"/>
        <v>343285366.03981352</v>
      </c>
      <c r="W12" s="9">
        <f t="shared" si="27"/>
        <v>369906288.72277391</v>
      </c>
      <c r="X12" s="9">
        <f t="shared" si="27"/>
        <v>398438357.94712919</v>
      </c>
      <c r="Y12" s="9">
        <f t="shared" si="27"/>
        <v>428976627.26670128</v>
      </c>
      <c r="Z12" s="9">
        <f t="shared" si="27"/>
        <v>461620276.64869827</v>
      </c>
      <c r="AA12" s="9">
        <f t="shared" si="27"/>
        <v>496472779.22933221</v>
      </c>
      <c r="AB12" s="9">
        <f t="shared" si="27"/>
        <v>533642074.51634866</v>
      </c>
      <c r="AC12" s="9">
        <f t="shared" si="27"/>
        <v>573240748.28031349</v>
      </c>
      <c r="AD12" s="9">
        <f t="shared" si="27"/>
        <v>615386219.38537753</v>
      </c>
      <c r="AE12" s="9">
        <f t="shared" si="27"/>
        <v>660200933.81943691</v>
      </c>
      <c r="AF12" s="9">
        <f t="shared" si="27"/>
        <v>707812566.1931355</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26023270.65213633</v>
      </c>
      <c r="D18" s="9">
        <f>Investment!D25</f>
        <v>27420192.606572691</v>
      </c>
      <c r="E18" s="9">
        <f>Investment!E25</f>
        <v>28879869.73694519</v>
      </c>
      <c r="F18" s="9">
        <f>Investment!F25</f>
        <v>30404887.926432405</v>
      </c>
      <c r="G18" s="9">
        <f>Investment!G25</f>
        <v>31997934.29343617</v>
      </c>
      <c r="H18" s="9">
        <f>Investment!H25</f>
        <v>33661801.022691496</v>
      </c>
      <c r="I18" s="9">
        <f>Investment!I25</f>
        <v>35399389.337902695</v>
      </c>
      <c r="J18" s="9">
        <f>Investment!J25</f>
        <v>37213713.621040173</v>
      </c>
      <c r="K18" s="9">
        <f>Investment!K25</f>
        <v>39107905.683616444</v>
      </c>
      <c r="L18" s="9">
        <f>Investment!L25</f>
        <v>41085219.195449643</v>
      </c>
      <c r="M18" s="9">
        <f>Investment!M25</f>
        <v>43149034.276620135</v>
      </c>
      <c r="N18" s="9">
        <f>Investment!N25</f>
        <v>45302862.258529417</v>
      </c>
      <c r="O18" s="9">
        <f>Investment!O25</f>
        <v>47550350.620181635</v>
      </c>
      <c r="P18" s="9">
        <f>Investment!P25</f>
        <v>49895288.106026828</v>
      </c>
      <c r="Q18" s="9">
        <f>Investment!Q25</f>
        <v>52341610.031931072</v>
      </c>
      <c r="R18" s="9">
        <f>Investment!R25</f>
        <v>54893403.786072627</v>
      </c>
      <c r="S18" s="9">
        <f>Investment!S25</f>
        <v>57554914.531806543</v>
      </c>
      <c r="T18" s="9">
        <f>Investment!T25</f>
        <v>60330551.119790465</v>
      </c>
      <c r="U18" s="9">
        <f>Investment!U25</f>
        <v>63224892.216924801</v>
      </c>
      <c r="V18" s="9">
        <f>Investment!V25</f>
        <v>66242692.659929082</v>
      </c>
      <c r="W18" s="9">
        <f>Investment!W25</f>
        <v>69388890.041655511</v>
      </c>
      <c r="X18" s="9">
        <f>Investment!X25</f>
        <v>72668611.538528621</v>
      </c>
      <c r="Y18" s="9">
        <f>Investment!Y25</f>
        <v>76087180.987798989</v>
      </c>
      <c r="Z18" s="9">
        <f>Investment!Z25</f>
        <v>79650126.223607197</v>
      </c>
      <c r="AA18" s="9">
        <f>Investment!AA25</f>
        <v>83363186.681175649</v>
      </c>
      <c r="AB18" s="9">
        <f>Investment!AB25</f>
        <v>87232321.278775468</v>
      </c>
      <c r="AC18" s="9">
        <f>Investment!AC25</f>
        <v>91263716.58746016</v>
      </c>
      <c r="AD18" s="9">
        <f>Investment!AD25</f>
        <v>95463795.298911244</v>
      </c>
      <c r="AE18" s="9">
        <f>Investment!AE25</f>
        <v>99839225.002109587</v>
      </c>
      <c r="AF18" s="9">
        <f>Investment!AF25</f>
        <v>104396927.27992654</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45</v>
      </c>
      <c r="C19" s="9">
        <f>$C$6-C7+C18</f>
        <v>122300457.96713635</v>
      </c>
      <c r="D19" s="9">
        <f>D18+C20</f>
        <v>146475855.92157272</v>
      </c>
      <c r="E19" s="9">
        <f>E18+D20</f>
        <v>171442920.2839452</v>
      </c>
      <c r="F19" s="9">
        <f t="shared" ref="F19:AF19" si="28">F18+E20</f>
        <v>197227562.09685642</v>
      </c>
      <c r="G19" s="9">
        <f t="shared" si="28"/>
        <v>223856540.04323375</v>
      </c>
      <c r="H19" s="9">
        <f t="shared" si="28"/>
        <v>251357488.1624026</v>
      </c>
      <c r="I19" s="9">
        <f t="shared" si="28"/>
        <v>279758944.47200453</v>
      </c>
      <c r="J19" s="9">
        <f t="shared" si="28"/>
        <v>309090380.52535325</v>
      </c>
      <c r="K19" s="9">
        <f t="shared" si="28"/>
        <v>339382231.93478757</v>
      </c>
      <c r="L19" s="9">
        <f t="shared" si="28"/>
        <v>370665929.89257824</v>
      </c>
      <c r="M19" s="9">
        <f t="shared" si="28"/>
        <v>402973933.72197688</v>
      </c>
      <c r="N19" s="9">
        <f t="shared" si="28"/>
        <v>436339764.49205756</v>
      </c>
      <c r="O19" s="9">
        <f t="shared" si="28"/>
        <v>470798039.73110265</v>
      </c>
      <c r="P19" s="9">
        <f t="shared" si="28"/>
        <v>506384509.27441734</v>
      </c>
      <c r="Q19" s="9">
        <f t="shared" si="28"/>
        <v>543136092.28363013</v>
      </c>
      <c r="R19" s="9">
        <f t="shared" si="28"/>
        <v>581090915.47574604</v>
      </c>
      <c r="S19" s="9">
        <f t="shared" si="28"/>
        <v>620288352.60146952</v>
      </c>
      <c r="T19" s="9">
        <f t="shared" si="28"/>
        <v>660769065.21360254</v>
      </c>
      <c r="U19" s="9">
        <f t="shared" si="28"/>
        <v>702575044.76765883</v>
      </c>
      <c r="V19" s="9">
        <f t="shared" si="28"/>
        <v>745749656.09820652</v>
      </c>
      <c r="W19" s="9">
        <f t="shared" si="28"/>
        <v>790337682.31587791</v>
      </c>
      <c r="X19" s="9">
        <f t="shared" si="28"/>
        <v>836385371.17144608</v>
      </c>
      <c r="Y19" s="9">
        <f t="shared" si="28"/>
        <v>883940482.93488979</v>
      </c>
      <c r="Z19" s="9">
        <f t="shared" si="28"/>
        <v>933052339.83892488</v>
      </c>
      <c r="AA19" s="9">
        <f t="shared" si="28"/>
        <v>983771877.13810349</v>
      </c>
      <c r="AB19" s="9">
        <f t="shared" si="28"/>
        <v>1036151695.8362451</v>
      </c>
      <c r="AC19" s="9">
        <f t="shared" si="28"/>
        <v>1090246117.1366887</v>
      </c>
      <c r="AD19" s="9">
        <f t="shared" si="28"/>
        <v>1146111238.6716352</v>
      </c>
      <c r="AE19" s="9">
        <f t="shared" si="28"/>
        <v>1203804992.5686805</v>
      </c>
      <c r="AF19" s="9">
        <f t="shared" si="28"/>
        <v>1263387205.4145479</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119055663.31500003</v>
      </c>
      <c r="D20" s="9">
        <f>D19-D8-D9</f>
        <v>142563050.54700002</v>
      </c>
      <c r="E20" s="9">
        <f t="shared" ref="E20:AF20" si="29">E19-E8-E9</f>
        <v>166822674.17042401</v>
      </c>
      <c r="F20" s="9">
        <f t="shared" si="29"/>
        <v>191858605.74979758</v>
      </c>
      <c r="G20" s="9">
        <f t="shared" si="29"/>
        <v>217695687.13971111</v>
      </c>
      <c r="H20" s="9">
        <f t="shared" si="29"/>
        <v>244359555.13410184</v>
      </c>
      <c r="I20" s="9">
        <f t="shared" si="29"/>
        <v>271876666.90431309</v>
      </c>
      <c r="J20" s="9">
        <f t="shared" si="29"/>
        <v>300274326.25117111</v>
      </c>
      <c r="K20" s="9">
        <f t="shared" si="29"/>
        <v>329580710.69712859</v>
      </c>
      <c r="L20" s="9">
        <f t="shared" si="29"/>
        <v>359824899.44535673</v>
      </c>
      <c r="M20" s="9">
        <f t="shared" si="29"/>
        <v>391036902.23352814</v>
      </c>
      <c r="N20" s="9">
        <f t="shared" si="29"/>
        <v>423247689.11092103</v>
      </c>
      <c r="O20" s="9">
        <f t="shared" si="29"/>
        <v>456489221.16839051</v>
      </c>
      <c r="P20" s="9">
        <f t="shared" si="29"/>
        <v>490794482.25169903</v>
      </c>
      <c r="Q20" s="9">
        <f t="shared" si="29"/>
        <v>526197511.68967342</v>
      </c>
      <c r="R20" s="9">
        <f t="shared" si="29"/>
        <v>562733438.06966293</v>
      </c>
      <c r="S20" s="9">
        <f t="shared" si="29"/>
        <v>600438514.09381211</v>
      </c>
      <c r="T20" s="9">
        <f t="shared" si="29"/>
        <v>639350152.55073404</v>
      </c>
      <c r="U20" s="9">
        <f t="shared" si="29"/>
        <v>679506963.43827748</v>
      </c>
      <c r="V20" s="9">
        <f t="shared" si="29"/>
        <v>720948792.27422237</v>
      </c>
      <c r="W20" s="9">
        <f t="shared" si="29"/>
        <v>763716759.63291752</v>
      </c>
      <c r="X20" s="9">
        <f t="shared" si="29"/>
        <v>807853301.94709086</v>
      </c>
      <c r="Y20" s="9">
        <f t="shared" si="29"/>
        <v>853402213.6153177</v>
      </c>
      <c r="Z20" s="9">
        <f t="shared" si="29"/>
        <v>900408690.4569279</v>
      </c>
      <c r="AA20" s="9">
        <f t="shared" si="29"/>
        <v>948919374.55746961</v>
      </c>
      <c r="AB20" s="9">
        <f t="shared" si="29"/>
        <v>998982400.54922855</v>
      </c>
      <c r="AC20" s="9">
        <f t="shared" si="29"/>
        <v>1050647443.3727238</v>
      </c>
      <c r="AD20" s="9">
        <f t="shared" si="29"/>
        <v>1103965767.566571</v>
      </c>
      <c r="AE20" s="9">
        <f t="shared" si="29"/>
        <v>1158990278.1346214</v>
      </c>
      <c r="AF20" s="9">
        <f t="shared" si="29"/>
        <v>1215775573.0408492</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37</v>
      </c>
      <c r="C22" s="9">
        <f>'Balance Sheet'!B11</f>
        <v>17600120.16</v>
      </c>
      <c r="D22" s="9">
        <f ca="1">'Balance Sheet'!C11</f>
        <v>38835469.072987027</v>
      </c>
      <c r="E22" s="9">
        <f ca="1">'Balance Sheet'!D11</f>
        <v>58185965.256756797</v>
      </c>
      <c r="F22" s="9">
        <f ca="1">'Balance Sheet'!E11</f>
        <v>73579695.474460497</v>
      </c>
      <c r="G22" s="9">
        <f ca="1">'Balance Sheet'!F11</f>
        <v>85265379.285732687</v>
      </c>
      <c r="H22" s="9">
        <f ca="1">'Balance Sheet'!G11</f>
        <v>96110897.096993208</v>
      </c>
      <c r="I22" s="9">
        <f ca="1">'Balance Sheet'!H11</f>
        <v>105690707.39992429</v>
      </c>
      <c r="J22" s="9">
        <f ca="1">'Balance Sheet'!I11</f>
        <v>114733706.64857125</v>
      </c>
      <c r="K22" s="9">
        <f ca="1">'Balance Sheet'!J11</f>
        <v>123422491.20541002</v>
      </c>
      <c r="L22" s="9">
        <f ca="1">'Balance Sheet'!K11</f>
        <v>132036919.82412967</v>
      </c>
      <c r="M22" s="9">
        <f ca="1">'Balance Sheet'!L11</f>
        <v>140433838.15518835</v>
      </c>
      <c r="N22" s="9">
        <f ca="1">'Balance Sheet'!M11</f>
        <v>148448680.00093302</v>
      </c>
      <c r="O22" s="9">
        <f ca="1">'Balance Sheet'!N11</f>
        <v>155893222.93811214</v>
      </c>
      <c r="P22" s="9">
        <f ca="1">'Balance Sheet'!O11</f>
        <v>163212210.29334062</v>
      </c>
      <c r="Q22" s="9">
        <f ca="1">'Balance Sheet'!P11</f>
        <v>170281204.56801879</v>
      </c>
      <c r="R22" s="9">
        <f ca="1">'Balance Sheet'!Q11</f>
        <v>177708631.54679003</v>
      </c>
      <c r="S22" s="9">
        <f ca="1">'Balance Sheet'!R11</f>
        <v>185453771.7038205</v>
      </c>
      <c r="T22" s="9">
        <f ca="1">'Balance Sheet'!S11</f>
        <v>193886805.80257484</v>
      </c>
      <c r="U22" s="9">
        <f ca="1">'Balance Sheet'!T11</f>
        <v>203275290.16690031</v>
      </c>
      <c r="V22" s="9">
        <f ca="1">'Balance Sheet'!U11</f>
        <v>213655225.46592963</v>
      </c>
      <c r="W22" s="9">
        <f ca="1">'Balance Sheet'!V11</f>
        <v>225062071.82827449</v>
      </c>
      <c r="X22" s="9">
        <f ca="1">'Balance Sheet'!W11</f>
        <v>237530558.82700133</v>
      </c>
      <c r="Y22" s="9">
        <f ca="1">'Balance Sheet'!X11</f>
        <v>251094477.26912844</v>
      </c>
      <c r="Z22" s="9">
        <f ca="1">'Balance Sheet'!Y11</f>
        <v>265786451.47268233</v>
      </c>
      <c r="AA22" s="9">
        <f ca="1">'Balance Sheet'!Z11</f>
        <v>281637690.63091666</v>
      </c>
      <c r="AB22" s="9">
        <f ca="1">'Balance Sheet'!AA11</f>
        <v>298677717.77497613</v>
      </c>
      <c r="AC22" s="9">
        <f ca="1">'Balance Sheet'!AB11</f>
        <v>316934074.75280559</v>
      </c>
      <c r="AD22" s="9">
        <f ca="1">'Balance Sheet'!AC11</f>
        <v>336432001.54317844</v>
      </c>
      <c r="AE22" s="9">
        <f ca="1">'Balance Sheet'!AD11</f>
        <v>357194088.11904472</v>
      </c>
      <c r="AF22" s="9">
        <f ca="1">'Balance Sheet'!AE11</f>
        <v>379239896.96365774</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38</v>
      </c>
      <c r="C23" s="9">
        <f>C20-C22</f>
        <v>101455543.15500003</v>
      </c>
      <c r="D23" s="9">
        <f t="shared" ref="D23:AF23" ca="1" si="30">D20-D22</f>
        <v>103727581.474013</v>
      </c>
      <c r="E23" s="9">
        <f t="shared" ca="1" si="30"/>
        <v>108636708.91366722</v>
      </c>
      <c r="F23" s="9">
        <f t="shared" ca="1" si="30"/>
        <v>118278910.27533709</v>
      </c>
      <c r="G23" s="9">
        <f t="shared" ca="1" si="30"/>
        <v>132430307.85397843</v>
      </c>
      <c r="H23" s="9">
        <f t="shared" ca="1" si="30"/>
        <v>148248658.03710863</v>
      </c>
      <c r="I23" s="9">
        <f t="shared" ca="1" si="30"/>
        <v>166185959.50438881</v>
      </c>
      <c r="J23" s="9">
        <f ca="1">J20-J22</f>
        <v>185540619.60259986</v>
      </c>
      <c r="K23" s="9">
        <f t="shared" ca="1" si="30"/>
        <v>206158219.49171859</v>
      </c>
      <c r="L23" s="9">
        <f t="shared" ca="1" si="30"/>
        <v>227787979.62122706</v>
      </c>
      <c r="M23" s="9">
        <f t="shared" ca="1" si="30"/>
        <v>250603064.07833979</v>
      </c>
      <c r="N23" s="9">
        <f t="shared" ca="1" si="30"/>
        <v>274799009.10998797</v>
      </c>
      <c r="O23" s="9">
        <f t="shared" ca="1" si="30"/>
        <v>300595998.23027837</v>
      </c>
      <c r="P23" s="9">
        <f t="shared" ca="1" si="30"/>
        <v>327582271.95835841</v>
      </c>
      <c r="Q23" s="9">
        <f t="shared" ca="1" si="30"/>
        <v>355916307.12165463</v>
      </c>
      <c r="R23" s="9">
        <f t="shared" ca="1" si="30"/>
        <v>385024806.52287292</v>
      </c>
      <c r="S23" s="9">
        <f t="shared" ca="1" si="30"/>
        <v>414984742.38999164</v>
      </c>
      <c r="T23" s="9">
        <f t="shared" ca="1" si="30"/>
        <v>445463346.74815917</v>
      </c>
      <c r="U23" s="9">
        <f t="shared" ca="1" si="30"/>
        <v>476231673.27137721</v>
      </c>
      <c r="V23" s="9">
        <f t="shared" ca="1" si="30"/>
        <v>507293566.80829275</v>
      </c>
      <c r="W23" s="9">
        <f t="shared" ca="1" si="30"/>
        <v>538654687.80464303</v>
      </c>
      <c r="X23" s="9">
        <f t="shared" ca="1" si="30"/>
        <v>570322743.12008953</v>
      </c>
      <c r="Y23" s="9">
        <f t="shared" ca="1" si="30"/>
        <v>602307736.34618926</v>
      </c>
      <c r="Z23" s="9">
        <f t="shared" ca="1" si="30"/>
        <v>634622238.98424554</v>
      </c>
      <c r="AA23" s="9">
        <f t="shared" ca="1" si="30"/>
        <v>667281683.92655301</v>
      </c>
      <c r="AB23" s="9">
        <f t="shared" ca="1" si="30"/>
        <v>700304682.77425241</v>
      </c>
      <c r="AC23" s="9">
        <f t="shared" ca="1" si="30"/>
        <v>733713368.61991823</v>
      </c>
      <c r="AD23" s="9">
        <f t="shared" ca="1" si="30"/>
        <v>767533766.02339256</v>
      </c>
      <c r="AE23" s="9">
        <f t="shared" ca="1" si="30"/>
        <v>801796190.0155766</v>
      </c>
      <c r="AF23" s="9">
        <f t="shared" ca="1" si="30"/>
        <v>836535676.07719147</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165</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17600120.16</v>
      </c>
      <c r="D5" s="1">
        <f ca="1">C5+C6</f>
        <v>38835469.072987027</v>
      </c>
      <c r="E5" s="1">
        <f t="shared" ref="E5:AF5" ca="1" si="1">D5+D6</f>
        <v>58185965.256756797</v>
      </c>
      <c r="F5" s="1">
        <f t="shared" ca="1" si="1"/>
        <v>73579695.474460497</v>
      </c>
      <c r="G5" s="1">
        <f t="shared" ca="1" si="1"/>
        <v>85265379.285732687</v>
      </c>
      <c r="H5" s="1">
        <f t="shared" ca="1" si="1"/>
        <v>96110897.096993208</v>
      </c>
      <c r="I5" s="1">
        <f t="shared" ca="1" si="1"/>
        <v>105690707.39992429</v>
      </c>
      <c r="J5" s="1">
        <f t="shared" ca="1" si="1"/>
        <v>114733706.64857125</v>
      </c>
      <c r="K5" s="1">
        <f t="shared" ca="1" si="1"/>
        <v>123422491.20541002</v>
      </c>
      <c r="L5" s="1">
        <f t="shared" ca="1" si="1"/>
        <v>132036919.82412967</v>
      </c>
      <c r="M5" s="1">
        <f t="shared" ca="1" si="1"/>
        <v>140433838.15518835</v>
      </c>
      <c r="N5" s="1">
        <f t="shared" ca="1" si="1"/>
        <v>148448680.00093302</v>
      </c>
      <c r="O5" s="1">
        <f t="shared" ca="1" si="1"/>
        <v>155893222.93811214</v>
      </c>
      <c r="P5" s="1">
        <f t="shared" ca="1" si="1"/>
        <v>163212210.29334062</v>
      </c>
      <c r="Q5" s="1">
        <f t="shared" ca="1" si="1"/>
        <v>170281204.56801879</v>
      </c>
      <c r="R5" s="1">
        <f t="shared" ca="1" si="1"/>
        <v>177708631.54679003</v>
      </c>
      <c r="S5" s="1">
        <f t="shared" ca="1" si="1"/>
        <v>185453771.7038205</v>
      </c>
      <c r="T5" s="1">
        <f t="shared" ca="1" si="1"/>
        <v>193886805.80257484</v>
      </c>
      <c r="U5" s="1">
        <f t="shared" ca="1" si="1"/>
        <v>203275290.16690031</v>
      </c>
      <c r="V5" s="1">
        <f t="shared" ca="1" si="1"/>
        <v>213655225.46592963</v>
      </c>
      <c r="W5" s="1">
        <f t="shared" ca="1" si="1"/>
        <v>225062071.82827449</v>
      </c>
      <c r="X5" s="1">
        <f t="shared" ca="1" si="1"/>
        <v>237530558.82700133</v>
      </c>
      <c r="Y5" s="1">
        <f t="shared" ca="1" si="1"/>
        <v>251094477.26912844</v>
      </c>
      <c r="Z5" s="1">
        <f t="shared" ca="1" si="1"/>
        <v>265786451.47268233</v>
      </c>
      <c r="AA5" s="1">
        <f t="shared" ca="1" si="1"/>
        <v>281637690.63091666</v>
      </c>
      <c r="AB5" s="1">
        <f t="shared" ca="1" si="1"/>
        <v>298677717.77497613</v>
      </c>
      <c r="AC5" s="1">
        <f t="shared" ca="1" si="1"/>
        <v>316934074.75280559</v>
      </c>
      <c r="AD5" s="1">
        <f t="shared" ca="1" si="1"/>
        <v>336432001.54317844</v>
      </c>
      <c r="AE5" s="1">
        <f t="shared" ca="1" si="1"/>
        <v>357194088.11904472</v>
      </c>
      <c r="AF5" s="1">
        <f t="shared" ca="1" si="1"/>
        <v>379239896.96365774</v>
      </c>
      <c r="AG5" s="1"/>
      <c r="AH5" s="1"/>
      <c r="AI5" s="1"/>
      <c r="AJ5" s="1"/>
      <c r="AK5" s="1"/>
      <c r="AL5" s="1"/>
      <c r="AM5" s="1"/>
      <c r="AN5" s="1"/>
      <c r="AO5" s="1"/>
      <c r="AP5" s="1"/>
    </row>
    <row r="6" spans="1:42" x14ac:dyDescent="0.35">
      <c r="A6" s="63" t="s">
        <v>3</v>
      </c>
      <c r="C6" s="1">
        <f ca="1">-'Cash Flow'!C13</f>
        <v>21235348.912987027</v>
      </c>
      <c r="D6" s="1">
        <f ca="1">-'Cash Flow'!D13</f>
        <v>19350496.183769774</v>
      </c>
      <c r="E6" s="1">
        <f ca="1">-'Cash Flow'!E13</f>
        <v>15393730.2177037</v>
      </c>
      <c r="F6" s="1">
        <f ca="1">-'Cash Flow'!F13</f>
        <v>11685683.811272189</v>
      </c>
      <c r="G6" s="1">
        <f ca="1">-'Cash Flow'!G13</f>
        <v>10845517.811260514</v>
      </c>
      <c r="H6" s="1">
        <f ca="1">-'Cash Flow'!H13</f>
        <v>9579810.3029310852</v>
      </c>
      <c r="I6" s="1">
        <f ca="1">-'Cash Flow'!I13</f>
        <v>9042999.2486469559</v>
      </c>
      <c r="J6" s="1">
        <f ca="1">-'Cash Flow'!J13</f>
        <v>8688784.5568387657</v>
      </c>
      <c r="K6" s="1">
        <f ca="1">-'Cash Flow'!K13</f>
        <v>8614428.618719656</v>
      </c>
      <c r="L6" s="1">
        <f ca="1">-'Cash Flow'!L13</f>
        <v>8396918.3310586885</v>
      </c>
      <c r="M6" s="1">
        <f ca="1">-'Cash Flow'!M13</f>
        <v>8014841.8457446694</v>
      </c>
      <c r="N6" s="1">
        <f ca="1">-'Cash Flow'!N13</f>
        <v>7444542.9371791258</v>
      </c>
      <c r="O6" s="1">
        <f ca="1">-'Cash Flow'!O13</f>
        <v>7318987.3552284986</v>
      </c>
      <c r="P6" s="1">
        <f ca="1">-'Cash Flow'!P13</f>
        <v>7068994.2746781707</v>
      </c>
      <c r="Q6" s="1">
        <f ca="1">-'Cash Flow'!Q13</f>
        <v>7427426.9787712395</v>
      </c>
      <c r="R6" s="1">
        <f ca="1">-'Cash Flow'!R13</f>
        <v>7745140.1570304632</v>
      </c>
      <c r="S6" s="1">
        <f ca="1">-'Cash Flow'!S13</f>
        <v>8433034.0987543464</v>
      </c>
      <c r="T6" s="1">
        <f ca="1">-'Cash Flow'!T13</f>
        <v>9388484.3643254563</v>
      </c>
      <c r="U6" s="1">
        <f ca="1">-'Cash Flow'!U13</f>
        <v>10379935.299029335</v>
      </c>
      <c r="V6" s="1">
        <f ca="1">-'Cash Flow'!V13</f>
        <v>11406846.362344861</v>
      </c>
      <c r="W6" s="1">
        <f ca="1">-'Cash Flow'!W13</f>
        <v>12468486.99872686</v>
      </c>
      <c r="X6" s="1">
        <f ca="1">-'Cash Flow'!X13</f>
        <v>13563918.442127123</v>
      </c>
      <c r="Y6" s="1">
        <f ca="1">-'Cash Flow'!Y13</f>
        <v>14691974.203553893</v>
      </c>
      <c r="Z6" s="1">
        <f ca="1">-'Cash Flow'!Z13</f>
        <v>15851239.158234328</v>
      </c>
      <c r="AA6" s="1">
        <f ca="1">-'Cash Flow'!AA13</f>
        <v>17040027.144059509</v>
      </c>
      <c r="AB6" s="1">
        <f ca="1">-'Cash Flow'!AB13</f>
        <v>18256356.977829456</v>
      </c>
      <c r="AC6" s="1">
        <f ca="1">-'Cash Flow'!AC13</f>
        <v>19497926.790372878</v>
      </c>
      <c r="AD6" s="1">
        <f ca="1">-'Cash Flow'!AD13</f>
        <v>20762086.575866282</v>
      </c>
      <c r="AE6" s="1">
        <f ca="1">-'Cash Flow'!AE13</f>
        <v>22045808.844613031</v>
      </c>
      <c r="AF6" s="1">
        <f ca="1">-'Cash Flow'!AF13</f>
        <v>23345657.262141407</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1359241.4175545461</v>
      </c>
      <c r="D8" s="1">
        <f ca="1">IF(SUM(D5:D6)&gt;0,Assumptions!$C$26*SUM(D5:D6),Assumptions!$C$27*(SUM(D5:D6)))</f>
        <v>2036508.7839864881</v>
      </c>
      <c r="E8" s="1">
        <f ca="1">IF(SUM(E5:E6)&gt;0,Assumptions!$C$26*SUM(E5:E6),Assumptions!$C$27*(SUM(E5:E6)))</f>
        <v>2575289.3416061178</v>
      </c>
      <c r="F8" s="1">
        <f ca="1">IF(SUM(F5:F6)&gt;0,Assumptions!$C$26*SUM(F5:F6),Assumptions!$C$27*(SUM(F5:F6)))</f>
        <v>2984288.2750006444</v>
      </c>
      <c r="G8" s="1">
        <f ca="1">IF(SUM(G5:G6)&gt;0,Assumptions!$C$26*SUM(G5:G6),Assumptions!$C$27*(SUM(G5:G6)))</f>
        <v>3363881.3983947625</v>
      </c>
      <c r="H8" s="1">
        <f ca="1">IF(SUM(H5:H6)&gt;0,Assumptions!$C$26*SUM(H5:H6),Assumptions!$C$27*(SUM(H5:H6)))</f>
        <v>3699174.7589973505</v>
      </c>
      <c r="I8" s="1">
        <f ca="1">IF(SUM(I5:I6)&gt;0,Assumptions!$C$26*SUM(I5:I6),Assumptions!$C$27*(SUM(I5:I6)))</f>
        <v>4015679.7326999945</v>
      </c>
      <c r="J8" s="1">
        <f ca="1">IF(SUM(J5:J6)&gt;0,Assumptions!$C$26*SUM(J5:J6),Assumptions!$C$27*(SUM(J5:J6)))</f>
        <v>4319787.1921893507</v>
      </c>
      <c r="K8" s="1">
        <f ca="1">IF(SUM(K5:K6)&gt;0,Assumptions!$C$26*SUM(K5:K6),Assumptions!$C$27*(SUM(K5:K6)))</f>
        <v>4621292.1938445391</v>
      </c>
      <c r="L8" s="1">
        <f ca="1">IF(SUM(L5:L6)&gt;0,Assumptions!$C$26*SUM(L5:L6),Assumptions!$C$27*(SUM(L5:L6)))</f>
        <v>4915184.3354315925</v>
      </c>
      <c r="M8" s="1">
        <f ca="1">IF(SUM(M5:M6)&gt;0,Assumptions!$C$26*SUM(M5:M6),Assumptions!$C$27*(SUM(M5:M6)))</f>
        <v>5195703.8000326566</v>
      </c>
      <c r="N8" s="1">
        <f ca="1">IF(SUM(N5:N6)&gt;0,Assumptions!$C$26*SUM(N5:N6),Assumptions!$C$27*(SUM(N5:N6)))</f>
        <v>5456262.802833925</v>
      </c>
      <c r="O8" s="1">
        <f ca="1">IF(SUM(O5:O6)&gt;0,Assumptions!$C$26*SUM(O5:O6),Assumptions!$C$27*(SUM(O5:O6)))</f>
        <v>5712427.360266922</v>
      </c>
      <c r="P8" s="1">
        <f ca="1">IF(SUM(P5:P6)&gt;0,Assumptions!$C$26*SUM(P5:P6),Assumptions!$C$27*(SUM(P5:P6)))</f>
        <v>5959842.1598806586</v>
      </c>
      <c r="Q8" s="1">
        <f ca="1">IF(SUM(Q5:Q6)&gt;0,Assumptions!$C$26*SUM(Q5:Q6),Assumptions!$C$27*(SUM(Q5:Q6)))</f>
        <v>6219802.1041376516</v>
      </c>
      <c r="R8" s="1">
        <f ca="1">IF(SUM(R5:R6)&gt;0,Assumptions!$C$26*SUM(R5:R6),Assumptions!$C$27*(SUM(R5:R6)))</f>
        <v>6490882.0096337181</v>
      </c>
      <c r="S8" s="1">
        <f ca="1">IF(SUM(S5:S6)&gt;0,Assumptions!$C$26*SUM(S5:S6),Assumptions!$C$27*(SUM(S5:S6)))</f>
        <v>6786038.2030901201</v>
      </c>
      <c r="T8" s="1">
        <f ca="1">IF(SUM(T5:T6)&gt;0,Assumptions!$C$26*SUM(T5:T6),Assumptions!$C$27*(SUM(T5:T6)))</f>
        <v>7114635.1558415117</v>
      </c>
      <c r="U8" s="1">
        <f ca="1">IF(SUM(U5:U6)&gt;0,Assumptions!$C$26*SUM(U5:U6),Assumptions!$C$27*(SUM(U5:U6)))</f>
        <v>7477932.8913075374</v>
      </c>
      <c r="V8" s="1">
        <f ca="1">IF(SUM(V5:V6)&gt;0,Assumptions!$C$26*SUM(V5:V6),Assumptions!$C$27*(SUM(V5:V6)))</f>
        <v>7877172.5139896078</v>
      </c>
      <c r="W8" s="1">
        <f ca="1">IF(SUM(W5:W6)&gt;0,Assumptions!$C$26*SUM(W5:W6),Assumptions!$C$27*(SUM(W5:W6)))</f>
        <v>8313569.5589450477</v>
      </c>
      <c r="X8" s="1">
        <f ca="1">IF(SUM(X5:X6)&gt;0,Assumptions!$C$26*SUM(X5:X6),Assumptions!$C$27*(SUM(X5:X6)))</f>
        <v>8788306.7044194955</v>
      </c>
      <c r="Y8" s="1">
        <f ca="1">IF(SUM(Y5:Y6)&gt;0,Assumptions!$C$26*SUM(Y5:Y6),Assumptions!$C$27*(SUM(Y5:Y6)))</f>
        <v>9302525.8015438821</v>
      </c>
      <c r="Z8" s="1">
        <f ca="1">IF(SUM(Z5:Z6)&gt;0,Assumptions!$C$26*SUM(Z5:Z6),Assumptions!$C$27*(SUM(Z5:Z6)))</f>
        <v>9857319.1720820833</v>
      </c>
      <c r="AA8" s="1">
        <f ca="1">IF(SUM(AA5:AA6)&gt;0,Assumptions!$C$26*SUM(AA5:AA6),Assumptions!$C$27*(SUM(AA5:AA6)))</f>
        <v>10453720.122124165</v>
      </c>
      <c r="AB8" s="1">
        <f ca="1">IF(SUM(AB5:AB6)&gt;0,Assumptions!$C$26*SUM(AB5:AB6),Assumptions!$C$27*(SUM(AB5:AB6)))</f>
        <v>11092692.616348196</v>
      </c>
      <c r="AC8" s="1">
        <f ca="1">IF(SUM(AC5:AC6)&gt;0,Assumptions!$C$26*SUM(AC5:AC6),Assumptions!$C$27*(SUM(AC5:AC6)))</f>
        <v>11775120.054011246</v>
      </c>
      <c r="AD8" s="1">
        <f ca="1">IF(SUM(AD5:AD6)&gt;0,Assumptions!$C$26*SUM(AD5:AD6),Assumptions!$C$27*(SUM(AD5:AD6)))</f>
        <v>12501793.084166566</v>
      </c>
      <c r="AE8" s="1">
        <f ca="1">IF(SUM(AE5:AE6)&gt;0,Assumptions!$C$26*SUM(AE5:AE6),Assumptions!$C$27*(SUM(AE5:AE6)))</f>
        <v>13273396.393728022</v>
      </c>
      <c r="AF8" s="1">
        <f ca="1">IF(SUM(AF5:AF6)&gt;0,Assumptions!$C$26*SUM(AF5:AF6),Assumptions!$C$27*(SUM(AF5:AF6)))</f>
        <v>14090494.397902971</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zoomScale="80" zoomScaleNormal="80" workbookViewId="0">
      <selection activeCell="A13" sqref="A1:XFD1048576"/>
    </sheetView>
  </sheetViews>
  <sheetFormatPr defaultRowHeight="15.5" x14ac:dyDescent="0.35"/>
  <cols>
    <col min="1" max="1" width="107.9140625" style="63" customWidth="1"/>
    <col min="2" max="2" width="18.1640625" style="63" bestFit="1" customWidth="1"/>
    <col min="3" max="3" width="62.75" style="63" customWidth="1"/>
    <col min="4" max="16384" width="8.6640625" style="63"/>
  </cols>
  <sheetData>
    <row r="1" spans="1:3" ht="26" x14ac:dyDescent="0.6">
      <c r="A1" s="13" t="s">
        <v>184</v>
      </c>
    </row>
    <row r="2" spans="1:3" ht="26" x14ac:dyDescent="0.6">
      <c r="A2" s="13"/>
    </row>
    <row r="3" spans="1:3" ht="186" x14ac:dyDescent="0.35">
      <c r="A3" s="173" t="s">
        <v>187</v>
      </c>
    </row>
    <row r="4" spans="1:3" ht="26" x14ac:dyDescent="0.6">
      <c r="A4" s="13"/>
    </row>
    <row r="5" spans="1:3" ht="18.5" x14ac:dyDescent="0.45">
      <c r="A5" s="89" t="s">
        <v>176</v>
      </c>
      <c r="B5" s="90"/>
    </row>
    <row r="6" spans="1:3" ht="18.5" x14ac:dyDescent="0.45">
      <c r="A6" s="90"/>
      <c r="B6" s="90"/>
    </row>
    <row r="7" spans="1:3" ht="18.5" x14ac:dyDescent="0.45">
      <c r="A7" s="90" t="s">
        <v>97</v>
      </c>
      <c r="B7" s="91">
        <f>Assumptions!C24</f>
        <v>7674520.9899999993</v>
      </c>
      <c r="C7" s="180" t="s">
        <v>198</v>
      </c>
    </row>
    <row r="8" spans="1:3" ht="34" x14ac:dyDescent="0.45">
      <c r="A8" s="90" t="s">
        <v>173</v>
      </c>
      <c r="B8" s="92">
        <f>Assumptions!$C$133</f>
        <v>0.7</v>
      </c>
      <c r="C8" s="180" t="s">
        <v>199</v>
      </c>
    </row>
    <row r="9" spans="1:3" ht="18.5" x14ac:dyDescent="0.45">
      <c r="A9" s="90"/>
      <c r="B9" s="93"/>
      <c r="C9" s="180"/>
    </row>
    <row r="10" spans="1:3" ht="51" x14ac:dyDescent="0.45">
      <c r="A10" s="94" t="s">
        <v>103</v>
      </c>
      <c r="B10" s="95">
        <f>Assumptions!C135</f>
        <v>3503.5185185185182</v>
      </c>
      <c r="C10" s="180" t="s">
        <v>200</v>
      </c>
    </row>
    <row r="11" spans="1:3" ht="18.5" x14ac:dyDescent="0.45">
      <c r="A11" s="94"/>
      <c r="B11" s="94"/>
      <c r="C11" s="180"/>
    </row>
    <row r="12" spans="1:3" ht="18.5" x14ac:dyDescent="0.45">
      <c r="A12" s="94" t="s">
        <v>183</v>
      </c>
      <c r="B12" s="91">
        <f>(B7*B8)/B10</f>
        <v>1533.3627222474759</v>
      </c>
      <c r="C12" s="180"/>
    </row>
    <row r="13" spans="1:3" ht="18.5" x14ac:dyDescent="0.45">
      <c r="A13" s="96"/>
      <c r="B13" s="97"/>
      <c r="C13" s="180"/>
    </row>
    <row r="14" spans="1:3" ht="18.5" x14ac:dyDescent="0.45">
      <c r="A14" s="94" t="s">
        <v>104</v>
      </c>
      <c r="B14" s="98">
        <v>1</v>
      </c>
      <c r="C14" s="180"/>
    </row>
    <row r="15" spans="1:3" ht="18.5" x14ac:dyDescent="0.45">
      <c r="A15" s="96"/>
      <c r="B15" s="99"/>
      <c r="C15" s="180"/>
    </row>
    <row r="16" spans="1:3" ht="18.5" x14ac:dyDescent="0.45">
      <c r="A16" s="96" t="s">
        <v>178</v>
      </c>
      <c r="B16" s="100">
        <f>B12/B14</f>
        <v>1533.3627222474759</v>
      </c>
      <c r="C16" s="180"/>
    </row>
    <row r="17" spans="1:3" ht="18.5" x14ac:dyDescent="0.45">
      <c r="A17" s="94"/>
      <c r="B17" s="101"/>
      <c r="C17" s="180"/>
    </row>
    <row r="18" spans="1:3" ht="18.5" x14ac:dyDescent="0.45">
      <c r="A18" s="102" t="s">
        <v>177</v>
      </c>
      <c r="B18" s="101"/>
      <c r="C18" s="180"/>
    </row>
    <row r="19" spans="1:3" ht="18.5" x14ac:dyDescent="0.45">
      <c r="A19" s="94"/>
      <c r="B19" s="101"/>
      <c r="C19" s="180"/>
    </row>
    <row r="20" spans="1:3" ht="34" x14ac:dyDescent="0.45">
      <c r="A20" s="94" t="s">
        <v>66</v>
      </c>
      <c r="B20" s="91">
        <f>'Profit and Loss'!L5</f>
        <v>53454445.526379742</v>
      </c>
      <c r="C20" s="180" t="s">
        <v>201</v>
      </c>
    </row>
    <row r="21" spans="1:3" ht="34" x14ac:dyDescent="0.45">
      <c r="A21" s="94" t="str">
        <f>A8</f>
        <v>Assumed revenue from households</v>
      </c>
      <c r="B21" s="92">
        <f>B8</f>
        <v>0.7</v>
      </c>
      <c r="C21" s="180" t="s">
        <v>199</v>
      </c>
    </row>
    <row r="22" spans="1:3" ht="18.5" x14ac:dyDescent="0.45">
      <c r="A22" s="94"/>
      <c r="B22" s="94"/>
      <c r="C22" s="180"/>
    </row>
    <row r="23" spans="1:3" ht="34" x14ac:dyDescent="0.45">
      <c r="A23" s="94" t="s">
        <v>102</v>
      </c>
      <c r="B23" s="95">
        <f>Assumptions!M135</f>
        <v>4516.7277299982197</v>
      </c>
      <c r="C23" s="180" t="s">
        <v>202</v>
      </c>
    </row>
    <row r="24" spans="1:3" ht="18.5" x14ac:dyDescent="0.45">
      <c r="A24" s="94"/>
      <c r="B24" s="94"/>
      <c r="C24" s="180"/>
    </row>
    <row r="25" spans="1:3" ht="18.5" x14ac:dyDescent="0.45">
      <c r="A25" s="94" t="s">
        <v>182</v>
      </c>
      <c r="B25" s="91">
        <f>(B20*B21)/B23</f>
        <v>8284.3408115902894</v>
      </c>
      <c r="C25" s="180"/>
    </row>
    <row r="26" spans="1:3" ht="18.5" x14ac:dyDescent="0.45">
      <c r="A26" s="94"/>
      <c r="B26" s="91"/>
      <c r="C26" s="180"/>
    </row>
    <row r="27" spans="1:3" ht="34" x14ac:dyDescent="0.45">
      <c r="A27" s="94" t="s">
        <v>104</v>
      </c>
      <c r="B27" s="103">
        <f>1.022^11</f>
        <v>1.2704566586717592</v>
      </c>
      <c r="C27" s="180" t="s">
        <v>203</v>
      </c>
    </row>
    <row r="28" spans="1:3" ht="18.5" x14ac:dyDescent="0.45">
      <c r="A28" s="96"/>
      <c r="B28" s="97"/>
      <c r="C28" s="180"/>
    </row>
    <row r="29" spans="1:3" ht="18.5" x14ac:dyDescent="0.45">
      <c r="A29" s="96" t="s">
        <v>179</v>
      </c>
      <c r="B29" s="91">
        <f>B25/B27</f>
        <v>6520.7583076871169</v>
      </c>
      <c r="C29" s="180"/>
    </row>
    <row r="30" spans="1:3" ht="18.5" x14ac:dyDescent="0.45">
      <c r="A30" s="96"/>
      <c r="B30" s="97"/>
      <c r="C30" s="180"/>
    </row>
    <row r="31" spans="1:3" ht="18.5" x14ac:dyDescent="0.45">
      <c r="A31" s="102" t="s">
        <v>185</v>
      </c>
      <c r="B31" s="96"/>
      <c r="C31" s="180"/>
    </row>
    <row r="32" spans="1:3" ht="18.5" x14ac:dyDescent="0.45">
      <c r="A32" s="94"/>
      <c r="B32" s="91"/>
      <c r="C32" s="180"/>
    </row>
    <row r="33" spans="1:3" ht="34" x14ac:dyDescent="0.45">
      <c r="A33" s="94" t="s">
        <v>67</v>
      </c>
      <c r="B33" s="91">
        <f>'Profit and Loss'!AF5</f>
        <v>152872037.88343653</v>
      </c>
      <c r="C33" s="180" t="s">
        <v>201</v>
      </c>
    </row>
    <row r="34" spans="1:3" ht="34" x14ac:dyDescent="0.45">
      <c r="A34" s="94" t="str">
        <f>A21</f>
        <v>Assumed revenue from households</v>
      </c>
      <c r="B34" s="92">
        <f>B21</f>
        <v>0.7</v>
      </c>
      <c r="C34" s="180" t="s">
        <v>199</v>
      </c>
    </row>
    <row r="35" spans="1:3" ht="18.5" x14ac:dyDescent="0.45">
      <c r="A35" s="94"/>
      <c r="B35" s="94"/>
      <c r="C35" s="180"/>
    </row>
    <row r="36" spans="1:3" ht="34" x14ac:dyDescent="0.45">
      <c r="A36" s="94" t="s">
        <v>101</v>
      </c>
      <c r="B36" s="95">
        <f>Assumptions!AG135</f>
        <v>7506.9392439183339</v>
      </c>
      <c r="C36" s="180" t="s">
        <v>202</v>
      </c>
    </row>
    <row r="37" spans="1:3" ht="18.5" x14ac:dyDescent="0.45">
      <c r="A37" s="94"/>
      <c r="B37" s="94"/>
      <c r="C37" s="180"/>
    </row>
    <row r="38" spans="1:3" ht="18.5" x14ac:dyDescent="0.45">
      <c r="A38" s="94" t="s">
        <v>181</v>
      </c>
      <c r="B38" s="91">
        <f>(B33*B34)/B36</f>
        <v>14254.867801827346</v>
      </c>
      <c r="C38" s="180"/>
    </row>
    <row r="39" spans="1:3" ht="18.5" x14ac:dyDescent="0.45">
      <c r="A39" s="94"/>
      <c r="B39" s="94"/>
      <c r="C39" s="180"/>
    </row>
    <row r="40" spans="1:3" ht="34" x14ac:dyDescent="0.45">
      <c r="A40" s="94" t="s">
        <v>104</v>
      </c>
      <c r="B40" s="103">
        <f>1.022^31</f>
        <v>1.9632597808456462</v>
      </c>
      <c r="C40" s="180" t="s">
        <v>203</v>
      </c>
    </row>
    <row r="41" spans="1:3" ht="18.5" x14ac:dyDescent="0.45">
      <c r="A41" s="96"/>
      <c r="B41" s="97"/>
    </row>
    <row r="42" spans="1:3" ht="18.5" x14ac:dyDescent="0.45">
      <c r="A42" s="96" t="s">
        <v>180</v>
      </c>
      <c r="B42" s="91">
        <f>B38/B40</f>
        <v>7260.8158843284937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80" zoomScaleNormal="80" workbookViewId="0">
      <pane ySplit="4" topLeftCell="A62" activePane="bottomLeft" state="frozen"/>
      <selection sqref="A1:XFD1048576"/>
      <selection pane="bottomLeft" sqref="A1:XFD1048576"/>
    </sheetView>
  </sheetViews>
  <sheetFormatPr defaultColWidth="10.83203125" defaultRowHeight="15.5" x14ac:dyDescent="0.35"/>
  <cols>
    <col min="1" max="1" width="61.58203125" style="76" customWidth="1"/>
    <col min="2" max="2" width="94.6640625" style="76" bestFit="1" customWidth="1"/>
    <col min="3" max="3" width="15.25" style="109"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160</v>
      </c>
    </row>
    <row r="2" spans="1:33" ht="26.5" thickBot="1" x14ac:dyDescent="0.4">
      <c r="A2" s="111"/>
      <c r="B2" s="111"/>
      <c r="D2" s="112"/>
    </row>
    <row r="3" spans="1:33" s="114" customFormat="1" ht="21.5" thickBot="1" x14ac:dyDescent="0.4">
      <c r="A3" s="84"/>
      <c r="B3" s="84"/>
      <c r="C3" s="113"/>
      <c r="D3" s="181" t="s">
        <v>28</v>
      </c>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row>
    <row r="4" spans="1:33" s="120" customFormat="1" ht="16" thickBot="1" x14ac:dyDescent="0.4">
      <c r="A4" s="115" t="s">
        <v>26</v>
      </c>
      <c r="B4" s="115" t="s">
        <v>195</v>
      </c>
      <c r="C4" s="116" t="s">
        <v>27</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29</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30</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63</v>
      </c>
      <c r="B9" s="78" t="s">
        <v>129</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64</v>
      </c>
      <c r="B11" s="78" t="s">
        <v>129</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32</v>
      </c>
      <c r="B13" s="106" t="s">
        <v>137</v>
      </c>
      <c r="C13" s="127">
        <v>2.5727382481078864E-2</v>
      </c>
      <c r="D13" s="128">
        <f t="shared" ref="D13:AG13" si="3">(1+$C$13)^D8</f>
        <v>1.0257273824810789</v>
      </c>
      <c r="E13" s="128">
        <f t="shared" si="3"/>
        <v>1.0521166631714856</v>
      </c>
      <c r="F13" s="128">
        <f t="shared" si="3"/>
        <v>1.0791848709796148</v>
      </c>
      <c r="G13" s="128">
        <f t="shared" si="3"/>
        <v>1.1069494729231011</v>
      </c>
      <c r="H13" s="128">
        <f t="shared" si="3"/>
        <v>1.1354283854002223</v>
      </c>
      <c r="I13" s="128">
        <f t="shared" si="3"/>
        <v>1.1646399857512879</v>
      </c>
      <c r="J13" s="128">
        <f t="shared" si="3"/>
        <v>1.1946031241174695</v>
      </c>
      <c r="K13" s="128">
        <f t="shared" si="3"/>
        <v>1.2253371356047313</v>
      </c>
      <c r="L13" s="128">
        <f t="shared" si="3"/>
        <v>1.2568618527607038</v>
      </c>
      <c r="M13" s="128">
        <f t="shared" si="3"/>
        <v>1.289197618372556</v>
      </c>
      <c r="N13" s="128">
        <f t="shared" si="3"/>
        <v>1.3223652985941228</v>
      </c>
      <c r="O13" s="128">
        <f t="shared" si="3"/>
        <v>1.3563862964107598</v>
      </c>
      <c r="P13" s="128">
        <f t="shared" si="3"/>
        <v>1.3912825654506134</v>
      </c>
      <c r="Q13" s="128">
        <f t="shared" si="3"/>
        <v>1.4270766241512183</v>
      </c>
      <c r="R13" s="128">
        <f t="shared" si="3"/>
        <v>1.4637915702905635</v>
      </c>
      <c r="S13" s="128">
        <f t="shared" si="3"/>
        <v>1.5014510958920078</v>
      </c>
      <c r="T13" s="128">
        <f t="shared" si="3"/>
        <v>1.5400795025126564</v>
      </c>
      <c r="U13" s="128">
        <f t="shared" si="3"/>
        <v>1.5797017169250693</v>
      </c>
      <c r="V13" s="128">
        <f t="shared" si="3"/>
        <v>1.6203433072024176</v>
      </c>
      <c r="W13" s="128">
        <f t="shared" si="3"/>
        <v>1.6620304992174706</v>
      </c>
      <c r="X13" s="128">
        <f t="shared" si="3"/>
        <v>1.7047901935660568</v>
      </c>
      <c r="Y13" s="128">
        <f t="shared" si="3"/>
        <v>1.7486499829259234</v>
      </c>
      <c r="Z13" s="128">
        <f t="shared" si="3"/>
        <v>1.7936381698621908</v>
      </c>
      <c r="AA13" s="128">
        <f t="shared" si="3"/>
        <v>1.8397837850908976</v>
      </c>
      <c r="AB13" s="128">
        <f t="shared" si="3"/>
        <v>1.8871166062124181</v>
      </c>
      <c r="AC13" s="128">
        <f t="shared" si="3"/>
        <v>1.9356671769268405</v>
      </c>
      <c r="AD13" s="128">
        <f t="shared" si="3"/>
        <v>1.9854668267437077</v>
      </c>
      <c r="AE13" s="128">
        <f t="shared" si="3"/>
        <v>2.0365476911988369</v>
      </c>
      <c r="AF13" s="128">
        <f t="shared" si="3"/>
        <v>2.0889427325912675</v>
      </c>
      <c r="AG13" s="128">
        <f t="shared" si="3"/>
        <v>2.1426857612537136</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191</v>
      </c>
      <c r="B15" s="178" t="s">
        <v>192</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131</v>
      </c>
      <c r="B17" s="77" t="s">
        <v>169</v>
      </c>
      <c r="C17" s="136">
        <f>AVERAGE(C49:C50)</f>
        <v>192554374.63000005</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125</v>
      </c>
      <c r="C18" s="136">
        <f>C17/2</f>
        <v>96277187.315000027</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65</v>
      </c>
      <c r="B20" s="77" t="s">
        <v>136</v>
      </c>
      <c r="C20" s="137">
        <v>17600120.16</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158</v>
      </c>
      <c r="B22" s="178" t="s">
        <v>192</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197</v>
      </c>
      <c r="C24" s="136">
        <v>7674520.9899999993</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194</v>
      </c>
      <c r="C25" s="136">
        <v>4754445.4400000004</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129</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47</v>
      </c>
      <c r="B27" s="78" t="s">
        <v>129</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51</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52</v>
      </c>
      <c r="B31" s="70" t="s">
        <v>130</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53</v>
      </c>
      <c r="B32" s="70" t="s">
        <v>130</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105</v>
      </c>
      <c r="B33" s="82" t="s">
        <v>127</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54</v>
      </c>
      <c r="B35" s="69" t="s">
        <v>128</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55</v>
      </c>
      <c r="B36" s="69" t="s">
        <v>128</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56</v>
      </c>
      <c r="B37" s="69" t="s">
        <v>128</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57</v>
      </c>
      <c r="B39" s="69" t="s">
        <v>128</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58</v>
      </c>
      <c r="B40" s="69" t="s">
        <v>128</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59</v>
      </c>
      <c r="B41" s="69" t="s">
        <v>128</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60</v>
      </c>
      <c r="B43" s="69" t="s">
        <v>87</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61</v>
      </c>
      <c r="B44" s="69" t="s">
        <v>87</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88</v>
      </c>
      <c r="B45" s="69" t="s">
        <v>87</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159</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107</v>
      </c>
      <c r="B49" s="77" t="s">
        <v>134</v>
      </c>
      <c r="C49" s="71">
        <v>191880129.13000005</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108</v>
      </c>
      <c r="B50" s="77" t="s">
        <v>135</v>
      </c>
      <c r="C50" s="71">
        <v>193228620.13000003</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120</v>
      </c>
      <c r="B52" s="77" t="s">
        <v>115</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121</v>
      </c>
      <c r="B53" s="77" t="s">
        <v>115</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119</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109</v>
      </c>
      <c r="B56" s="77" t="s">
        <v>170</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110</v>
      </c>
      <c r="B57" s="77" t="s">
        <v>170</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111</v>
      </c>
      <c r="B58" s="69" t="s">
        <v>87</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117</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109</v>
      </c>
      <c r="B61" s="77" t="s">
        <v>115</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110</v>
      </c>
      <c r="B62" s="77" t="s">
        <v>115</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111</v>
      </c>
      <c r="B63" s="69" t="s">
        <v>87</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116</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109</v>
      </c>
      <c r="B66" s="86" t="s">
        <v>87</v>
      </c>
      <c r="C66" s="71">
        <f>C49*C52/C57</f>
        <v>566726.38684459217</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110</v>
      </c>
      <c r="B67" s="86" t="s">
        <v>87</v>
      </c>
      <c r="C67" s="71">
        <f>C50*C52/C56</f>
        <v>807147.6045272476</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111</v>
      </c>
      <c r="B68" s="86" t="s">
        <v>87</v>
      </c>
      <c r="C68" s="145">
        <f>AVERAGE(C66:C67)</f>
        <v>686936.99568591989</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118</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109</v>
      </c>
      <c r="B71" s="86" t="s">
        <v>87</v>
      </c>
      <c r="C71" s="71">
        <f>C49*C53/C62</f>
        <v>1544737.941186962</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110</v>
      </c>
      <c r="B72" s="86" t="s">
        <v>87</v>
      </c>
      <c r="C72" s="71">
        <f>C50*C53/C61</f>
        <v>2069864.5787049136</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111</v>
      </c>
      <c r="B73" s="86" t="s">
        <v>87</v>
      </c>
      <c r="C73" s="145">
        <f>AVERAGE(C71:C72)</f>
        <v>1807301.2599459379</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112</v>
      </c>
      <c r="B75" s="70" t="s">
        <v>122</v>
      </c>
      <c r="C75" s="71">
        <f>C67+C73</f>
        <v>2614448.8644731855</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x14ac:dyDescent="0.35">
      <c r="A77" s="69" t="s">
        <v>140</v>
      </c>
      <c r="B77" s="179" t="s">
        <v>175</v>
      </c>
      <c r="C77" s="87">
        <v>42433519.324245848</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141</v>
      </c>
      <c r="B79" s="69" t="s">
        <v>154</v>
      </c>
      <c r="C79" s="87">
        <v>727059836.23737335</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142</v>
      </c>
      <c r="B80" s="69" t="s">
        <v>154</v>
      </c>
      <c r="C80" s="87">
        <v>792864046.90127397</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143</v>
      </c>
      <c r="B82" s="69" t="s">
        <v>87</v>
      </c>
      <c r="C82" s="87">
        <f>C79+$C$77</f>
        <v>769493355.56161916</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144</v>
      </c>
      <c r="B83" s="69" t="s">
        <v>87</v>
      </c>
      <c r="C83" s="87">
        <f>C80+$C$77</f>
        <v>835297566.22551978</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149</v>
      </c>
      <c r="B85" s="69" t="s">
        <v>132</v>
      </c>
      <c r="C85" s="150">
        <v>10589</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150</v>
      </c>
      <c r="B86" s="69" t="s">
        <v>133</v>
      </c>
      <c r="C86" s="150">
        <v>8330</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114</v>
      </c>
      <c r="B87" s="69" t="s">
        <v>87</v>
      </c>
      <c r="C87" s="150">
        <f>AVERAGE(C85:C86)</f>
        <v>9459.5</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145</v>
      </c>
      <c r="B89" s="69" t="s">
        <v>87</v>
      </c>
      <c r="C89" s="150">
        <f>C82/$C$87</f>
        <v>81346.091818977657</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145</v>
      </c>
      <c r="B90" s="69" t="s">
        <v>87</v>
      </c>
      <c r="C90" s="150">
        <f>C83/$C$87</f>
        <v>88302.507133095802</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146</v>
      </c>
      <c r="B92" s="69" t="s">
        <v>153</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147</v>
      </c>
      <c r="B94" s="69" t="s">
        <v>87</v>
      </c>
      <c r="C94" s="87">
        <f>IF(C89&lt;$C$92,C89*$C$87,$C$92*$C$87)</f>
        <v>662165000</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148</v>
      </c>
      <c r="B95" s="69" t="s">
        <v>87</v>
      </c>
      <c r="C95" s="87">
        <f>IF(C90&lt;$C$92,C90*$C$87,$C$92*$C$87)</f>
        <v>662165000</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152</v>
      </c>
      <c r="B96" s="69" t="s">
        <v>87</v>
      </c>
      <c r="C96" s="87">
        <f>AVERAGE(C94:C95)</f>
        <v>662165000</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99</v>
      </c>
      <c r="B98" s="69"/>
      <c r="C98" s="71">
        <v>662165000</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49</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50</v>
      </c>
      <c r="B102" s="69" t="s">
        <v>87</v>
      </c>
      <c r="C102" s="71">
        <f>C96/C100</f>
        <v>22072166.666666668</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41</v>
      </c>
      <c r="B104" s="70" t="s">
        <v>204</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42</v>
      </c>
      <c r="B105" s="70" t="s">
        <v>205</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43</v>
      </c>
      <c r="B106" s="69" t="s">
        <v>168</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44</v>
      </c>
      <c r="B107" s="69" t="s">
        <v>168</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113</v>
      </c>
      <c r="B109" s="69" t="s">
        <v>126</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68</v>
      </c>
      <c r="B111" s="69" t="s">
        <v>128</v>
      </c>
      <c r="C111" s="71"/>
      <c r="D111" s="149">
        <f t="shared" ref="D111:AG111" si="9">$C$75</f>
        <v>2614448.8644731855</v>
      </c>
      <c r="E111" s="149">
        <f t="shared" si="9"/>
        <v>2614448.8644731855</v>
      </c>
      <c r="F111" s="149">
        <f t="shared" si="9"/>
        <v>2614448.8644731855</v>
      </c>
      <c r="G111" s="149">
        <f t="shared" si="9"/>
        <v>2614448.8644731855</v>
      </c>
      <c r="H111" s="149">
        <f t="shared" si="9"/>
        <v>2614448.8644731855</v>
      </c>
      <c r="I111" s="149">
        <f t="shared" si="9"/>
        <v>2614448.8644731855</v>
      </c>
      <c r="J111" s="149">
        <f t="shared" si="9"/>
        <v>2614448.8644731855</v>
      </c>
      <c r="K111" s="149">
        <f t="shared" si="9"/>
        <v>2614448.8644731855</v>
      </c>
      <c r="L111" s="149">
        <f t="shared" si="9"/>
        <v>2614448.8644731855</v>
      </c>
      <c r="M111" s="149">
        <f t="shared" si="9"/>
        <v>2614448.8644731855</v>
      </c>
      <c r="N111" s="149">
        <f t="shared" si="9"/>
        <v>2614448.8644731855</v>
      </c>
      <c r="O111" s="149">
        <f t="shared" si="9"/>
        <v>2614448.8644731855</v>
      </c>
      <c r="P111" s="149">
        <f t="shared" si="9"/>
        <v>2614448.8644731855</v>
      </c>
      <c r="Q111" s="149">
        <f t="shared" si="9"/>
        <v>2614448.8644731855</v>
      </c>
      <c r="R111" s="149">
        <f t="shared" si="9"/>
        <v>2614448.8644731855</v>
      </c>
      <c r="S111" s="149">
        <f t="shared" si="9"/>
        <v>2614448.8644731855</v>
      </c>
      <c r="T111" s="149">
        <f t="shared" si="9"/>
        <v>2614448.8644731855</v>
      </c>
      <c r="U111" s="149">
        <f t="shared" si="9"/>
        <v>2614448.8644731855</v>
      </c>
      <c r="V111" s="149">
        <f t="shared" si="9"/>
        <v>2614448.8644731855</v>
      </c>
      <c r="W111" s="149">
        <f t="shared" si="9"/>
        <v>2614448.8644731855</v>
      </c>
      <c r="X111" s="149">
        <f t="shared" si="9"/>
        <v>2614448.8644731855</v>
      </c>
      <c r="Y111" s="149">
        <f t="shared" si="9"/>
        <v>2614448.8644731855</v>
      </c>
      <c r="Z111" s="149">
        <f t="shared" si="9"/>
        <v>2614448.8644731855</v>
      </c>
      <c r="AA111" s="149">
        <f t="shared" si="9"/>
        <v>2614448.8644731855</v>
      </c>
      <c r="AB111" s="149">
        <f t="shared" si="9"/>
        <v>2614448.8644731855</v>
      </c>
      <c r="AC111" s="149">
        <f t="shared" si="9"/>
        <v>2614448.8644731855</v>
      </c>
      <c r="AD111" s="149">
        <f t="shared" si="9"/>
        <v>2614448.8644731855</v>
      </c>
      <c r="AE111" s="149">
        <f t="shared" si="9"/>
        <v>2614448.8644731855</v>
      </c>
      <c r="AF111" s="149">
        <f t="shared" si="9"/>
        <v>2614448.8644731855</v>
      </c>
      <c r="AG111" s="149">
        <f t="shared" si="9"/>
        <v>2614448.8644731855</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69</v>
      </c>
      <c r="B113" s="69" t="s">
        <v>87</v>
      </c>
      <c r="C113" s="71">
        <f>SUM(D113:AG113)</f>
        <v>662165000</v>
      </c>
      <c r="D113" s="149">
        <f t="shared" ref="D113:AG113" si="10">$C$102</f>
        <v>22072166.666666668</v>
      </c>
      <c r="E113" s="149">
        <f t="shared" si="10"/>
        <v>22072166.666666668</v>
      </c>
      <c r="F113" s="149">
        <f t="shared" si="10"/>
        <v>22072166.666666668</v>
      </c>
      <c r="G113" s="149">
        <f t="shared" si="10"/>
        <v>22072166.666666668</v>
      </c>
      <c r="H113" s="149">
        <f t="shared" si="10"/>
        <v>22072166.666666668</v>
      </c>
      <c r="I113" s="149">
        <f t="shared" si="10"/>
        <v>22072166.666666668</v>
      </c>
      <c r="J113" s="149">
        <f t="shared" si="10"/>
        <v>22072166.666666668</v>
      </c>
      <c r="K113" s="149">
        <f t="shared" si="10"/>
        <v>22072166.666666668</v>
      </c>
      <c r="L113" s="149">
        <f t="shared" si="10"/>
        <v>22072166.666666668</v>
      </c>
      <c r="M113" s="149">
        <f t="shared" si="10"/>
        <v>22072166.666666668</v>
      </c>
      <c r="N113" s="149">
        <f t="shared" si="10"/>
        <v>22072166.666666668</v>
      </c>
      <c r="O113" s="149">
        <f t="shared" si="10"/>
        <v>22072166.666666668</v>
      </c>
      <c r="P113" s="149">
        <f t="shared" si="10"/>
        <v>22072166.666666668</v>
      </c>
      <c r="Q113" s="149">
        <f t="shared" si="10"/>
        <v>22072166.666666668</v>
      </c>
      <c r="R113" s="149">
        <f t="shared" si="10"/>
        <v>22072166.666666668</v>
      </c>
      <c r="S113" s="149">
        <f t="shared" si="10"/>
        <v>22072166.666666668</v>
      </c>
      <c r="T113" s="149">
        <f t="shared" si="10"/>
        <v>22072166.666666668</v>
      </c>
      <c r="U113" s="149">
        <f t="shared" si="10"/>
        <v>22072166.666666668</v>
      </c>
      <c r="V113" s="149">
        <f t="shared" si="10"/>
        <v>22072166.666666668</v>
      </c>
      <c r="W113" s="149">
        <f t="shared" si="10"/>
        <v>22072166.666666668</v>
      </c>
      <c r="X113" s="149">
        <f t="shared" si="10"/>
        <v>22072166.666666668</v>
      </c>
      <c r="Y113" s="149">
        <f t="shared" si="10"/>
        <v>22072166.666666668</v>
      </c>
      <c r="Z113" s="149">
        <f t="shared" si="10"/>
        <v>22072166.666666668</v>
      </c>
      <c r="AA113" s="149">
        <f t="shared" si="10"/>
        <v>22072166.666666668</v>
      </c>
      <c r="AB113" s="149">
        <f t="shared" si="10"/>
        <v>22072166.666666668</v>
      </c>
      <c r="AC113" s="149">
        <f t="shared" si="10"/>
        <v>22072166.666666668</v>
      </c>
      <c r="AD113" s="149">
        <f t="shared" si="10"/>
        <v>22072166.666666668</v>
      </c>
      <c r="AE113" s="149">
        <f t="shared" si="10"/>
        <v>22072166.666666668</v>
      </c>
      <c r="AF113" s="149">
        <f t="shared" si="10"/>
        <v>22072166.666666668</v>
      </c>
      <c r="AG113" s="149">
        <f t="shared" si="10"/>
        <v>22072166.666666668</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89</v>
      </c>
      <c r="B115" s="69" t="s">
        <v>87</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90</v>
      </c>
      <c r="B116" s="69" t="s">
        <v>87</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91</v>
      </c>
      <c r="B118" s="69" t="s">
        <v>87</v>
      </c>
      <c r="C118" s="126"/>
      <c r="D118" s="149">
        <f>D113+D115+D116</f>
        <v>22072166.666666668</v>
      </c>
      <c r="E118" s="149">
        <f t="shared" ref="E118:AG118" si="13">E113+E115+E116</f>
        <v>22072166.666666668</v>
      </c>
      <c r="F118" s="149">
        <f>F113+F115+F116</f>
        <v>22072166.666666668</v>
      </c>
      <c r="G118" s="149">
        <f t="shared" si="13"/>
        <v>22072166.666666668</v>
      </c>
      <c r="H118" s="149">
        <f t="shared" si="13"/>
        <v>22072166.666666668</v>
      </c>
      <c r="I118" s="149">
        <f t="shared" si="13"/>
        <v>22072166.666666668</v>
      </c>
      <c r="J118" s="149">
        <f t="shared" si="13"/>
        <v>22072166.666666668</v>
      </c>
      <c r="K118" s="149">
        <f t="shared" si="13"/>
        <v>22072166.666666668</v>
      </c>
      <c r="L118" s="149">
        <f t="shared" si="13"/>
        <v>22072166.666666668</v>
      </c>
      <c r="M118" s="149">
        <f t="shared" si="13"/>
        <v>22072166.666666668</v>
      </c>
      <c r="N118" s="149">
        <f t="shared" si="13"/>
        <v>22072166.666666668</v>
      </c>
      <c r="O118" s="149">
        <f t="shared" si="13"/>
        <v>22072166.666666668</v>
      </c>
      <c r="P118" s="149">
        <f t="shared" si="13"/>
        <v>22072166.666666668</v>
      </c>
      <c r="Q118" s="149">
        <f t="shared" si="13"/>
        <v>22072166.666666668</v>
      </c>
      <c r="R118" s="149">
        <f t="shared" si="13"/>
        <v>22072166.666666668</v>
      </c>
      <c r="S118" s="149">
        <f t="shared" si="13"/>
        <v>22072166.666666668</v>
      </c>
      <c r="T118" s="149">
        <f t="shared" si="13"/>
        <v>22072166.666666668</v>
      </c>
      <c r="U118" s="149">
        <f t="shared" si="13"/>
        <v>22072166.666666668</v>
      </c>
      <c r="V118" s="149">
        <f t="shared" si="13"/>
        <v>22072166.666666668</v>
      </c>
      <c r="W118" s="149">
        <f t="shared" si="13"/>
        <v>22072166.666666668</v>
      </c>
      <c r="X118" s="149">
        <f t="shared" si="13"/>
        <v>22072166.666666668</v>
      </c>
      <c r="Y118" s="149">
        <f t="shared" si="13"/>
        <v>22072166.666666668</v>
      </c>
      <c r="Z118" s="149">
        <f t="shared" si="13"/>
        <v>22072166.666666668</v>
      </c>
      <c r="AA118" s="149">
        <f t="shared" si="13"/>
        <v>22072166.666666668</v>
      </c>
      <c r="AB118" s="149">
        <f t="shared" si="13"/>
        <v>22072166.666666668</v>
      </c>
      <c r="AC118" s="149">
        <f t="shared" si="13"/>
        <v>22072166.666666668</v>
      </c>
      <c r="AD118" s="149">
        <f t="shared" si="13"/>
        <v>22072166.666666668</v>
      </c>
      <c r="AE118" s="149">
        <f t="shared" si="13"/>
        <v>22072166.666666668</v>
      </c>
      <c r="AF118" s="149">
        <f t="shared" si="13"/>
        <v>22072166.666666668</v>
      </c>
      <c r="AG118" s="149">
        <f t="shared" si="13"/>
        <v>22072166.666666668</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70</v>
      </c>
      <c r="B120" s="69" t="s">
        <v>87</v>
      </c>
      <c r="C120" s="126"/>
      <c r="D120" s="149">
        <f>(SUM($D$118:D118)*$C$104/$C$106)+(SUM($D$118:D118)*$C$105/$C$107)</f>
        <v>529732</v>
      </c>
      <c r="E120" s="149">
        <f>(SUM($D$118:E118)*$C$104/$C$106)+(SUM($D$118:E118)*$C$105/$C$107)</f>
        <v>1059464</v>
      </c>
      <c r="F120" s="149">
        <f>(SUM($D$118:F118)*$C$104/$C$106)+(SUM($D$118:F118)*$C$105/$C$107)</f>
        <v>1589196</v>
      </c>
      <c r="G120" s="149">
        <f>(SUM($D$118:G118)*$C$104/$C$106)+(SUM($D$118:G118)*$C$105/$C$107)</f>
        <v>2118928</v>
      </c>
      <c r="H120" s="149">
        <f>(SUM($D$118:H118)*$C$104/$C$106)+(SUM($D$118:H118)*$C$105/$C$107)</f>
        <v>2648660</v>
      </c>
      <c r="I120" s="149">
        <f>(SUM($D$118:I118)*$C$104/$C$106)+(SUM($D$118:I118)*$C$105/$C$107)</f>
        <v>3178392</v>
      </c>
      <c r="J120" s="149">
        <f>(SUM($D$118:J118)*$C$104/$C$106)+(SUM($D$118:J118)*$C$105/$C$107)</f>
        <v>3708124.0000000009</v>
      </c>
      <c r="K120" s="149">
        <f>(SUM($D$118:K118)*$C$104/$C$106)+(SUM($D$118:K118)*$C$105/$C$107)</f>
        <v>4237856</v>
      </c>
      <c r="L120" s="149">
        <f>(SUM($D$118:L118)*$C$104/$C$106)+(SUM($D$118:L118)*$C$105/$C$107)</f>
        <v>4767588</v>
      </c>
      <c r="M120" s="149">
        <f>(SUM($D$118:M118)*$C$104/$C$106)+(SUM($D$118:M118)*$C$105/$C$107)</f>
        <v>5297320</v>
      </c>
      <c r="N120" s="149">
        <f>(SUM($D$118:N118)*$C$104/$C$106)+(SUM($D$118:N118)*$C$105/$C$107)</f>
        <v>5827051.9999999991</v>
      </c>
      <c r="O120" s="149">
        <f>(SUM($D$118:O118)*$C$104/$C$106)+(SUM($D$118:O118)*$C$105/$C$107)</f>
        <v>6356783.9999999991</v>
      </c>
      <c r="P120" s="149">
        <f>(SUM($D$118:P118)*$C$104/$C$106)+(SUM($D$118:P118)*$C$105/$C$107)</f>
        <v>6886515.9999999981</v>
      </c>
      <c r="Q120" s="149">
        <f>(SUM($D$118:Q118)*$C$104/$C$106)+(SUM($D$118:Q118)*$C$105/$C$107)</f>
        <v>7416247.9999999991</v>
      </c>
      <c r="R120" s="149">
        <f>(SUM($D$118:R118)*$C$104/$C$106)+(SUM($D$118:R118)*$C$105/$C$107)</f>
        <v>7945980</v>
      </c>
      <c r="S120" s="149">
        <f>(SUM($D$118:S118)*$C$104/$C$106)+(SUM($D$118:S118)*$C$105/$C$107)</f>
        <v>8475712</v>
      </c>
      <c r="T120" s="149">
        <f>(SUM($D$118:T118)*$C$104/$C$106)+(SUM($D$118:T118)*$C$105/$C$107)</f>
        <v>9005444.0000000019</v>
      </c>
      <c r="U120" s="149">
        <f>(SUM($D$118:U118)*$C$104/$C$106)+(SUM($D$118:U118)*$C$105/$C$107)</f>
        <v>9535176.0000000019</v>
      </c>
      <c r="V120" s="149">
        <f>(SUM($D$118:V118)*$C$104/$C$106)+(SUM($D$118:V118)*$C$105/$C$107)</f>
        <v>10064908.000000002</v>
      </c>
      <c r="W120" s="149">
        <f>(SUM($D$118:W118)*$C$104/$C$106)+(SUM($D$118:W118)*$C$105/$C$107)</f>
        <v>10594640.000000002</v>
      </c>
      <c r="X120" s="149">
        <f>(SUM($D$118:X118)*$C$104/$C$106)+(SUM($D$118:X118)*$C$105/$C$107)</f>
        <v>11124372.000000002</v>
      </c>
      <c r="Y120" s="149">
        <f>(SUM($D$118:Y118)*$C$104/$C$106)+(SUM($D$118:Y118)*$C$105/$C$107)</f>
        <v>11654104.000000004</v>
      </c>
      <c r="Z120" s="149">
        <f>(SUM($D$118:Z118)*$C$104/$C$106)+(SUM($D$118:Z118)*$C$105/$C$107)</f>
        <v>12183836.000000002</v>
      </c>
      <c r="AA120" s="149">
        <f>(SUM($D$118:AA118)*$C$104/$C$106)+(SUM($D$118:AA118)*$C$105/$C$107)</f>
        <v>12713568.000000004</v>
      </c>
      <c r="AB120" s="149">
        <f>(SUM($D$118:AB118)*$C$104/$C$106)+(SUM($D$118:AB118)*$C$105/$C$107)</f>
        <v>13243300.000000006</v>
      </c>
      <c r="AC120" s="149">
        <f>(SUM($D$118:AC118)*$C$104/$C$106)+(SUM($D$118:AC118)*$C$105/$C$107)</f>
        <v>13773032.000000002</v>
      </c>
      <c r="AD120" s="149">
        <f>(SUM($D$118:AD118)*$C$104/$C$106)+(SUM($D$118:AD118)*$C$105/$C$107)</f>
        <v>14302764.000000002</v>
      </c>
      <c r="AE120" s="149">
        <f>(SUM($D$118:AE118)*$C$104/$C$106)+(SUM($D$118:AE118)*$C$105/$C$107)</f>
        <v>14832496.000000004</v>
      </c>
      <c r="AF120" s="149">
        <f>(SUM($D$118:AF118)*$C$104/$C$106)+(SUM($D$118:AF118)*$C$105/$C$107)</f>
        <v>15362228</v>
      </c>
      <c r="AG120" s="149">
        <f>(SUM($D$118:AG118)*$C$104/$C$106)+(SUM($D$118:AG118)*$C$105/$C$107)</f>
        <v>15891960</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92</v>
      </c>
      <c r="B122" s="69" t="s">
        <v>87</v>
      </c>
      <c r="C122" s="126"/>
      <c r="D122" s="72">
        <f>(SUM($D$118:D118)*$C$109)</f>
        <v>662165</v>
      </c>
      <c r="E122" s="72">
        <f>(SUM($D$118:E118)*$C$109)</f>
        <v>1324330</v>
      </c>
      <c r="F122" s="72">
        <f>(SUM($D$118:F118)*$C$109)</f>
        <v>1986495</v>
      </c>
      <c r="G122" s="72">
        <f>(SUM($D$118:G118)*$C$109)</f>
        <v>2648660</v>
      </c>
      <c r="H122" s="72">
        <f>(SUM($D$118:H118)*$C$109)</f>
        <v>3310825</v>
      </c>
      <c r="I122" s="72">
        <f>(SUM($D$118:I118)*$C$109)</f>
        <v>3972990.0000000005</v>
      </c>
      <c r="J122" s="72">
        <f>(SUM($D$118:J118)*$C$109)</f>
        <v>4635155</v>
      </c>
      <c r="K122" s="72">
        <f>(SUM($D$118:K118)*$C$109)</f>
        <v>5297320</v>
      </c>
      <c r="L122" s="72">
        <f>(SUM($D$118:L118)*$C$109)</f>
        <v>5959485</v>
      </c>
      <c r="M122" s="72">
        <f>(SUM($D$118:M118)*$C$109)</f>
        <v>6621649.9999999991</v>
      </c>
      <c r="N122" s="72">
        <f>(SUM($D$118:N118)*$C$109)</f>
        <v>7283814.9999999991</v>
      </c>
      <c r="O122" s="72">
        <f>(SUM($D$118:O118)*$C$109)</f>
        <v>7945979.9999999991</v>
      </c>
      <c r="P122" s="72">
        <f>(SUM($D$118:P118)*$C$109)</f>
        <v>8608144.9999999981</v>
      </c>
      <c r="Q122" s="72">
        <f>(SUM($D$118:Q118)*$C$109)</f>
        <v>9270309.9999999981</v>
      </c>
      <c r="R122" s="72">
        <f>(SUM($D$118:R118)*$C$109)</f>
        <v>9932475</v>
      </c>
      <c r="S122" s="72">
        <f>(SUM($D$118:S118)*$C$109)</f>
        <v>10594640</v>
      </c>
      <c r="T122" s="72">
        <f>(SUM($D$118:T118)*$C$109)</f>
        <v>11256805</v>
      </c>
      <c r="U122" s="72">
        <f>(SUM($D$118:U118)*$C$109)</f>
        <v>11918970.000000002</v>
      </c>
      <c r="V122" s="72">
        <f>(SUM($D$118:V118)*$C$109)</f>
        <v>12581135.000000002</v>
      </c>
      <c r="W122" s="72">
        <f>(SUM($D$118:W118)*$C$109)</f>
        <v>13243300.000000002</v>
      </c>
      <c r="X122" s="72">
        <f>(SUM($D$118:X118)*$C$109)</f>
        <v>13905465.000000004</v>
      </c>
      <c r="Y122" s="72">
        <f>(SUM($D$118:Y118)*$C$109)</f>
        <v>14567630.000000004</v>
      </c>
      <c r="Z122" s="72">
        <f>(SUM($D$118:Z118)*$C$109)</f>
        <v>15229795.000000004</v>
      </c>
      <c r="AA122" s="72">
        <f>(SUM($D$118:AA118)*$C$109)</f>
        <v>15891960.000000006</v>
      </c>
      <c r="AB122" s="72">
        <f>(SUM($D$118:AB118)*$C$109)</f>
        <v>16554125.000000006</v>
      </c>
      <c r="AC122" s="72">
        <f>(SUM($D$118:AC118)*$C$109)</f>
        <v>17216290.000000004</v>
      </c>
      <c r="AD122" s="72">
        <f>(SUM($D$118:AD118)*$C$109)</f>
        <v>17878455.000000004</v>
      </c>
      <c r="AE122" s="72">
        <f>(SUM($D$118:AE118)*$C$109)</f>
        <v>18540620</v>
      </c>
      <c r="AF122" s="72">
        <f>(SUM($D$118:AF118)*$C$109)</f>
        <v>19202785</v>
      </c>
      <c r="AG122" s="72">
        <f>(SUM($D$118:AG118)*$C$109)</f>
        <v>19864950</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48</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151</v>
      </c>
      <c r="B126" s="77" t="s">
        <v>132</v>
      </c>
      <c r="C126" s="126">
        <v>10589</v>
      </c>
      <c r="D126" s="140"/>
    </row>
    <row r="127" spans="1:33" x14ac:dyDescent="0.35">
      <c r="A127" s="77" t="s">
        <v>150</v>
      </c>
      <c r="B127" s="77" t="s">
        <v>133</v>
      </c>
      <c r="C127" s="126">
        <v>8330</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114</v>
      </c>
      <c r="B129" s="77" t="s">
        <v>87</v>
      </c>
      <c r="C129" s="126">
        <f>AVERAGE(C126:C127)</f>
        <v>9459.5</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124</v>
      </c>
      <c r="B131" s="77" t="s">
        <v>123</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155</v>
      </c>
      <c r="B133" s="77" t="s">
        <v>156</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100</v>
      </c>
      <c r="B135" s="79" t="s">
        <v>87</v>
      </c>
      <c r="C135" s="156">
        <f>C129/C131</f>
        <v>3503.5185185185182</v>
      </c>
      <c r="D135" s="157">
        <f t="shared" ref="D135:AG135" si="14">$C$135*D13</f>
        <v>3593.654879473987</v>
      </c>
      <c r="E135" s="157">
        <f t="shared" si="14"/>
        <v>3686.1102130632098</v>
      </c>
      <c r="F135" s="157">
        <f t="shared" si="14"/>
        <v>3780.9441803820982</v>
      </c>
      <c r="G135" s="157">
        <f t="shared" si="14"/>
        <v>3878.2179774503979</v>
      </c>
      <c r="H135" s="157">
        <f t="shared" si="14"/>
        <v>3977.9943747012599</v>
      </c>
      <c r="I135" s="157">
        <f t="shared" si="14"/>
        <v>4080.3377574867804</v>
      </c>
      <c r="J135" s="157">
        <f t="shared" si="14"/>
        <v>4185.31416762563</v>
      </c>
      <c r="K135" s="157">
        <f t="shared" si="14"/>
        <v>4292.991346019613</v>
      </c>
      <c r="L135" s="157">
        <f t="shared" si="14"/>
        <v>4403.4387763666209</v>
      </c>
      <c r="M135" s="157">
        <f t="shared" si="14"/>
        <v>4516.7277299982197</v>
      </c>
      <c r="N135" s="157">
        <f t="shared" si="14"/>
        <v>4632.9313118707787</v>
      </c>
      <c r="O135" s="157">
        <f t="shared" si="14"/>
        <v>4752.1245077398453</v>
      </c>
      <c r="P135" s="157">
        <f t="shared" si="14"/>
        <v>4874.3842325481764</v>
      </c>
      <c r="Q135" s="157">
        <f t="shared" si="14"/>
        <v>4999.7893800586844</v>
      </c>
      <c r="R135" s="157">
        <f t="shared" si="14"/>
        <v>5128.4208737642903</v>
      </c>
      <c r="S135" s="157">
        <f t="shared" si="14"/>
        <v>5260.3617191075728</v>
      </c>
      <c r="T135" s="157">
        <f t="shared" si="14"/>
        <v>5395.697057043878</v>
      </c>
      <c r="U135" s="157">
        <f t="shared" si="14"/>
        <v>5534.5142189824783</v>
      </c>
      <c r="V135" s="157">
        <f t="shared" si="14"/>
        <v>5676.9027831412104</v>
      </c>
      <c r="W135" s="157">
        <f t="shared" si="14"/>
        <v>5822.9546323509858</v>
      </c>
      <c r="X135" s="157">
        <f t="shared" si="14"/>
        <v>5972.7640133474488</v>
      </c>
      <c r="Y135" s="157">
        <f t="shared" si="14"/>
        <v>6126.4275975880637</v>
      </c>
      <c r="Z135" s="157">
        <f t="shared" si="14"/>
        <v>6284.0445436338496</v>
      </c>
      <c r="AA135" s="157">
        <f t="shared" si="14"/>
        <v>6445.7165611360533</v>
      </c>
      <c r="AB135" s="157">
        <f t="shared" si="14"/>
        <v>6611.5479764690253</v>
      </c>
      <c r="AC135" s="157">
        <f t="shared" si="14"/>
        <v>6781.6458000516468</v>
      </c>
      <c r="AD135" s="157">
        <f t="shared" si="14"/>
        <v>6956.1197954007785</v>
      </c>
      <c r="AE135" s="157">
        <f t="shared" si="14"/>
        <v>7135.0825499612583</v>
      </c>
      <c r="AF135" s="157">
        <f t="shared" si="14"/>
        <v>7318.649547758183</v>
      </c>
      <c r="AG135" s="157">
        <f t="shared" si="14"/>
        <v>7506.9392439183339</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1:4" x14ac:dyDescent="0.35">
      <c r="A195" s="76" t="s">
        <v>25</v>
      </c>
      <c r="D195" s="158">
        <v>0.1</v>
      </c>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80" zoomScaleNormal="8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31</v>
      </c>
    </row>
    <row r="2" spans="1:35" ht="16" thickBot="1" x14ac:dyDescent="0.4"/>
    <row r="3" spans="1:35" s="15" customFormat="1" ht="21.5" thickBot="1" x14ac:dyDescent="0.55000000000000004">
      <c r="A3" s="49" t="s">
        <v>26</v>
      </c>
      <c r="B3" s="50" t="s">
        <v>35</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106</v>
      </c>
      <c r="B4" s="35"/>
      <c r="C4" s="34"/>
      <c r="D4" s="53"/>
      <c r="E4" s="65">
        <v>0.5</v>
      </c>
      <c r="F4" s="65">
        <v>0.38</v>
      </c>
      <c r="G4" s="65">
        <v>0.38</v>
      </c>
      <c r="H4" s="65">
        <v>0.25</v>
      </c>
      <c r="I4" s="65">
        <v>0.1</v>
      </c>
      <c r="J4" s="65">
        <v>0.1</v>
      </c>
      <c r="K4" s="65">
        <v>7.0000000000000007E-2</v>
      </c>
      <c r="L4" s="65">
        <v>0.06</v>
      </c>
      <c r="M4" s="65">
        <v>0.05</v>
      </c>
      <c r="N4" s="65">
        <v>0.05</v>
      </c>
      <c r="O4" s="65">
        <v>0.05</v>
      </c>
      <c r="P4" s="65">
        <v>0.05</v>
      </c>
      <c r="Q4" s="65">
        <v>0.04</v>
      </c>
      <c r="R4" s="65">
        <v>0.04</v>
      </c>
      <c r="S4" s="65">
        <v>0.03</v>
      </c>
      <c r="T4" s="65">
        <v>0.03</v>
      </c>
      <c r="U4" s="65">
        <v>2.5000000000000001E-2</v>
      </c>
      <c r="V4" s="65">
        <v>2.1999999999999999E-2</v>
      </c>
      <c r="W4" s="65">
        <v>2.1999999999999999E-2</v>
      </c>
      <c r="X4" s="65">
        <v>2.1999999999999999E-2</v>
      </c>
      <c r="Y4" s="65">
        <v>2.1999999999999999E-2</v>
      </c>
      <c r="Z4" s="65">
        <v>2.1999999999999999E-2</v>
      </c>
      <c r="AA4" s="65">
        <v>2.1999999999999999E-2</v>
      </c>
      <c r="AB4" s="65">
        <v>2.1999999999999999E-2</v>
      </c>
      <c r="AC4" s="65">
        <v>2.1999999999999999E-2</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40</v>
      </c>
      <c r="B6" s="68">
        <f ca="1">MAX(E6:AH6)</f>
        <v>2.4936373108486003</v>
      </c>
      <c r="C6" s="25"/>
      <c r="D6" s="25"/>
      <c r="E6" s="27">
        <f>'Debt worksheet'!C5/'Profit and Loss'!C5</f>
        <v>1.4905314571724237</v>
      </c>
      <c r="F6" s="28">
        <f ca="1">'Debt worksheet'!D5/'Profit and Loss'!D5</f>
        <v>2.3235019031234785</v>
      </c>
      <c r="G6" s="28">
        <f ca="1">'Debt worksheet'!E5/'Profit and Loss'!E5</f>
        <v>2.4593576194610871</v>
      </c>
      <c r="H6" s="28">
        <f ca="1">'Debt worksheet'!F5/'Profit and Loss'!F5</f>
        <v>2.4256015705931695</v>
      </c>
      <c r="I6" s="28">
        <f ca="1">'Debt worksheet'!G5/'Profit and Loss'!G5</f>
        <v>2.4912056072381503</v>
      </c>
      <c r="J6" s="28">
        <f ca="1">'Debt worksheet'!H5/'Profit and Loss'!H5</f>
        <v>2.4887704455102098</v>
      </c>
      <c r="K6" s="28">
        <f ca="1">'Debt worksheet'!I5/'Profit and Loss'!I5</f>
        <v>2.4936373108486003</v>
      </c>
      <c r="L6" s="28">
        <f ca="1">'Debt worksheet'!J5/'Profit and Loss'!J5</f>
        <v>2.4897153240029946</v>
      </c>
      <c r="M6" s="28">
        <f ca="1">'Debt worksheet'!K5/'Profit and Loss'!K5</f>
        <v>2.4867477153044346</v>
      </c>
      <c r="N6" s="28">
        <f ca="1">'Debt worksheet'!L5/'Profit and Loss'!L5</f>
        <v>2.4700830496683297</v>
      </c>
      <c r="O6" s="28">
        <f ca="1">'Debt worksheet'!M5/'Profit and Loss'!M5</f>
        <v>2.4393082690752999</v>
      </c>
      <c r="P6" s="28">
        <f ca="1">'Debt worksheet'!N5/'Profit and Loss'!N5</f>
        <v>2.3941425990437479</v>
      </c>
      <c r="Q6" s="28">
        <f ca="1">'Debt worksheet'!O5/'Profit and Loss'!O5</f>
        <v>2.3568699592515525</v>
      </c>
      <c r="R6" s="28">
        <f ca="1">'Debt worksheet'!P5/'Profit and Loss'!P5</f>
        <v>2.3131071052064569</v>
      </c>
      <c r="S6" s="28">
        <f ca="1">'Debt worksheet'!Q5/'Profit and Loss'!Q5</f>
        <v>2.2842342334886618</v>
      </c>
      <c r="T6" s="28">
        <f ca="1">'Debt worksheet'!R5/'Profit and Loss'!R5</f>
        <v>2.2563853465866122</v>
      </c>
      <c r="U6" s="28">
        <f ca="1">'Debt worksheet'!S5/'Profit and Loss'!S5</f>
        <v>2.2396729436790284</v>
      </c>
      <c r="V6" s="28">
        <f ca="1">'Debt worksheet'!T5/'Profit and Loss'!T5</f>
        <v>2.2336459944954132</v>
      </c>
      <c r="W6" s="28">
        <f ca="1">'Debt worksheet'!U5/'Profit and Loss'!U5</f>
        <v>2.233921111480035</v>
      </c>
      <c r="X6" s="28">
        <f ca="1">'Debt worksheet'!V5/'Profit and Loss'!V5</f>
        <v>2.2398241168283919</v>
      </c>
      <c r="Y6" s="28">
        <f ca="1">'Debt worksheet'!W5/'Profit and Loss'!W5</f>
        <v>2.2507116800853177</v>
      </c>
      <c r="Z6" s="28">
        <f ca="1">'Debt worksheet'!X5/'Profit and Loss'!X5</f>
        <v>2.2659702175000969</v>
      </c>
      <c r="AA6" s="28">
        <f ca="1">'Debt worksheet'!Y5/'Profit and Loss'!Y5</f>
        <v>2.285014826633021</v>
      </c>
      <c r="AB6" s="28">
        <f ca="1">'Debt worksheet'!Z5/'Profit and Loss'!Z5</f>
        <v>2.3072882551447802</v>
      </c>
      <c r="AC6" s="28">
        <f ca="1">'Debt worksheet'!AA5/'Profit and Loss'!AA5</f>
        <v>2.332259902731455</v>
      </c>
      <c r="AD6" s="28">
        <f ca="1">'Debt worksheet'!AB5/'Profit and Loss'!AB5</f>
        <v>2.3594248551983847</v>
      </c>
      <c r="AE6" s="28">
        <f ca="1">'Debt worksheet'!AC5/'Profit and Loss'!AC5</f>
        <v>2.3883029496957642</v>
      </c>
      <c r="AF6" s="28">
        <f ca="1">'Debt worksheet'!AD5/'Profit and Loss'!AD5</f>
        <v>2.4184378701675979</v>
      </c>
      <c r="AG6" s="28">
        <f ca="1">'Debt worksheet'!AE5/'Profit and Loss'!AE5</f>
        <v>2.4493962720935469</v>
      </c>
      <c r="AH6" s="28">
        <f ca="1">'Debt worksheet'!AF5/'Profit and Loss'!AF5</f>
        <v>2.4807669356303377</v>
      </c>
      <c r="AI6" s="31"/>
    </row>
    <row r="7" spans="1:35" ht="21" x14ac:dyDescent="0.5">
      <c r="A7" s="19" t="s">
        <v>39</v>
      </c>
      <c r="B7" s="26">
        <f ca="1">MIN('Price and Financial ratios'!E7:AH7)</f>
        <v>0.20779191330576705</v>
      </c>
      <c r="C7" s="26"/>
      <c r="D7" s="26"/>
      <c r="E7" s="56">
        <f ca="1">'Cash Flow'!C7/'Debt worksheet'!C5</f>
        <v>0.27203915062073653</v>
      </c>
      <c r="F7" s="32">
        <f ca="1">'Cash Flow'!D7/'Debt worksheet'!D5</f>
        <v>0.20779191330576705</v>
      </c>
      <c r="G7" s="32">
        <f ca="1">'Cash Flow'!E7/'Debt worksheet'!E5</f>
        <v>0.2317765024560699</v>
      </c>
      <c r="H7" s="32">
        <f ca="1">'Cash Flow'!F7/'Debt worksheet'!F5</f>
        <v>0.25440719745378193</v>
      </c>
      <c r="I7" s="32">
        <f ca="1">'Cash Flow'!G7/'Debt worksheet'!G5</f>
        <v>0.24807743376466812</v>
      </c>
      <c r="J7" s="32">
        <f ca="1">'Cash Flow'!H7/'Debt worksheet'!H5</f>
        <v>0.25056462323369372</v>
      </c>
      <c r="K7" s="32">
        <f ca="1">'Cash Flow'!I7/'Debt worksheet'!I5</f>
        <v>0.24937282318989018</v>
      </c>
      <c r="L7" s="32">
        <f ca="1">'Cash Flow'!J7/'Debt worksheet'!J5</f>
        <v>0.24861856116592762</v>
      </c>
      <c r="M7" s="17">
        <f ca="1">'Cash Flow'!K7/'Debt worksheet'!K5</f>
        <v>0.24706580435284681</v>
      </c>
      <c r="N7" s="17">
        <f ca="1">'Cash Flow'!L7/'Debt worksheet'!L5</f>
        <v>0.24756939883125922</v>
      </c>
      <c r="O7" s="17">
        <f ca="1">'Cash Flow'!M7/'Debt worksheet'!M5</f>
        <v>0.25018323854433105</v>
      </c>
      <c r="P7" s="17">
        <f ca="1">'Cash Flow'!N7/'Debt worksheet'!N5</f>
        <v>0.25502631159207578</v>
      </c>
      <c r="Q7" s="17">
        <f ca="1">'Cash Flow'!O7/'Debt worksheet'!O5</f>
        <v>0.2580699950050076</v>
      </c>
      <c r="R7" s="17">
        <f ca="1">'Cash Flow'!P7/'Debt worksheet'!P5</f>
        <v>0.26239638415763833</v>
      </c>
      <c r="S7" s="17">
        <f ca="1">'Cash Flow'!Q7/'Debt worksheet'!Q5</f>
        <v>0.26376477173215479</v>
      </c>
      <c r="T7" s="17">
        <f ca="1">'Cash Flow'!R7/'Debt worksheet'!R5</f>
        <v>0.2653121754337982</v>
      </c>
      <c r="U7" s="17">
        <f ca="1">'Cash Flow'!S7/'Debt worksheet'!S5</f>
        <v>0.26487398979138826</v>
      </c>
      <c r="V7" s="17">
        <f ca="1">'Cash Flow'!T7/'Debt worksheet'!T5</f>
        <v>0.26274127599655617</v>
      </c>
      <c r="W7" s="17">
        <f ca="1">'Cash Flow'!U7/'Debt worksheet'!U5</f>
        <v>0.25996744058024379</v>
      </c>
      <c r="X7" s="17">
        <f ca="1">'Cash Flow'!V7/'Debt worksheet'!V5</f>
        <v>0.25665576949031177</v>
      </c>
      <c r="Y7" s="17">
        <f ca="1">'Cash Flow'!W7/'Debt worksheet'!W5</f>
        <v>0.25290979764177995</v>
      </c>
      <c r="Z7" s="17">
        <f ca="1">'Cash Flow'!X7/'Debt worksheet'!X5</f>
        <v>0.24882984904459696</v>
      </c>
      <c r="AA7" s="17">
        <f ca="1">'Cash Flow'!Y7/'Debt worksheet'!Y5</f>
        <v>0.24451038291232666</v>
      </c>
      <c r="AB7" s="17">
        <f ca="1">'Cash Flow'!Z7/'Debt worksheet'!Z5</f>
        <v>0.24003814608258975</v>
      </c>
      <c r="AC7" s="17">
        <f ca="1">'Cash Flow'!AA7/'Debt worksheet'!AA5</f>
        <v>0.2354910643832539</v>
      </c>
      <c r="AD7" s="17">
        <f ca="1">'Cash Flow'!AB7/'Debt worksheet'!AB5</f>
        <v>0.23093776400458677</v>
      </c>
      <c r="AE7" s="17">
        <f ca="1">'Cash Flow'!AC7/'Debt worksheet'!AC5</f>
        <v>0.22643759543072606</v>
      </c>
      <c r="AF7" s="17">
        <f ca="1">'Cash Flow'!AD7/'Debt worksheet'!AD5</f>
        <v>0.22204103171040812</v>
      </c>
      <c r="AG7" s="17">
        <f ca="1">'Cash Flow'!AE7/'Debt worksheet'!AE5</f>
        <v>0.21779032393047268</v>
      </c>
      <c r="AH7" s="17">
        <f ca="1">'Cash Flow'!AF7/'Debt worksheet'!AF5</f>
        <v>0.213720314415</v>
      </c>
      <c r="AI7" s="29"/>
    </row>
    <row r="8" spans="1:35" ht="21" x14ac:dyDescent="0.5">
      <c r="A8" s="19" t="s">
        <v>34</v>
      </c>
      <c r="B8" s="26">
        <f ca="1">MAX('Price and Financial ratios'!E8:AH8)</f>
        <v>0.52475075873610844</v>
      </c>
      <c r="C8" s="26"/>
      <c r="D8" s="176"/>
      <c r="E8" s="17">
        <f>'Balance Sheet'!B11/'Balance Sheet'!B8</f>
        <v>0.18918270998124662</v>
      </c>
      <c r="F8" s="17">
        <f ca="1">'Balance Sheet'!C11/'Balance Sheet'!C8</f>
        <v>0.41355019928852638</v>
      </c>
      <c r="G8" s="17">
        <f ca="1">'Balance Sheet'!D11/'Balance Sheet'!D8</f>
        <v>0.49856253824795582</v>
      </c>
      <c r="H8" s="17">
        <f ca="1">'Balance Sheet'!E11/'Balance Sheet'!E8</f>
        <v>0.52475075873610844</v>
      </c>
      <c r="I8" s="17">
        <f ca="1">'Balance Sheet'!F11/'Balance Sheet'!F8</f>
        <v>0.51844906341220398</v>
      </c>
      <c r="J8" s="17">
        <f ca="1">'Balance Sheet'!G11/'Balance Sheet'!G8</f>
        <v>0.50728215445347369</v>
      </c>
      <c r="K8" s="17">
        <f ca="1">'Balance Sheet'!H11/'Balance Sheet'!H8</f>
        <v>0.49103215187271687</v>
      </c>
      <c r="L8" s="17">
        <f ca="1">'Balance Sheet'!I11/'Balance Sheet'!I8</f>
        <v>0.47444880193647576</v>
      </c>
      <c r="M8" s="17">
        <f ca="1">'Balance Sheet'!J11/'Balance Sheet'!J8</f>
        <v>0.45841501027749937</v>
      </c>
      <c r="N8" s="17">
        <f ca="1">'Balance Sheet'!K11/'Balance Sheet'!K8</f>
        <v>0.4438151176851251</v>
      </c>
      <c r="O8" s="17">
        <f ca="1">'Balance Sheet'!L11/'Balance Sheet'!L8</f>
        <v>0.42991812390188827</v>
      </c>
      <c r="P8" s="17">
        <f ca="1">'Balance Sheet'!M11/'Balance Sheet'!M8</f>
        <v>0.41616129982997108</v>
      </c>
      <c r="Q8" s="17">
        <f ca="1">'Balance Sheet'!N11/'Balance Sheet'!N8</f>
        <v>0.40209390484925028</v>
      </c>
      <c r="R8" s="17">
        <f ca="1">'Balance Sheet'!O11/'Balance Sheet'!O8</f>
        <v>0.38891177342867506</v>
      </c>
      <c r="S8" s="17">
        <f ca="1">'Balance Sheet'!P11/'Balance Sheet'!P8</f>
        <v>0.37621182585591706</v>
      </c>
      <c r="T8" s="17">
        <f ca="1">'Balance Sheet'!Q11/'Balance Sheet'!Q8</f>
        <v>0.36520123395738635</v>
      </c>
      <c r="U8" s="17">
        <f ca="1">'Balance Sheet'!R11/'Balance Sheet'!R8</f>
        <v>0.35551498825709604</v>
      </c>
      <c r="V8" s="17">
        <f ca="1">'Balance Sheet'!S11/'Balance Sheet'!S8</f>
        <v>0.34760179213975412</v>
      </c>
      <c r="W8" s="17">
        <f ca="1">'Balance Sheet'!T11/'Balance Sheet'!T8</f>
        <v>0.34161231806862863</v>
      </c>
      <c r="X8" s="17">
        <f ca="1">'Balance Sheet'!U11/'Balance Sheet'!U8</f>
        <v>0.33727717535402391</v>
      </c>
      <c r="Y8" s="17">
        <f ca="1">'Balance Sheet'!V11/'Balance Sheet'!V8</f>
        <v>0.33437018673373403</v>
      </c>
      <c r="Z8" s="17">
        <f ca="1">'Balance Sheet'!W11/'Balance Sheet'!W8</f>
        <v>0.33269945782066884</v>
      </c>
      <c r="AA8" s="17">
        <f ca="1">'Balance Sheet'!X11/'Balance Sheet'!X8</f>
        <v>0.33210054796807981</v>
      </c>
      <c r="AB8" s="17">
        <f ca="1">'Balance Sheet'!Y11/'Balance Sheet'!Y8</f>
        <v>0.33243118696208651</v>
      </c>
      <c r="AC8" s="17">
        <f ca="1">'Balance Sheet'!Z11/'Balance Sheet'!Z8</f>
        <v>0.33356714371366625</v>
      </c>
      <c r="AD8" s="17">
        <f ca="1">'Balance Sheet'!AA11/'Balance Sheet'!AA8</f>
        <v>0.33539896376007428</v>
      </c>
      <c r="AE8" s="17">
        <f ca="1">'Balance Sheet'!AB11/'Balance Sheet'!AB8</f>
        <v>0.33782936924286217</v>
      </c>
      <c r="AF8" s="17">
        <f ca="1">'Balance Sheet'!AC11/'Balance Sheet'!AC8</f>
        <v>0.34077116919034767</v>
      </c>
      <c r="AG8" s="17">
        <f ca="1">'Balance Sheet'!AD11/'Balance Sheet'!AD8</f>
        <v>0.34414556660710882</v>
      </c>
      <c r="AH8" s="17">
        <f ca="1">'Balance Sheet'!AE11/'Balance Sheet'!AE8</f>
        <v>0.34788077683016566</v>
      </c>
      <c r="AI8" s="29"/>
    </row>
    <row r="9" spans="1:35" ht="21.5" thickBot="1" x14ac:dyDescent="0.55000000000000004">
      <c r="A9" s="20" t="s">
        <v>33</v>
      </c>
      <c r="B9" s="21">
        <f ca="1">MIN('Price and Financial ratios'!E9:AH9)</f>
        <v>4.5224954723373578</v>
      </c>
      <c r="C9" s="21"/>
      <c r="D9" s="177"/>
      <c r="E9" s="21">
        <f ca="1">('Cash Flow'!C7+'Profit and Loss'!C8)/('Profit and Loss'!C8)</f>
        <v>4.5224954723373578</v>
      </c>
      <c r="F9" s="21">
        <f ca="1">('Cash Flow'!D7+'Profit and Loss'!D8)/('Profit and Loss'!D8)</f>
        <v>4.9625149109381201</v>
      </c>
      <c r="G9" s="21">
        <f ca="1">('Cash Flow'!E7+'Profit and Loss'!E8)/('Profit and Loss'!E8)</f>
        <v>6.2367473049962827</v>
      </c>
      <c r="H9" s="21">
        <f ca="1">('Cash Flow'!F7+'Profit and Loss'!F8)/('Profit and Loss'!F8)</f>
        <v>7.2725857525128577</v>
      </c>
      <c r="I9" s="21">
        <f ca="1">('Cash Flow'!G7+'Profit and Loss'!G8)/('Profit and Loss'!G8)</f>
        <v>7.2880981750038947</v>
      </c>
      <c r="J9" s="21">
        <f ca="1">('Cash Flow'!H7+'Profit and Loss'!H8)/('Profit and Loss'!H8)</f>
        <v>7.5100981404532936</v>
      </c>
      <c r="K9" s="21">
        <f ca="1">('Cash Flow'!I7+'Profit and Loss'!I8)/('Profit and Loss'!I8)</f>
        <v>7.5633695522662308</v>
      </c>
      <c r="L9" s="21">
        <f ca="1">('Cash Flow'!J7+'Profit and Loss'!J8)/('Profit and Loss'!J8)</f>
        <v>7.603318125433959</v>
      </c>
      <c r="M9" s="21">
        <f ca="1">('Cash Flow'!K7+'Profit and Loss'!K8)/('Profit and Loss'!K8)</f>
        <v>7.5984741465846799</v>
      </c>
      <c r="N9" s="21">
        <f ca="1">('Cash Flow'!L7+'Profit and Loss'!L8)/('Profit and Loss'!L8)</f>
        <v>7.6504730308391693</v>
      </c>
      <c r="O9" s="21">
        <f ca="1">('Cash Flow'!M7+'Profit and Loss'!M8)/('Profit and Loss'!M8)</f>
        <v>7.7621623139207125</v>
      </c>
      <c r="P9" s="21">
        <f ca="1">('Cash Flow'!N7+'Profit and Loss'!N8)/('Profit and Loss'!N8)</f>
        <v>7.9385073060790035</v>
      </c>
      <c r="Q9" s="21">
        <f ca="1">('Cash Flow'!O7+'Profit and Loss'!O8)/('Profit and Loss'!O8)</f>
        <v>8.0427789672713264</v>
      </c>
      <c r="R9" s="21">
        <f ca="1">('Cash Flow'!P7+'Profit and Loss'!P8)/('Profit and Loss'!P8)</f>
        <v>8.1858100739040758</v>
      </c>
      <c r="S9" s="21">
        <f ca="1">('Cash Flow'!Q7+'Profit and Loss'!Q8)/('Profit and Loss'!Q8)</f>
        <v>8.2211595001199775</v>
      </c>
      <c r="T9" s="21">
        <f ca="1">('Cash Flow'!R7+'Profit and Loss'!R8)/('Profit and Loss'!R8)</f>
        <v>8.263768399897744</v>
      </c>
      <c r="U9" s="21">
        <f ca="1">('Cash Flow'!S7+'Profit and Loss'!S8)/('Profit and Loss'!S8)</f>
        <v>8.2386684193265864</v>
      </c>
      <c r="V9" s="21">
        <f ca="1">('Cash Flow'!T7+'Profit and Loss'!T8)/('Profit and Loss'!T8)</f>
        <v>8.1601797758580403</v>
      </c>
      <c r="W9" s="21">
        <f ca="1">('Cash Flow'!U7+'Profit and Loss'!U8)/('Profit and Loss'!U8)</f>
        <v>8.0667867291672604</v>
      </c>
      <c r="X9" s="21">
        <f ca="1">('Cash Flow'!V7+'Profit and Loss'!V8)/('Profit and Loss'!V8)</f>
        <v>7.9613616053472862</v>
      </c>
      <c r="Y9" s="21">
        <f ca="1">('Cash Flow'!W7+'Profit and Loss'!W8)/('Profit and Loss'!W8)</f>
        <v>7.8466863288206588</v>
      </c>
      <c r="Z9" s="21">
        <f ca="1">('Cash Flow'!X7+'Profit and Loss'!X8)/('Profit and Loss'!X8)</f>
        <v>7.7253789705221276</v>
      </c>
      <c r="AA9" s="21">
        <f ca="1">('Cash Flow'!Y7+'Profit and Loss'!Y8)/('Profit and Loss'!Y8)</f>
        <v>7.5998426764971425</v>
      </c>
      <c r="AB9" s="21">
        <f ca="1">('Cash Flow'!Z7+'Profit and Loss'!Z8)/('Profit and Loss'!Z8)</f>
        <v>7.4722350926876944</v>
      </c>
      <c r="AC9" s="21">
        <f ca="1">('Cash Flow'!AA7+'Profit and Loss'!AA8)/('Profit and Loss'!AA8)</f>
        <v>7.3444552525134439</v>
      </c>
      <c r="AD9" s="21">
        <f ca="1">('Cash Flow'!AB7+'Profit and Loss'!AB8)/('Profit and Loss'!AB8)</f>
        <v>7.2181443844653703</v>
      </c>
      <c r="AE9" s="21">
        <f ca="1">('Cash Flow'!AC7+'Profit and Loss'!AC8)/('Profit and Loss'!AC8)</f>
        <v>7.0946970789176751</v>
      </c>
      <c r="AF9" s="21">
        <f ca="1">('Cash Flow'!AD7+'Profit and Loss'!AD8)/('Profit and Loss'!AD8)</f>
        <v>6.9752795635095071</v>
      </c>
      <c r="AG9" s="21">
        <f ca="1">('Cash Flow'!AE7+'Profit and Loss'!AE8)/('Profit and Loss'!AE8)</f>
        <v>6.8608523282146301</v>
      </c>
      <c r="AH9" s="21">
        <f ca="1">('Cash Flow'!AF7+'Profit and Loss'!AF8)/('Profit and Loss'!AF8)</f>
        <v>6.7521949002618138</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80" zoomScaleNormal="8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161</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73</v>
      </c>
      <c r="C5" s="1">
        <f>Assumptions!D111</f>
        <v>2614448.8644731855</v>
      </c>
      <c r="D5" s="1">
        <f>Assumptions!E111</f>
        <v>2614448.8644731855</v>
      </c>
      <c r="E5" s="1">
        <f>Assumptions!F111</f>
        <v>2614448.8644731855</v>
      </c>
      <c r="F5" s="1">
        <f>Assumptions!G111</f>
        <v>2614448.8644731855</v>
      </c>
      <c r="G5" s="1">
        <f>Assumptions!H111</f>
        <v>2614448.8644731855</v>
      </c>
      <c r="H5" s="1">
        <f>Assumptions!I111</f>
        <v>2614448.8644731855</v>
      </c>
      <c r="I5" s="1">
        <f>Assumptions!J111</f>
        <v>2614448.8644731855</v>
      </c>
      <c r="J5" s="1">
        <f>Assumptions!K111</f>
        <v>2614448.8644731855</v>
      </c>
      <c r="K5" s="1">
        <f>Assumptions!L111</f>
        <v>2614448.8644731855</v>
      </c>
      <c r="L5" s="1">
        <f>Assumptions!M111</f>
        <v>2614448.8644731855</v>
      </c>
      <c r="M5" s="1">
        <f>Assumptions!N111</f>
        <v>2614448.8644731855</v>
      </c>
      <c r="N5" s="1">
        <f>Assumptions!O111</f>
        <v>2614448.8644731855</v>
      </c>
      <c r="O5" s="1">
        <f>Assumptions!P111</f>
        <v>2614448.8644731855</v>
      </c>
      <c r="P5" s="1">
        <f>Assumptions!Q111</f>
        <v>2614448.8644731855</v>
      </c>
      <c r="Q5" s="1">
        <f>Assumptions!R111</f>
        <v>2614448.8644731855</v>
      </c>
      <c r="R5" s="1">
        <f>Assumptions!S111</f>
        <v>2614448.8644731855</v>
      </c>
      <c r="S5" s="1">
        <f>Assumptions!T111</f>
        <v>2614448.8644731855</v>
      </c>
      <c r="T5" s="1">
        <f>Assumptions!U111</f>
        <v>2614448.8644731855</v>
      </c>
      <c r="U5" s="1">
        <f>Assumptions!V111</f>
        <v>2614448.8644731855</v>
      </c>
      <c r="V5" s="1">
        <f>Assumptions!W111</f>
        <v>2614448.8644731855</v>
      </c>
      <c r="W5" s="1">
        <f>Assumptions!X111</f>
        <v>2614448.8644731855</v>
      </c>
      <c r="X5" s="1">
        <f>Assumptions!Y111</f>
        <v>2614448.8644731855</v>
      </c>
      <c r="Y5" s="1">
        <f>Assumptions!Z111</f>
        <v>2614448.8644731855</v>
      </c>
      <c r="Z5" s="1">
        <f>Assumptions!AA111</f>
        <v>2614448.8644731855</v>
      </c>
      <c r="AA5" s="1">
        <f>Assumptions!AB111</f>
        <v>2614448.8644731855</v>
      </c>
      <c r="AB5" s="1">
        <f>Assumptions!AC111</f>
        <v>2614448.8644731855</v>
      </c>
      <c r="AC5" s="1">
        <f>Assumptions!AD111</f>
        <v>2614448.8644731855</v>
      </c>
      <c r="AD5" s="1">
        <f>Assumptions!AE111</f>
        <v>2614448.8644731855</v>
      </c>
      <c r="AE5" s="1">
        <f>Assumptions!AF111</f>
        <v>2614448.8644731855</v>
      </c>
      <c r="AF5" s="1">
        <f>Assumptions!AG111</f>
        <v>2614448.8644731855</v>
      </c>
    </row>
    <row r="6" spans="1:32" x14ac:dyDescent="0.35">
      <c r="A6" t="s">
        <v>69</v>
      </c>
      <c r="C6" s="1">
        <f>Assumptions!D113</f>
        <v>22072166.666666668</v>
      </c>
      <c r="D6" s="1">
        <f>Assumptions!E113</f>
        <v>22072166.666666668</v>
      </c>
      <c r="E6" s="1">
        <f>Assumptions!F113</f>
        <v>22072166.666666668</v>
      </c>
      <c r="F6" s="1">
        <f>Assumptions!G113</f>
        <v>22072166.666666668</v>
      </c>
      <c r="G6" s="1">
        <f>Assumptions!H113</f>
        <v>22072166.666666668</v>
      </c>
      <c r="H6" s="1">
        <f>Assumptions!I113</f>
        <v>22072166.666666668</v>
      </c>
      <c r="I6" s="1">
        <f>Assumptions!J113</f>
        <v>22072166.666666668</v>
      </c>
      <c r="J6" s="1">
        <f>Assumptions!K113</f>
        <v>22072166.666666668</v>
      </c>
      <c r="K6" s="1">
        <f>Assumptions!L113</f>
        <v>22072166.666666668</v>
      </c>
      <c r="L6" s="1">
        <f>Assumptions!M113</f>
        <v>22072166.666666668</v>
      </c>
      <c r="M6" s="1">
        <f>Assumptions!N113</f>
        <v>22072166.666666668</v>
      </c>
      <c r="N6" s="1">
        <f>Assumptions!O113</f>
        <v>22072166.666666668</v>
      </c>
      <c r="O6" s="1">
        <f>Assumptions!P113</f>
        <v>22072166.666666668</v>
      </c>
      <c r="P6" s="1">
        <f>Assumptions!Q113</f>
        <v>22072166.666666668</v>
      </c>
      <c r="Q6" s="1">
        <f>Assumptions!R113</f>
        <v>22072166.666666668</v>
      </c>
      <c r="R6" s="1">
        <f>Assumptions!S113</f>
        <v>22072166.666666668</v>
      </c>
      <c r="S6" s="1">
        <f>Assumptions!T113</f>
        <v>22072166.666666668</v>
      </c>
      <c r="T6" s="1">
        <f>Assumptions!U113</f>
        <v>22072166.666666668</v>
      </c>
      <c r="U6" s="1">
        <f>Assumptions!V113</f>
        <v>22072166.666666668</v>
      </c>
      <c r="V6" s="1">
        <f>Assumptions!W113</f>
        <v>22072166.666666668</v>
      </c>
      <c r="W6" s="1">
        <f>Assumptions!X113</f>
        <v>22072166.666666668</v>
      </c>
      <c r="X6" s="1">
        <f>Assumptions!Y113</f>
        <v>22072166.666666668</v>
      </c>
      <c r="Y6" s="1">
        <f>Assumptions!Z113</f>
        <v>22072166.666666668</v>
      </c>
      <c r="Z6" s="1">
        <f>Assumptions!AA113</f>
        <v>22072166.666666668</v>
      </c>
      <c r="AA6" s="1">
        <f>Assumptions!AB113</f>
        <v>22072166.666666668</v>
      </c>
      <c r="AB6" s="1">
        <f>Assumptions!AC113</f>
        <v>22072166.666666668</v>
      </c>
      <c r="AC6" s="1">
        <f>Assumptions!AD113</f>
        <v>22072166.666666668</v>
      </c>
      <c r="AD6" s="1">
        <f>Assumptions!AE113</f>
        <v>22072166.666666668</v>
      </c>
      <c r="AE6" s="1">
        <f>Assumptions!AF113</f>
        <v>22072166.666666668</v>
      </c>
      <c r="AF6" s="1">
        <f>Assumptions!AG113</f>
        <v>22072166.666666668</v>
      </c>
    </row>
    <row r="7" spans="1:32" x14ac:dyDescent="0.35">
      <c r="A7" t="s">
        <v>74</v>
      </c>
      <c r="C7" s="1">
        <f>Assumptions!D120</f>
        <v>529732</v>
      </c>
      <c r="D7" s="1">
        <f>Assumptions!E120</f>
        <v>1059464</v>
      </c>
      <c r="E7" s="1">
        <f>Assumptions!F120</f>
        <v>1589196</v>
      </c>
      <c r="F7" s="1">
        <f>Assumptions!G120</f>
        <v>2118928</v>
      </c>
      <c r="G7" s="1">
        <f>Assumptions!H120</f>
        <v>2648660</v>
      </c>
      <c r="H7" s="1">
        <f>Assumptions!I120</f>
        <v>3178392</v>
      </c>
      <c r="I7" s="1">
        <f>Assumptions!J120</f>
        <v>3708124.0000000009</v>
      </c>
      <c r="J7" s="1">
        <f>Assumptions!K120</f>
        <v>4237856</v>
      </c>
      <c r="K7" s="1">
        <f>Assumptions!L120</f>
        <v>4767588</v>
      </c>
      <c r="L7" s="1">
        <f>Assumptions!M120</f>
        <v>5297320</v>
      </c>
      <c r="M7" s="1">
        <f>Assumptions!N120</f>
        <v>5827051.9999999991</v>
      </c>
      <c r="N7" s="1">
        <f>Assumptions!O120</f>
        <v>6356783.9999999991</v>
      </c>
      <c r="O7" s="1">
        <f>Assumptions!P120</f>
        <v>6886515.9999999981</v>
      </c>
      <c r="P7" s="1">
        <f>Assumptions!Q120</f>
        <v>7416247.9999999991</v>
      </c>
      <c r="Q7" s="1">
        <f>Assumptions!R120</f>
        <v>7945980</v>
      </c>
      <c r="R7" s="1">
        <f>Assumptions!S120</f>
        <v>8475712</v>
      </c>
      <c r="S7" s="1">
        <f>Assumptions!T120</f>
        <v>9005444.0000000019</v>
      </c>
      <c r="T7" s="1">
        <f>Assumptions!U120</f>
        <v>9535176.0000000019</v>
      </c>
      <c r="U7" s="1">
        <f>Assumptions!V120</f>
        <v>10064908.000000002</v>
      </c>
      <c r="V7" s="1">
        <f>Assumptions!W120</f>
        <v>10594640.000000002</v>
      </c>
      <c r="W7" s="1">
        <f>Assumptions!X120</f>
        <v>11124372.000000002</v>
      </c>
      <c r="X7" s="1">
        <f>Assumptions!Y120</f>
        <v>11654104.000000004</v>
      </c>
      <c r="Y7" s="1">
        <f>Assumptions!Z120</f>
        <v>12183836.000000002</v>
      </c>
      <c r="Z7" s="1">
        <f>Assumptions!AA120</f>
        <v>12713568.000000004</v>
      </c>
      <c r="AA7" s="1">
        <f>Assumptions!AB120</f>
        <v>13243300.000000006</v>
      </c>
      <c r="AB7" s="1">
        <f>Assumptions!AC120</f>
        <v>13773032.000000002</v>
      </c>
      <c r="AC7" s="1">
        <f>Assumptions!AD120</f>
        <v>14302764.000000002</v>
      </c>
      <c r="AD7" s="1">
        <f>Assumptions!AE120</f>
        <v>14832496.000000004</v>
      </c>
      <c r="AE7" s="1">
        <f>Assumptions!AF120</f>
        <v>15362228</v>
      </c>
      <c r="AF7" s="1">
        <f>Assumptions!AG120</f>
        <v>15891960</v>
      </c>
    </row>
    <row r="9" spans="1:32" x14ac:dyDescent="0.35">
      <c r="A9" t="s">
        <v>93</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71</v>
      </c>
      <c r="C11" s="1">
        <f>C5*C$9</f>
        <v>2698111.2281363276</v>
      </c>
      <c r="D11" s="1">
        <f>D5*D$9</f>
        <v>2784450.7874366897</v>
      </c>
      <c r="E11" s="1">
        <f t="shared" ref="D11:AF13" si="1">E5*E$9</f>
        <v>2873553.2126346636</v>
      </c>
      <c r="F11" s="1">
        <f t="shared" si="1"/>
        <v>2965506.9154389729</v>
      </c>
      <c r="G11" s="1">
        <f t="shared" si="1"/>
        <v>3060403.1367330207</v>
      </c>
      <c r="H11" s="1">
        <f t="shared" si="1"/>
        <v>3158336.0371084767</v>
      </c>
      <c r="I11" s="1">
        <f t="shared" si="1"/>
        <v>3259402.7902959473</v>
      </c>
      <c r="J11" s="1">
        <f t="shared" si="1"/>
        <v>3363703.6795854182</v>
      </c>
      <c r="K11" s="1">
        <f t="shared" si="1"/>
        <v>3471342.1973321522</v>
      </c>
      <c r="L11" s="1">
        <f t="shared" si="1"/>
        <v>3582425.1476467806</v>
      </c>
      <c r="M11" s="1">
        <f t="shared" si="1"/>
        <v>3697062.7523714774</v>
      </c>
      <c r="N11" s="1">
        <f t="shared" si="1"/>
        <v>3815368.7604473648</v>
      </c>
      <c r="O11" s="1">
        <f t="shared" si="1"/>
        <v>3937460.560781681</v>
      </c>
      <c r="P11" s="1">
        <f t="shared" si="1"/>
        <v>4063459.2987266937</v>
      </c>
      <c r="Q11" s="1">
        <f t="shared" si="1"/>
        <v>4193489.9962859475</v>
      </c>
      <c r="R11" s="1">
        <f t="shared" si="1"/>
        <v>4327681.6761670988</v>
      </c>
      <c r="S11" s="1">
        <f t="shared" si="1"/>
        <v>4466167.4898044467</v>
      </c>
      <c r="T11" s="1">
        <f t="shared" si="1"/>
        <v>4609084.849478188</v>
      </c>
      <c r="U11" s="1">
        <f t="shared" si="1"/>
        <v>4756575.5646614898</v>
      </c>
      <c r="V11" s="1">
        <f t="shared" si="1"/>
        <v>4908785.9827306578</v>
      </c>
      <c r="W11" s="1">
        <f t="shared" si="1"/>
        <v>5065867.1341780396</v>
      </c>
      <c r="X11" s="1">
        <f t="shared" si="1"/>
        <v>5227974.8824717356</v>
      </c>
      <c r="Y11" s="1">
        <f t="shared" si="1"/>
        <v>5395270.0787108308</v>
      </c>
      <c r="Z11" s="1">
        <f t="shared" si="1"/>
        <v>5567918.7212295774</v>
      </c>
      <c r="AA11" s="1">
        <f t="shared" si="1"/>
        <v>5746092.1203089254</v>
      </c>
      <c r="AB11" s="1">
        <f t="shared" si="1"/>
        <v>5929967.06815881</v>
      </c>
      <c r="AC11" s="1">
        <f t="shared" si="1"/>
        <v>6119726.0143398913</v>
      </c>
      <c r="AD11" s="1">
        <f t="shared" si="1"/>
        <v>6315557.2467987686</v>
      </c>
      <c r="AE11" s="1">
        <f t="shared" si="1"/>
        <v>6517655.0786963291</v>
      </c>
      <c r="AF11" s="1">
        <f t="shared" si="1"/>
        <v>6726220.0412146104</v>
      </c>
    </row>
    <row r="12" spans="1:32" x14ac:dyDescent="0.35">
      <c r="A12" t="s">
        <v>72</v>
      </c>
      <c r="C12" s="1">
        <f t="shared" ref="C12:R12" si="2">C6*C$9</f>
        <v>22778476.000000004</v>
      </c>
      <c r="D12" s="1">
        <f t="shared" si="2"/>
        <v>23507387.232000001</v>
      </c>
      <c r="E12" s="1">
        <f t="shared" si="2"/>
        <v>24259623.623423997</v>
      </c>
      <c r="F12" s="1">
        <f t="shared" si="2"/>
        <v>25035931.579373568</v>
      </c>
      <c r="G12" s="1">
        <f t="shared" si="2"/>
        <v>25837081.389913525</v>
      </c>
      <c r="H12" s="1">
        <f t="shared" si="2"/>
        <v>26663867.994390752</v>
      </c>
      <c r="I12" s="1">
        <f t="shared" si="2"/>
        <v>27517111.770211253</v>
      </c>
      <c r="J12" s="1">
        <f t="shared" si="2"/>
        <v>28397659.346858017</v>
      </c>
      <c r="K12" s="1">
        <f t="shared" si="2"/>
        <v>29306384.445957478</v>
      </c>
      <c r="L12" s="1">
        <f t="shared" si="2"/>
        <v>30244188.748228114</v>
      </c>
      <c r="M12" s="1">
        <f t="shared" si="2"/>
        <v>31212002.788171411</v>
      </c>
      <c r="N12" s="1">
        <f t="shared" si="2"/>
        <v>32210786.877392899</v>
      </c>
      <c r="O12" s="1">
        <f t="shared" si="2"/>
        <v>33241532.057469476</v>
      </c>
      <c r="P12" s="1">
        <f t="shared" si="2"/>
        <v>34305261.083308488</v>
      </c>
      <c r="Q12" s="1">
        <f t="shared" si="2"/>
        <v>35403029.437974356</v>
      </c>
      <c r="R12" s="1">
        <f t="shared" si="2"/>
        <v>36535926.379989542</v>
      </c>
      <c r="S12" s="1">
        <f t="shared" si="1"/>
        <v>37705076.024149217</v>
      </c>
      <c r="T12" s="1">
        <f t="shared" si="1"/>
        <v>38911638.45692198</v>
      </c>
      <c r="U12" s="1">
        <f t="shared" si="1"/>
        <v>40156810.887543485</v>
      </c>
      <c r="V12" s="1">
        <f t="shared" si="1"/>
        <v>41441828.835944876</v>
      </c>
      <c r="W12" s="1">
        <f t="shared" si="1"/>
        <v>42767967.35869512</v>
      </c>
      <c r="X12" s="1">
        <f t="shared" si="1"/>
        <v>44136542.314173356</v>
      </c>
      <c r="Y12" s="1">
        <f t="shared" si="1"/>
        <v>45548911.668226898</v>
      </c>
      <c r="Z12" s="1">
        <f t="shared" si="1"/>
        <v>47006476.841610163</v>
      </c>
      <c r="AA12" s="1">
        <f t="shared" si="1"/>
        <v>48510684.100541696</v>
      </c>
      <c r="AB12" s="1">
        <f t="shared" si="1"/>
        <v>50063025.991759025</v>
      </c>
      <c r="AC12" s="1">
        <f t="shared" si="1"/>
        <v>51665042.823495306</v>
      </c>
      <c r="AD12" s="1">
        <f t="shared" si="1"/>
        <v>53318324.193847165</v>
      </c>
      <c r="AE12" s="1">
        <f t="shared" si="1"/>
        <v>55024510.568050273</v>
      </c>
      <c r="AF12" s="1">
        <f t="shared" si="1"/>
        <v>56785294.906227872</v>
      </c>
    </row>
    <row r="13" spans="1:32" x14ac:dyDescent="0.35">
      <c r="A13" t="s">
        <v>75</v>
      </c>
      <c r="C13" s="1">
        <f>C7*C$9</f>
        <v>546683.424</v>
      </c>
      <c r="D13" s="1">
        <f t="shared" si="1"/>
        <v>1128354.5871359999</v>
      </c>
      <c r="E13" s="1">
        <f t="shared" si="1"/>
        <v>1746692.9008865277</v>
      </c>
      <c r="F13" s="1">
        <f t="shared" si="1"/>
        <v>2403449.4316198626</v>
      </c>
      <c r="G13" s="1">
        <f t="shared" si="1"/>
        <v>3100449.7667896226</v>
      </c>
      <c r="H13" s="1">
        <f t="shared" si="1"/>
        <v>3839596.9911922682</v>
      </c>
      <c r="I13" s="1">
        <f t="shared" si="1"/>
        <v>4622874.7773954915</v>
      </c>
      <c r="J13" s="1">
        <f t="shared" si="1"/>
        <v>5452350.5945967389</v>
      </c>
      <c r="K13" s="1">
        <f t="shared" si="1"/>
        <v>6330179.0403268151</v>
      </c>
      <c r="L13" s="1">
        <f t="shared" si="1"/>
        <v>7258605.2995747468</v>
      </c>
      <c r="M13" s="1">
        <f t="shared" si="1"/>
        <v>8239968.7360772509</v>
      </c>
      <c r="N13" s="1">
        <f t="shared" si="1"/>
        <v>9276706.6206891537</v>
      </c>
      <c r="O13" s="1">
        <f t="shared" si="1"/>
        <v>10371358.001930473</v>
      </c>
      <c r="P13" s="1">
        <f t="shared" si="1"/>
        <v>11526567.723991651</v>
      </c>
      <c r="Q13" s="1">
        <f t="shared" si="1"/>
        <v>12745090.597670767</v>
      </c>
      <c r="R13" s="1">
        <f t="shared" si="1"/>
        <v>14029795.729915984</v>
      </c>
      <c r="S13" s="1">
        <f t="shared" si="1"/>
        <v>15383671.017852882</v>
      </c>
      <c r="T13" s="1">
        <f t="shared" si="1"/>
        <v>16809827.8133903</v>
      </c>
      <c r="U13" s="1">
        <f t="shared" si="1"/>
        <v>18311505.764719829</v>
      </c>
      <c r="V13" s="1">
        <f t="shared" si="1"/>
        <v>19892077.841253545</v>
      </c>
      <c r="W13" s="1">
        <f t="shared" si="1"/>
        <v>21555055.548782341</v>
      </c>
      <c r="X13" s="1">
        <f t="shared" si="1"/>
        <v>23304094.34188354</v>
      </c>
      <c r="Y13" s="1">
        <f t="shared" si="1"/>
        <v>25142999.240861252</v>
      </c>
      <c r="Z13" s="1">
        <f t="shared" si="1"/>
        <v>27075730.660767458</v>
      </c>
      <c r="AA13" s="1">
        <f t="shared" si="1"/>
        <v>29106410.460325029</v>
      </c>
      <c r="AB13" s="1">
        <f t="shared" si="1"/>
        <v>31239328.218857635</v>
      </c>
      <c r="AC13" s="1">
        <f t="shared" si="1"/>
        <v>33478947.74962496</v>
      </c>
      <c r="AD13" s="1">
        <f t="shared" si="1"/>
        <v>35829913.858265303</v>
      </c>
      <c r="AE13" s="1">
        <f t="shared" si="1"/>
        <v>38297059.355362989</v>
      </c>
      <c r="AF13" s="1">
        <f t="shared" si="1"/>
        <v>40885412.332484066</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82</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62</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79</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76</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77</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78</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98</v>
      </c>
      <c r="C25" s="40">
        <f>SUM(C11:C13,C18:C23)</f>
        <v>26023270.65213633</v>
      </c>
      <c r="D25" s="40">
        <f>SUM(D11:D13,D18:D23)</f>
        <v>27420192.606572691</v>
      </c>
      <c r="E25" s="40">
        <f t="shared" ref="E25:AF25" si="7">SUM(E11:E13,E18:E23)</f>
        <v>28879869.73694519</v>
      </c>
      <c r="F25" s="40">
        <f t="shared" si="7"/>
        <v>30404887.926432405</v>
      </c>
      <c r="G25" s="40">
        <f t="shared" si="7"/>
        <v>31997934.29343617</v>
      </c>
      <c r="H25" s="40">
        <f t="shared" si="7"/>
        <v>33661801.022691496</v>
      </c>
      <c r="I25" s="40">
        <f t="shared" si="7"/>
        <v>35399389.337902695</v>
      </c>
      <c r="J25" s="40">
        <f t="shared" si="7"/>
        <v>37213713.621040173</v>
      </c>
      <c r="K25" s="40">
        <f t="shared" si="7"/>
        <v>39107905.683616444</v>
      </c>
      <c r="L25" s="40">
        <f t="shared" si="7"/>
        <v>41085219.195449643</v>
      </c>
      <c r="M25" s="40">
        <f t="shared" si="7"/>
        <v>43149034.276620135</v>
      </c>
      <c r="N25" s="40">
        <f t="shared" si="7"/>
        <v>45302862.258529417</v>
      </c>
      <c r="O25" s="40">
        <f t="shared" si="7"/>
        <v>47550350.620181635</v>
      </c>
      <c r="P25" s="40">
        <f t="shared" si="7"/>
        <v>49895288.106026828</v>
      </c>
      <c r="Q25" s="40">
        <f t="shared" si="7"/>
        <v>52341610.031931072</v>
      </c>
      <c r="R25" s="40">
        <f t="shared" si="7"/>
        <v>54893403.786072627</v>
      </c>
      <c r="S25" s="40">
        <f t="shared" si="7"/>
        <v>57554914.531806543</v>
      </c>
      <c r="T25" s="40">
        <f t="shared" si="7"/>
        <v>60330551.119790465</v>
      </c>
      <c r="U25" s="40">
        <f t="shared" si="7"/>
        <v>63224892.216924801</v>
      </c>
      <c r="V25" s="40">
        <f t="shared" si="7"/>
        <v>66242692.659929082</v>
      </c>
      <c r="W25" s="40">
        <f t="shared" si="7"/>
        <v>69388890.041655511</v>
      </c>
      <c r="X25" s="40">
        <f t="shared" si="7"/>
        <v>72668611.538528621</v>
      </c>
      <c r="Y25" s="40">
        <f t="shared" si="7"/>
        <v>76087180.987798989</v>
      </c>
      <c r="Z25" s="40">
        <f t="shared" si="7"/>
        <v>79650126.223607197</v>
      </c>
      <c r="AA25" s="40">
        <f t="shared" si="7"/>
        <v>83363186.681175649</v>
      </c>
      <c r="AB25" s="40">
        <f t="shared" si="7"/>
        <v>87232321.278775468</v>
      </c>
      <c r="AC25" s="40">
        <f t="shared" si="7"/>
        <v>91263716.58746016</v>
      </c>
      <c r="AD25" s="40">
        <f t="shared" si="7"/>
        <v>95463795.298911244</v>
      </c>
      <c r="AE25" s="40">
        <f t="shared" si="7"/>
        <v>99839225.002109587</v>
      </c>
      <c r="AF25" s="40">
        <f t="shared" si="7"/>
        <v>104396927.27992654</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11807949.490303196</v>
      </c>
      <c r="D5" s="59">
        <f>C5*('Price and Financial ratios'!F4+1)*(1+Assumptions!$C$13)</f>
        <v>16714197.229957331</v>
      </c>
      <c r="E5" s="59">
        <f>D5*('Price and Financial ratios'!G4+1)*(1+Assumptions!$C$13)</f>
        <v>23659009.489440151</v>
      </c>
      <c r="F5" s="59">
        <f>E5*('Price and Financial ratios'!H4+1)*(1+Assumptions!$C$13)</f>
        <v>30334617.344623063</v>
      </c>
      <c r="G5" s="59">
        <f>F5*('Price and Financial ratios'!I4+1)*(1+Assumptions!$C$13)</f>
        <v>34226552.412211888</v>
      </c>
      <c r="H5" s="59">
        <f>G5*('Price and Financial ratios'!J4+1)*(1+Assumptions!$C$13)</f>
        <v>38617823.218842514</v>
      </c>
      <c r="I5" s="59">
        <f>H5*('Price and Financial ratios'!K4+1)*(1+Assumptions!$C$13)</f>
        <v>42384153.838296995</v>
      </c>
      <c r="J5" s="59">
        <f>I5*('Price and Financial ratios'!L4+1)*(1+Assumptions!$C$13)</f>
        <v>46083062.405745655</v>
      </c>
      <c r="K5" s="59">
        <f>J5*('Price and Financial ratios'!M4+1)*(1+Assumptions!$C$13)</f>
        <v>49632091.927065589</v>
      </c>
      <c r="L5" s="59">
        <f>K5*('Price and Financial ratios'!N4+1)*(1+Assumptions!$C$13)</f>
        <v>53454445.526379742</v>
      </c>
      <c r="M5" s="59">
        <f>L5*('Price and Financial ratios'!O4+1)*(1+Assumptions!$C$13)</f>
        <v>57571172.916338459</v>
      </c>
      <c r="N5" s="59">
        <f>M5*('Price and Financial ratios'!P4+1)*(1+Assumptions!$C$13)</f>
        <v>62004944.926933497</v>
      </c>
      <c r="O5" s="59">
        <f>N5*('Price and Financial ratios'!Q4+1)*(1+Assumptions!$C$13)</f>
        <v>66144176.65521843</v>
      </c>
      <c r="P5" s="59">
        <f>O5*('Price and Financial ratios'!R4+1)*(1+Assumptions!$C$13)</f>
        <v>70559728.91440022</v>
      </c>
      <c r="Q5" s="59">
        <f>P5*('Price and Financial ratios'!S4+1)*(1+Assumptions!$C$13)</f>
        <v>74546297.429380506</v>
      </c>
      <c r="R5" s="59">
        <f>Q5*('Price and Financial ratios'!T4+1)*(1+Assumptions!$C$13)</f>
        <v>78758103.89197129</v>
      </c>
      <c r="S5" s="59">
        <f>R5*('Price and Financial ratios'!U4+1)*(1+Assumptions!$C$13)</f>
        <v>82803952.348141685</v>
      </c>
      <c r="T5" s="59">
        <f>S5*('Price and Financial ratios'!V4+1)*(1+Assumptions!$C$13)</f>
        <v>86802835.489772588</v>
      </c>
      <c r="U5" s="59">
        <f>T5*('Price and Financial ratios'!W4+1)*(1+Assumptions!$C$13)</f>
        <v>90994838.234115064</v>
      </c>
      <c r="V5" s="59">
        <f>U5*('Price and Financial ratios'!X4+1)*(1+Assumptions!$C$13)</f>
        <v>95389286.980473742</v>
      </c>
      <c r="W5" s="59">
        <f>V5*('Price and Financial ratios'!Y4+1)*(1+Assumptions!$C$13)</f>
        <v>99995958.531544581</v>
      </c>
      <c r="X5" s="59">
        <f>W5*('Price and Financial ratios'!Z4+1)*(1+Assumptions!$C$13)</f>
        <v>104825101.84491919</v>
      </c>
      <c r="Y5" s="59">
        <f>X5*('Price and Financial ratios'!AA4+1)*(1+Assumptions!$C$13)</f>
        <v>109887460.83504289</v>
      </c>
      <c r="Z5" s="59">
        <f>Y5*('Price and Financial ratios'!AB4+1)*(1+Assumptions!$C$13)</f>
        <v>115194298.27635667</v>
      </c>
      <c r="AA5" s="59">
        <f>Z5*('Price and Financial ratios'!AC4+1)*(1+Assumptions!$C$13)</f>
        <v>120757420.86080252</v>
      </c>
      <c r="AB5" s="59">
        <f>AA5*('Price and Financial ratios'!AD4+1)*(1+Assumptions!$C$13)</f>
        <v>126589205.46544077</v>
      </c>
      <c r="AC5" s="59">
        <f>AB5*('Price and Financial ratios'!AE4+1)*(1+Assumptions!$C$13)</f>
        <v>132702626.68861941</v>
      </c>
      <c r="AD5" s="59">
        <f>AC5*('Price and Financial ratios'!AF4+1)*(1+Assumptions!$C$13)</f>
        <v>139111285.71595833</v>
      </c>
      <c r="AE5" s="59">
        <f>AD5*('Price and Financial ratios'!AG4+1)*(1+Assumptions!$C$13)</f>
        <v>145829440.58036959</v>
      </c>
      <c r="AF5" s="59">
        <f>AE5*('Price and Financial ratios'!AH4+1)*(1+Assumptions!$C$13)</f>
        <v>152872037.88343653</v>
      </c>
    </row>
    <row r="6" spans="1:32" s="11" customFormat="1" x14ac:dyDescent="0.35">
      <c r="A6" s="11" t="s">
        <v>20</v>
      </c>
      <c r="C6" s="59">
        <f>C27</f>
        <v>5660786.3335993486</v>
      </c>
      <c r="D6" s="59">
        <f t="shared" ref="D6:AF6" si="1">D27</f>
        <v>6607992.023167925</v>
      </c>
      <c r="E6" s="59">
        <f>E27</f>
        <v>7597580.6285925433</v>
      </c>
      <c r="F6" s="59">
        <f t="shared" si="1"/>
        <v>8631124.9544622004</v>
      </c>
      <c r="G6" s="59">
        <f t="shared" si="1"/>
        <v>9710254.5316414703</v>
      </c>
      <c r="H6" s="59">
        <f t="shared" si="1"/>
        <v>10836657.740084752</v>
      </c>
      <c r="I6" s="59">
        <f t="shared" si="1"/>
        <v>12012084.016341263</v>
      </c>
      <c r="J6" s="59">
        <f t="shared" si="1"/>
        <v>13238346.149354894</v>
      </c>
      <c r="K6" s="59">
        <f t="shared" si="1"/>
        <v>14517322.668324262</v>
      </c>
      <c r="L6" s="59">
        <f t="shared" si="1"/>
        <v>15850960.3265572</v>
      </c>
      <c r="M6" s="59">
        <f t="shared" si="1"/>
        <v>17241276.685430333</v>
      </c>
      <c r="N6" s="59">
        <f t="shared" si="1"/>
        <v>18690362.802749284</v>
      </c>
      <c r="O6" s="59">
        <f t="shared" si="1"/>
        <v>20200386.02999837</v>
      </c>
      <c r="P6" s="59">
        <f t="shared" si="1"/>
        <v>21773592.923170902</v>
      </c>
      <c r="Q6" s="59">
        <f t="shared" si="1"/>
        <v>23412312.272083022</v>
      </c>
      <c r="R6" s="59">
        <f t="shared" si="1"/>
        <v>25118958.253295407</v>
      </c>
      <c r="S6" s="59">
        <f t="shared" si="1"/>
        <v>26896033.711999372</v>
      </c>
      <c r="T6" s="59">
        <f t="shared" si="1"/>
        <v>28746133.578466065</v>
      </c>
      <c r="U6" s="59">
        <f t="shared" si="1"/>
        <v>30671948.424912062</v>
      </c>
      <c r="V6" s="59">
        <f t="shared" si="1"/>
        <v>32676268.168899909</v>
      </c>
      <c r="W6" s="59">
        <f t="shared" si="1"/>
        <v>34761985.929670878</v>
      </c>
      <c r="X6" s="59">
        <f t="shared" si="1"/>
        <v>36932102.044098198</v>
      </c>
      <c r="Y6" s="59">
        <f t="shared" si="1"/>
        <v>39189728.249253914</v>
      </c>
      <c r="Z6" s="59">
        <f t="shared" si="1"/>
        <v>41538092.038901724</v>
      </c>
      <c r="AA6" s="59">
        <f t="shared" si="1"/>
        <v>43980541.201562211</v>
      </c>
      <c r="AB6" s="59">
        <f t="shared" si="1"/>
        <v>46520548.548146553</v>
      </c>
      <c r="AC6" s="59">
        <f t="shared" si="1"/>
        <v>49161716.837520882</v>
      </c>
      <c r="AD6" s="59">
        <f t="shared" si="1"/>
        <v>51907783.908746809</v>
      </c>
      <c r="AE6" s="59">
        <f t="shared" si="1"/>
        <v>54762628.029145017</v>
      </c>
      <c r="AF6" s="59">
        <f t="shared" si="1"/>
        <v>57730273.467748441</v>
      </c>
    </row>
    <row r="7" spans="1:32" x14ac:dyDescent="0.35">
      <c r="A7" t="s">
        <v>21</v>
      </c>
      <c r="C7" s="4">
        <f>Depreciation!C8+Depreciation!C9</f>
        <v>3244794.6521363277</v>
      </c>
      <c r="D7" s="4">
        <f>Depreciation!D8+Depreciation!D9</f>
        <v>3912805.3745726896</v>
      </c>
      <c r="E7" s="4">
        <f>Depreciation!E8+Depreciation!E9</f>
        <v>4620246.1135211913</v>
      </c>
      <c r="F7" s="4">
        <f>Depreciation!F8+Depreciation!F9</f>
        <v>5368956.3470588354</v>
      </c>
      <c r="G7" s="4">
        <f>Depreciation!G8+Depreciation!G9</f>
        <v>6160852.9035226433</v>
      </c>
      <c r="H7" s="4">
        <f>Depreciation!H8+Depreciation!H9</f>
        <v>6997933.0283007454</v>
      </c>
      <c r="I7" s="4">
        <f>Depreciation!I8+Depreciation!I9</f>
        <v>7882277.5676914388</v>
      </c>
      <c r="J7" s="4">
        <f>Depreciation!J8+Depreciation!J9</f>
        <v>8816054.2741821576</v>
      </c>
      <c r="K7" s="4">
        <f>Depreciation!K8+Depreciation!K9</f>
        <v>9801521.2376589663</v>
      </c>
      <c r="L7" s="4">
        <f>Depreciation!L8+Depreciation!L9</f>
        <v>10841030.447221527</v>
      </c>
      <c r="M7" s="4">
        <f>Depreciation!M8+Depreciation!M9</f>
        <v>11937031.488448728</v>
      </c>
      <c r="N7" s="4">
        <f>Depreciation!N8+Depreciation!N9</f>
        <v>13092075.381136518</v>
      </c>
      <c r="O7" s="4">
        <f>Depreciation!O8+Depreciation!O9</f>
        <v>14308818.562712155</v>
      </c>
      <c r="P7" s="4">
        <f>Depreciation!P8+Depreciation!P9</f>
        <v>15590027.022718344</v>
      </c>
      <c r="Q7" s="4">
        <f>Depreciation!Q8+Depreciation!Q9</f>
        <v>16938580.593956716</v>
      </c>
      <c r="R7" s="4">
        <f>Depreciation!R8+Depreciation!R9</f>
        <v>18357477.406083085</v>
      </c>
      <c r="S7" s="4">
        <f>Depreciation!S8+Depreciation!S9</f>
        <v>19849838.507657327</v>
      </c>
      <c r="T7" s="4">
        <f>Depreciation!T8+Depreciation!T9</f>
        <v>21418912.662868489</v>
      </c>
      <c r="U7" s="4">
        <f>Depreciation!U8+Depreciation!U9</f>
        <v>23068081.329381317</v>
      </c>
      <c r="V7" s="4">
        <f>Depreciation!V8+Depreciation!V9</f>
        <v>24800863.823984202</v>
      </c>
      <c r="W7" s="4">
        <f>Depreciation!W8+Depreciation!W9</f>
        <v>26620922.68296038</v>
      </c>
      <c r="X7" s="4">
        <f>Depreciation!X8+Depreciation!X9</f>
        <v>28532069.224355277</v>
      </c>
      <c r="Y7" s="4">
        <f>Depreciation!Y8+Depreciation!Y9</f>
        <v>30538269.319572084</v>
      </c>
      <c r="Z7" s="4">
        <f>Depreciation!Z8+Depreciation!Z9</f>
        <v>32643649.381997034</v>
      </c>
      <c r="AA7" s="4">
        <f>Depreciation!AA8+Depreciation!AA9</f>
        <v>34852502.580633953</v>
      </c>
      <c r="AB7" s="4">
        <f>Depreciation!AB8+Depreciation!AB9</f>
        <v>37169295.287016444</v>
      </c>
      <c r="AC7" s="4">
        <f>Depreciation!AC8+Depreciation!AC9</f>
        <v>39598673.763964854</v>
      </c>
      <c r="AD7" s="4">
        <f>Depreciation!AD8+Depreciation!AD9</f>
        <v>42145471.105064072</v>
      </c>
      <c r="AE7" s="4">
        <f>Depreciation!AE8+Depreciation!AE9</f>
        <v>44814714.434059322</v>
      </c>
      <c r="AF7" s="4">
        <f>Depreciation!AF8+Depreciation!AF9</f>
        <v>47611632.373698674</v>
      </c>
    </row>
    <row r="8" spans="1:32" x14ac:dyDescent="0.35">
      <c r="A8" t="s">
        <v>6</v>
      </c>
      <c r="C8" s="4">
        <f ca="1">'Debt worksheet'!C8</f>
        <v>1359241.4175545461</v>
      </c>
      <c r="D8" s="4">
        <f ca="1">'Debt worksheet'!D8</f>
        <v>2036508.7839864881</v>
      </c>
      <c r="E8" s="4">
        <f ca="1">'Debt worksheet'!E8</f>
        <v>2575289.3416061178</v>
      </c>
      <c r="F8" s="4">
        <f ca="1">'Debt worksheet'!F8</f>
        <v>2984288.2750006444</v>
      </c>
      <c r="G8" s="4">
        <f ca="1">'Debt worksheet'!G8</f>
        <v>3363881.3983947625</v>
      </c>
      <c r="H8" s="4">
        <f ca="1">'Debt worksheet'!H8</f>
        <v>3699174.7589973505</v>
      </c>
      <c r="I8" s="4">
        <f ca="1">'Debt worksheet'!I8</f>
        <v>4015679.7326999945</v>
      </c>
      <c r="J8" s="4">
        <f ca="1">'Debt worksheet'!J8</f>
        <v>4319787.1921893507</v>
      </c>
      <c r="K8" s="4">
        <f ca="1">'Debt worksheet'!K8</f>
        <v>4621292.1938445391</v>
      </c>
      <c r="L8" s="4">
        <f ca="1">'Debt worksheet'!L8</f>
        <v>4915184.3354315925</v>
      </c>
      <c r="M8" s="4">
        <f ca="1">'Debt worksheet'!M8</f>
        <v>5195703.8000326566</v>
      </c>
      <c r="N8" s="4">
        <f ca="1">'Debt worksheet'!N8</f>
        <v>5456262.802833925</v>
      </c>
      <c r="O8" s="4">
        <f ca="1">'Debt worksheet'!O8</f>
        <v>5712427.360266922</v>
      </c>
      <c r="P8" s="4">
        <f ca="1">'Debt worksheet'!P8</f>
        <v>5959842.1598806586</v>
      </c>
      <c r="Q8" s="4">
        <f ca="1">'Debt worksheet'!Q8</f>
        <v>6219802.1041376516</v>
      </c>
      <c r="R8" s="4">
        <f ca="1">'Debt worksheet'!R8</f>
        <v>6490882.0096337181</v>
      </c>
      <c r="S8" s="4">
        <f ca="1">'Debt worksheet'!S8</f>
        <v>6786038.2030901201</v>
      </c>
      <c r="T8" s="4">
        <f ca="1">'Debt worksheet'!T8</f>
        <v>7114635.1558415117</v>
      </c>
      <c r="U8" s="4">
        <f ca="1">'Debt worksheet'!U8</f>
        <v>7477932.8913075374</v>
      </c>
      <c r="V8" s="4">
        <f ca="1">'Debt worksheet'!V8</f>
        <v>7877172.5139896078</v>
      </c>
      <c r="W8" s="4">
        <f ca="1">'Debt worksheet'!W8</f>
        <v>8313569.5589450477</v>
      </c>
      <c r="X8" s="4">
        <f ca="1">'Debt worksheet'!X8</f>
        <v>8788306.7044194955</v>
      </c>
      <c r="Y8" s="4">
        <f ca="1">'Debt worksheet'!Y8</f>
        <v>9302525.8015438821</v>
      </c>
      <c r="Z8" s="4">
        <f ca="1">'Debt worksheet'!Z8</f>
        <v>9857319.1720820833</v>
      </c>
      <c r="AA8" s="4">
        <f ca="1">'Debt worksheet'!AA8</f>
        <v>10453720.122124165</v>
      </c>
      <c r="AB8" s="4">
        <f ca="1">'Debt worksheet'!AB8</f>
        <v>11092692.616348196</v>
      </c>
      <c r="AC8" s="4">
        <f ca="1">'Debt worksheet'!AC8</f>
        <v>11775120.054011246</v>
      </c>
      <c r="AD8" s="4">
        <f ca="1">'Debt worksheet'!AD8</f>
        <v>12501793.084166566</v>
      </c>
      <c r="AE8" s="4">
        <f ca="1">'Debt worksheet'!AE8</f>
        <v>13273396.393728022</v>
      </c>
      <c r="AF8" s="4">
        <f ca="1">'Debt worksheet'!AF8</f>
        <v>14090494.397902971</v>
      </c>
    </row>
    <row r="9" spans="1:32" x14ac:dyDescent="0.35">
      <c r="A9" t="s">
        <v>22</v>
      </c>
      <c r="C9" s="4">
        <f ca="1">C5-C6-C7-C8</f>
        <v>1543127.0870129736</v>
      </c>
      <c r="D9" s="4">
        <f t="shared" ref="D9:AF9" ca="1" si="2">D5-D6-D7-D8</f>
        <v>4156891.048230228</v>
      </c>
      <c r="E9" s="4">
        <f t="shared" ca="1" si="2"/>
        <v>8865893.4057202972</v>
      </c>
      <c r="F9" s="4">
        <f t="shared" ca="1" si="2"/>
        <v>13350247.768101381</v>
      </c>
      <c r="G9" s="4">
        <f t="shared" ca="1" si="2"/>
        <v>14991563.578653011</v>
      </c>
      <c r="H9" s="4">
        <f t="shared" ca="1" si="2"/>
        <v>17084057.691459663</v>
      </c>
      <c r="I9" s="4">
        <f t="shared" ca="1" si="2"/>
        <v>18474112.521564301</v>
      </c>
      <c r="J9" s="4">
        <f t="shared" ca="1" si="2"/>
        <v>19708874.790019251</v>
      </c>
      <c r="K9" s="4">
        <f t="shared" ca="1" si="2"/>
        <v>20691955.827237822</v>
      </c>
      <c r="L9" s="4">
        <f t="shared" ca="1" si="2"/>
        <v>21847270.417169429</v>
      </c>
      <c r="M9" s="4">
        <f t="shared" ca="1" si="2"/>
        <v>23197160.942426741</v>
      </c>
      <c r="N9" s="4">
        <f t="shared" ca="1" si="2"/>
        <v>24766243.94021377</v>
      </c>
      <c r="O9" s="4">
        <f t="shared" ca="1" si="2"/>
        <v>25922544.702240981</v>
      </c>
      <c r="P9" s="4">
        <f t="shared" ca="1" si="2"/>
        <v>27236266.808630317</v>
      </c>
      <c r="Q9" s="4">
        <f t="shared" ca="1" si="2"/>
        <v>27975602.459203117</v>
      </c>
      <c r="R9" s="4">
        <f t="shared" ca="1" si="2"/>
        <v>28790786.222959079</v>
      </c>
      <c r="S9" s="4">
        <f t="shared" ca="1" si="2"/>
        <v>29272041.925394867</v>
      </c>
      <c r="T9" s="4">
        <f t="shared" ca="1" si="2"/>
        <v>29523154.09259652</v>
      </c>
      <c r="U9" s="4">
        <f t="shared" ca="1" si="2"/>
        <v>29776875.588514145</v>
      </c>
      <c r="V9" s="4">
        <f t="shared" ca="1" si="2"/>
        <v>30034982.473600019</v>
      </c>
      <c r="W9" s="4">
        <f t="shared" ca="1" si="2"/>
        <v>30299480.359968271</v>
      </c>
      <c r="X9" s="4">
        <f t="shared" ca="1" si="2"/>
        <v>30572623.872046217</v>
      </c>
      <c r="Y9" s="4">
        <f t="shared" ca="1" si="2"/>
        <v>30856937.464673012</v>
      </c>
      <c r="Z9" s="4">
        <f t="shared" ca="1" si="2"/>
        <v>31155237.683375835</v>
      </c>
      <c r="AA9" s="4">
        <f t="shared" ca="1" si="2"/>
        <v>31470656.956482187</v>
      </c>
      <c r="AB9" s="4">
        <f t="shared" ca="1" si="2"/>
        <v>31806669.013929565</v>
      </c>
      <c r="AC9" s="4">
        <f t="shared" ca="1" si="2"/>
        <v>32167116.03312242</v>
      </c>
      <c r="AD9" s="4">
        <f t="shared" ca="1" si="2"/>
        <v>32556237.617980883</v>
      </c>
      <c r="AE9" s="4">
        <f t="shared" ca="1" si="2"/>
        <v>32978701.723437231</v>
      </c>
      <c r="AF9" s="4">
        <f t="shared" ca="1" si="2"/>
        <v>33439637.64408645</v>
      </c>
    </row>
    <row r="12" spans="1:32" x14ac:dyDescent="0.35">
      <c r="A12" t="s">
        <v>80</v>
      </c>
      <c r="C12" s="2">
        <f>Assumptions!$C$25*Assumptions!D9*Assumptions!D13</f>
        <v>4984053.7035993487</v>
      </c>
      <c r="D12" s="2">
        <f>Assumptions!$C$25*Assumptions!E9*Assumptions!E13</f>
        <v>5224750.5274479249</v>
      </c>
      <c r="E12" s="2">
        <f>Assumptions!$C$25*Assumptions!F9*Assumptions!F13</f>
        <v>5477071.4156537838</v>
      </c>
      <c r="F12" s="2">
        <f>Assumptions!$C$25*Assumptions!G9*Assumptions!G13</f>
        <v>5741577.7336309841</v>
      </c>
      <c r="G12" s="2">
        <f>Assumptions!$C$25*Assumptions!H9*Assumptions!H13</f>
        <v>6018857.9570295904</v>
      </c>
      <c r="H12" s="2">
        <f>Assumptions!$C$25*Assumptions!I9*Assumptions!I13</f>
        <v>6309528.9809807427</v>
      </c>
      <c r="I12" s="2">
        <f>Assumptions!$C$25*Assumptions!J9*Assumptions!J13</f>
        <v>6614237.4925695835</v>
      </c>
      <c r="J12" s="2">
        <f>Assumptions!$C$25*Assumptions!K9*Assumptions!K13</f>
        <v>6933661.40958957</v>
      </c>
      <c r="K12" s="2">
        <f>Assumptions!$C$25*Assumptions!L9*Assumptions!L13</f>
        <v>7268511.3887790805</v>
      </c>
      <c r="L12" s="2">
        <f>Assumptions!$C$25*Assumptions!M9*Assumptions!M13</f>
        <v>7619532.4068958974</v>
      </c>
      <c r="M12" s="2">
        <f>Assumptions!$C$25*Assumptions!N9*Assumptions!N13</f>
        <v>7987505.4181470964</v>
      </c>
      <c r="N12" s="2">
        <f>Assumptions!$C$25*Assumptions!O9*Assumptions!O13</f>
        <v>8373249.0916618649</v>
      </c>
      <c r="O12" s="2">
        <f>Assumptions!$C$25*Assumptions!P9*Assumptions!P13</f>
        <v>8777621.6328727473</v>
      </c>
      <c r="P12" s="2">
        <f>Assumptions!$C$25*Assumptions!Q9*Assumptions!Q13</f>
        <v>9201522.6928575672</v>
      </c>
      <c r="Q12" s="2">
        <f>Assumptions!$C$25*Assumptions!R9*Assumptions!R13</f>
        <v>9645895.3698899131</v>
      </c>
      <c r="R12" s="2">
        <f>Assumptions!$C$25*Assumptions!S9*Assumptions!S13</f>
        <v>10111728.307651294</v>
      </c>
      <c r="S12" s="2">
        <f>Assumptions!$C$25*Assumptions!T9*Assumptions!T13</f>
        <v>10600057.894773066</v>
      </c>
      <c r="T12" s="2">
        <f>Assumptions!$C$25*Assumptions!U9*Assumptions!U13</f>
        <v>11111970.570601648</v>
      </c>
      <c r="U12" s="2">
        <f>Assumptions!$C$25*Assumptions!V9*Assumptions!V13</f>
        <v>11648605.242316991</v>
      </c>
      <c r="V12" s="2">
        <f>Assumptions!$C$25*Assumptions!W9*Assumptions!W13</f>
        <v>12211155.81878184</v>
      </c>
      <c r="W12" s="2">
        <f>Assumptions!$C$25*Assumptions!X9*Assumptions!X13</f>
        <v>12800873.866759179</v>
      </c>
      <c r="X12" s="2">
        <f>Assumptions!$C$25*Assumptions!Y9*Assumptions!Y13</f>
        <v>13419071.39540741</v>
      </c>
      <c r="Y12" s="2">
        <f>Assumptions!$C$25*Assumptions!Z9*Assumptions!Z13</f>
        <v>14067123.775248198</v>
      </c>
      <c r="Z12" s="2">
        <f>Assumptions!$C$25*Assumptions!AA9*Assumptions!AA13</f>
        <v>14746472.798101185</v>
      </c>
      <c r="AA12" s="2">
        <f>Assumptions!$C$25*Assumptions!AB9*Assumptions!AB13</f>
        <v>15458629.884793304</v>
      </c>
      <c r="AB12" s="2">
        <f>Assumptions!$C$25*Assumptions!AC9*Assumptions!AC13</f>
        <v>16205179.447779221</v>
      </c>
      <c r="AC12" s="2">
        <f>Assumptions!$C$25*Assumptions!AD9*Assumptions!AD13</f>
        <v>16987782.416154105</v>
      </c>
      <c r="AD12" s="2">
        <f>Assumptions!$C$25*Assumptions!AE9*Assumptions!AE13</f>
        <v>17808179.930901203</v>
      </c>
      <c r="AE12" s="2">
        <f>Assumptions!$C$25*Assumptions!AF9*Assumptions!AF13</f>
        <v>18668197.218595434</v>
      </c>
      <c r="AF12" s="2">
        <f>Assumptions!$C$25*Assumptions!AG9*Assumptions!AG13</f>
        <v>19569747.652181201</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81</v>
      </c>
      <c r="C14" s="5">
        <f>Assumptions!D122*Assumptions!D9</f>
        <v>676732.63</v>
      </c>
      <c r="D14" s="5">
        <f>Assumptions!E122*Assumptions!E9</f>
        <v>1383241.49572</v>
      </c>
      <c r="E14" s="5">
        <f>Assumptions!F122*Assumptions!F9</f>
        <v>2120509.2129387599</v>
      </c>
      <c r="F14" s="5">
        <f>Assumptions!G122*Assumptions!G9</f>
        <v>2889547.2208312172</v>
      </c>
      <c r="G14" s="5">
        <f>Assumptions!H122*Assumptions!H9</f>
        <v>3691396.5746118799</v>
      </c>
      <c r="H14" s="5">
        <f>Assumptions!I122*Assumptions!I9</f>
        <v>4527128.7591040097</v>
      </c>
      <c r="I14" s="5">
        <f>Assumptions!J122*Assumptions!J9</f>
        <v>5397846.52377168</v>
      </c>
      <c r="J14" s="5">
        <f>Assumptions!K122*Assumptions!K9</f>
        <v>6304684.7397653237</v>
      </c>
      <c r="K14" s="5">
        <f>Assumptions!L122*Assumptions!L9</f>
        <v>7248811.2795451805</v>
      </c>
      <c r="L14" s="5">
        <f>Assumptions!M122*Assumptions!M9</f>
        <v>8231427.919661304</v>
      </c>
      <c r="M14" s="5">
        <f>Assumptions!N122*Assumptions!N9</f>
        <v>9253771.2672832385</v>
      </c>
      <c r="N14" s="5">
        <f>Assumptions!O122*Assumptions!O9</f>
        <v>10317113.711087421</v>
      </c>
      <c r="O14" s="5">
        <f>Assumptions!P122*Assumptions!P9</f>
        <v>11422764.397125622</v>
      </c>
      <c r="P14" s="5">
        <f>Assumptions!Q122*Assumptions!Q9</f>
        <v>12572070.230313336</v>
      </c>
      <c r="Q14" s="5">
        <f>Assumptions!R122*Assumptions!R9</f>
        <v>13766416.902193109</v>
      </c>
      <c r="R14" s="5">
        <f>Assumptions!S122*Assumptions!S9</f>
        <v>15007229.945644114</v>
      </c>
      <c r="S14" s="5">
        <f>Assumptions!T122*Assumptions!T9</f>
        <v>16295975.817226304</v>
      </c>
      <c r="T14" s="5">
        <f>Assumptions!U122*Assumptions!U9</f>
        <v>17634163.007864419</v>
      </c>
      <c r="U14" s="5">
        <f>Assumptions!V122*Assumptions!V9</f>
        <v>19023343.18259507</v>
      </c>
      <c r="V14" s="5">
        <f>Assumptions!W122*Assumptions!W9</f>
        <v>20465112.350118067</v>
      </c>
      <c r="W14" s="5">
        <f>Assumptions!X122*Assumptions!X9</f>
        <v>21961112.0629117</v>
      </c>
      <c r="X14" s="5">
        <f>Assumptions!Y122*Assumptions!Y9</f>
        <v>23513030.64869079</v>
      </c>
      <c r="Y14" s="5">
        <f>Assumptions!Z122*Assumptions!Z9</f>
        <v>25122604.474005714</v>
      </c>
      <c r="Z14" s="5">
        <f>Assumptions!AA122*Assumptions!AA9</f>
        <v>26791619.240800537</v>
      </c>
      <c r="AA14" s="5">
        <f>Assumptions!AB122*Assumptions!AB9</f>
        <v>28521911.316768903</v>
      </c>
      <c r="AB14" s="5">
        <f>Assumptions!AC122*Assumptions!AC9</f>
        <v>30315369.10036733</v>
      </c>
      <c r="AC14" s="5">
        <f>Assumptions!AD122*Assumptions!AD9</f>
        <v>32173934.421366774</v>
      </c>
      <c r="AD14" s="5">
        <f>Assumptions!AE122*Assumptions!AE9</f>
        <v>34099603.977845609</v>
      </c>
      <c r="AE14" s="5">
        <f>Assumptions!AF122*Assumptions!AF9</f>
        <v>36094430.81054958</v>
      </c>
      <c r="AF14" s="5">
        <f>Assumptions!AG122*Assumptions!AG9</f>
        <v>38160525.81556724</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193</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62</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83</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84</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94</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85</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86</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46</v>
      </c>
      <c r="C27" s="2">
        <f>C12+C13+C14+C19+C20+C22+C24+C25</f>
        <v>5660786.3335993486</v>
      </c>
      <c r="D27" s="2">
        <f t="shared" ref="D27:AF27" si="8">D12+D13+D14+D19+D20+D22+D24+D25</f>
        <v>6607992.023167925</v>
      </c>
      <c r="E27" s="2">
        <f t="shared" si="8"/>
        <v>7597580.6285925433</v>
      </c>
      <c r="F27" s="2">
        <f t="shared" si="8"/>
        <v>8631124.9544622004</v>
      </c>
      <c r="G27" s="2">
        <f t="shared" si="8"/>
        <v>9710254.5316414703</v>
      </c>
      <c r="H27" s="2">
        <f t="shared" si="8"/>
        <v>10836657.740084752</v>
      </c>
      <c r="I27" s="2">
        <f t="shared" si="8"/>
        <v>12012084.016341263</v>
      </c>
      <c r="J27" s="2">
        <f t="shared" si="8"/>
        <v>13238346.149354894</v>
      </c>
      <c r="K27" s="2">
        <f t="shared" si="8"/>
        <v>14517322.668324262</v>
      </c>
      <c r="L27" s="2">
        <f t="shared" si="8"/>
        <v>15850960.3265572</v>
      </c>
      <c r="M27" s="2">
        <f t="shared" si="8"/>
        <v>17241276.685430333</v>
      </c>
      <c r="N27" s="2">
        <f t="shared" si="8"/>
        <v>18690362.802749284</v>
      </c>
      <c r="O27" s="2">
        <f t="shared" si="8"/>
        <v>20200386.02999837</v>
      </c>
      <c r="P27" s="2">
        <f t="shared" si="8"/>
        <v>21773592.923170902</v>
      </c>
      <c r="Q27" s="2">
        <f t="shared" si="8"/>
        <v>23412312.272083022</v>
      </c>
      <c r="R27" s="2">
        <f t="shared" si="8"/>
        <v>25118958.253295407</v>
      </c>
      <c r="S27" s="2">
        <f t="shared" si="8"/>
        <v>26896033.711999372</v>
      </c>
      <c r="T27" s="2">
        <f t="shared" si="8"/>
        <v>28746133.578466065</v>
      </c>
      <c r="U27" s="2">
        <f t="shared" si="8"/>
        <v>30671948.424912062</v>
      </c>
      <c r="V27" s="2">
        <f t="shared" si="8"/>
        <v>32676268.168899909</v>
      </c>
      <c r="W27" s="2">
        <f t="shared" si="8"/>
        <v>34761985.929670878</v>
      </c>
      <c r="X27" s="2">
        <f t="shared" si="8"/>
        <v>36932102.044098198</v>
      </c>
      <c r="Y27" s="2">
        <f t="shared" si="8"/>
        <v>39189728.249253914</v>
      </c>
      <c r="Z27" s="2">
        <f t="shared" si="8"/>
        <v>41538092.038901724</v>
      </c>
      <c r="AA27" s="2">
        <f t="shared" si="8"/>
        <v>43980541.201562211</v>
      </c>
      <c r="AB27" s="2">
        <f t="shared" si="8"/>
        <v>46520548.548146553</v>
      </c>
      <c r="AC27" s="2">
        <f t="shared" si="8"/>
        <v>49161716.837520882</v>
      </c>
      <c r="AD27" s="2">
        <f t="shared" si="8"/>
        <v>51907783.908746809</v>
      </c>
      <c r="AE27" s="2">
        <f t="shared" si="8"/>
        <v>54762628.029145017</v>
      </c>
      <c r="AF27" s="2">
        <f t="shared" si="8"/>
        <v>57730273.467748441</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3W2DU3RAJ5R2-1900874439-762</_dlc_DocId>
    <_dlc_DocIdUrl xmlns="f54e2983-00ce-40fc-8108-18f351fc47bf">
      <Url>https://dia.cohesion.net.nz/Sites/LGV/TWRP/CAE/_layouts/15/DocIdRedir.aspx?ID=3W2DU3RAJ5R2-1900874439-762</Url>
      <Description>3W2DU3RAJ5R2-1900874439-762</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2.xml><?xml version="1.0" encoding="utf-8"?>
<ds:datastoreItem xmlns:ds="http://schemas.openxmlformats.org/officeDocument/2006/customXml" ds:itemID="{CBCC2D2A-763C-48F8-A3E5-6B0A81386C39}">
  <ds:schemaRefs>
    <ds:schemaRef ds:uri="http://schemas.microsoft.com/office/2006/documentManagement/types"/>
    <ds:schemaRef ds:uri="http://schemas.microsoft.com/office/infopath/2007/PartnerControls"/>
    <ds:schemaRef ds:uri="65b6d800-2dda-48d6-88d8-9e2b35e6f7ea"/>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08a23fc5-e034-477c-ac83-93bc1440f322"/>
    <ds:schemaRef ds:uri="http://www.w3.org/XML/1998/namespace"/>
    <ds:schemaRef ds:uri="http://purl.org/dc/dcmitype/"/>
  </ds:schemaRefs>
</ds:datastoreItem>
</file>

<file path=customXml/itemProps3.xml><?xml version="1.0" encoding="utf-8"?>
<ds:datastoreItem xmlns:ds="http://schemas.openxmlformats.org/officeDocument/2006/customXml" ds:itemID="{29FE3086-34CA-480F-8613-1C92688D2AAD}"/>
</file>

<file path=customXml/itemProps4.xml><?xml version="1.0" encoding="utf-8"?>
<ds:datastoreItem xmlns:ds="http://schemas.openxmlformats.org/officeDocument/2006/customXml" ds:itemID="{DCA9AA42-406B-41A4-AFFE-9939B8D22D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2021-06-28T21:49:55Z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377d5273-1242-4af6-90b6-bed47a82c805</vt:lpwstr>
  </property>
</Properties>
</file>