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305" documentId="8_{AD440FB1-D805-46A6-84FE-775DE8E360F2}" xr6:coauthVersionLast="45" xr6:coauthVersionMax="47" xr10:uidLastSave="{C9171E5F-A2D1-40ED-A5F1-9B4B6563A1AB}"/>
  <bookViews>
    <workbookView xWindow="-28920" yWindow="8085" windowWidth="29040" windowHeight="1584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7" i="2"/>
  <c r="C58" i="2"/>
  <c r="C106" i="2"/>
  <c r="C63" i="2"/>
  <c r="C107" i="2"/>
  <c r="D11" i="2"/>
  <c r="C40" i="2"/>
  <c r="C41" i="2"/>
  <c r="C39" i="2"/>
  <c r="C36" i="2"/>
  <c r="C37" i="2"/>
  <c r="C35" i="2"/>
  <c r="F9" i="2"/>
  <c r="E9" i="2"/>
  <c r="D9" i="2"/>
  <c r="G11" i="2"/>
  <c r="V9" i="2"/>
  <c r="E11" i="2"/>
  <c r="F11" i="2"/>
  <c r="H11" i="2"/>
  <c r="I11" i="2"/>
  <c r="C72" i="2"/>
  <c r="B11" i="5"/>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H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C17" i="8"/>
  <c r="F45" i="2"/>
  <c r="D17" i="8"/>
  <c r="D16" i="9"/>
  <c r="G45" i="2"/>
  <c r="E17" i="8"/>
  <c r="E16" i="9"/>
  <c r="H45" i="2"/>
  <c r="F17" i="8"/>
  <c r="F16" i="9"/>
  <c r="I45" i="2"/>
  <c r="G17" i="8"/>
  <c r="G16" i="9"/>
  <c r="J45" i="2"/>
  <c r="H17" i="8"/>
  <c r="H16" i="9"/>
  <c r="K45" i="2"/>
  <c r="I17" i="8"/>
  <c r="I16" i="9"/>
  <c r="L45" i="2"/>
  <c r="J17" i="8"/>
  <c r="J16" i="9"/>
  <c r="M45" i="2"/>
  <c r="K17" i="8"/>
  <c r="K16" i="9"/>
  <c r="N45" i="2"/>
  <c r="L17" i="8"/>
  <c r="L16" i="9"/>
  <c r="O45" i="2"/>
  <c r="M17" i="8"/>
  <c r="M16" i="9"/>
  <c r="P45" i="2"/>
  <c r="N17" i="8"/>
  <c r="N16" i="9"/>
  <c r="Q45" i="2"/>
  <c r="O17" i="8"/>
  <c r="O16" i="9"/>
  <c r="R45" i="2"/>
  <c r="P17" i="8"/>
  <c r="P16" i="9"/>
  <c r="S45" i="2"/>
  <c r="Q17" i="8"/>
  <c r="Q16" i="9"/>
  <c r="T45" i="2"/>
  <c r="R17" i="8"/>
  <c r="R16" i="9"/>
  <c r="U45" i="2"/>
  <c r="S17" i="8"/>
  <c r="S16" i="9"/>
  <c r="V45" i="2"/>
  <c r="T17" i="8"/>
  <c r="T16" i="9"/>
  <c r="W45" i="2"/>
  <c r="U17" i="8"/>
  <c r="U16" i="9"/>
  <c r="X45" i="2"/>
  <c r="V17" i="8"/>
  <c r="V16" i="9"/>
  <c r="Y45" i="2"/>
  <c r="W17" i="8"/>
  <c r="W16" i="9"/>
  <c r="Z45" i="2"/>
  <c r="X17" i="8"/>
  <c r="X16" i="9"/>
  <c r="AA45" i="2"/>
  <c r="Y17" i="8"/>
  <c r="Y16" i="9"/>
  <c r="AB45" i="2"/>
  <c r="Z17" i="8"/>
  <c r="Z16" i="9"/>
  <c r="AC45" i="2"/>
  <c r="AA17" i="8"/>
  <c r="AA16" i="9"/>
  <c r="AD45" i="2"/>
  <c r="AB17" i="8"/>
  <c r="AB16" i="9"/>
  <c r="AE45" i="2"/>
  <c r="AC17" i="8"/>
  <c r="AC16" i="9"/>
  <c r="AF45" i="2"/>
  <c r="AD17" i="8"/>
  <c r="AD16" i="9"/>
  <c r="AG45" i="2"/>
  <c r="AE17" i="8"/>
  <c r="AE16" i="9"/>
  <c r="AF17" i="8"/>
  <c r="AF16" i="9"/>
  <c r="AG9" i="2"/>
  <c r="AF22" i="8"/>
  <c r="AF9" i="2"/>
  <c r="AE9" i="2"/>
  <c r="AD9" i="2"/>
  <c r="AC9" i="2"/>
  <c r="AB9" i="2"/>
  <c r="AA9" i="2"/>
  <c r="Z9" i="2"/>
  <c r="Y9" i="2"/>
  <c r="X9" i="2"/>
  <c r="W9" i="2"/>
  <c r="U9" i="2"/>
  <c r="T9" i="2"/>
  <c r="S9" i="2"/>
  <c r="R9" i="2"/>
  <c r="Q9" i="2"/>
  <c r="P9" i="2"/>
  <c r="O9" i="2"/>
  <c r="N9" i="2"/>
  <c r="M9" i="2"/>
  <c r="L22" i="8"/>
  <c r="L9" i="2"/>
  <c r="K9" i="2"/>
  <c r="J9" i="2"/>
  <c r="I9" i="2"/>
  <c r="H9" i="2"/>
  <c r="G9" i="2"/>
  <c r="AA22" i="8"/>
  <c r="AB22" i="8"/>
  <c r="M22" i="8"/>
  <c r="AC22" i="8"/>
  <c r="N22" i="8"/>
  <c r="V22" i="8"/>
  <c r="AD22" i="8"/>
  <c r="R22" i="8"/>
  <c r="K22" i="8"/>
  <c r="T22" i="8"/>
  <c r="O22" i="8"/>
  <c r="W22" i="8"/>
  <c r="AE22" i="8"/>
  <c r="Z22" i="8"/>
  <c r="J22" i="8"/>
  <c r="S22" i="8"/>
  <c r="U22" i="8"/>
  <c r="H22" i="8"/>
  <c r="P22" i="8"/>
  <c r="X22" i="8"/>
  <c r="I22" i="8"/>
  <c r="Q22" i="8"/>
  <c r="Y22" i="8"/>
  <c r="C129" i="2"/>
  <c r="C135" i="2" s="1"/>
  <c r="G22" i="8"/>
  <c r="F22" i="8"/>
  <c r="C22" i="8"/>
  <c r="E22" i="8"/>
  <c r="D22" i="8"/>
  <c r="H44" i="2"/>
  <c r="I44" i="2" s="1"/>
  <c r="H43" i="2"/>
  <c r="I43" i="2" s="1"/>
  <c r="J43" i="2" l="1"/>
  <c r="H16" i="8"/>
  <c r="H15" i="9"/>
  <c r="J44" i="2"/>
  <c r="G16" i="8"/>
  <c r="G15" i="9"/>
  <c r="C83" i="2"/>
  <c r="C90" i="2" s="1"/>
  <c r="C95" i="2" s="1"/>
  <c r="C82" i="2"/>
  <c r="C22" i="6"/>
  <c r="B10" i="21"/>
  <c r="C66" i="2"/>
  <c r="C17" i="2"/>
  <c r="B7" i="21"/>
  <c r="C71" i="2"/>
  <c r="C73" i="2" s="1"/>
  <c r="C5" i="3"/>
  <c r="C67" i="2"/>
  <c r="B12" i="21" l="1"/>
  <c r="B16" i="21" s="1"/>
  <c r="C89" i="2"/>
  <c r="C94" i="2" s="1"/>
  <c r="I15" i="9"/>
  <c r="K44" i="2"/>
  <c r="I16" i="8"/>
  <c r="K43" i="2"/>
  <c r="C75" i="2"/>
  <c r="B6" i="5"/>
  <c r="C18" i="2"/>
  <c r="C7" i="6" s="1"/>
  <c r="C6" i="6"/>
  <c r="C96" i="2"/>
  <c r="C68" i="2"/>
  <c r="J15" i="9" l="1"/>
  <c r="L44" i="2"/>
  <c r="L43" i="2"/>
  <c r="J16" i="8"/>
  <c r="C102" i="2"/>
  <c r="AG111" i="2"/>
  <c r="Z111" i="2"/>
  <c r="F111" i="2"/>
  <c r="AA111" i="2"/>
  <c r="D111" i="2"/>
  <c r="AE111" i="2"/>
  <c r="T111" i="2"/>
  <c r="W111" i="2"/>
  <c r="E111" i="2"/>
  <c r="M111" i="2"/>
  <c r="AF111" i="2"/>
  <c r="Q111" i="2"/>
  <c r="V111" i="2"/>
  <c r="I111" i="2"/>
  <c r="G111" i="2"/>
  <c r="AC111" i="2"/>
  <c r="O111" i="2"/>
  <c r="N111" i="2"/>
  <c r="Y111" i="2"/>
  <c r="AD111" i="2"/>
  <c r="J111" i="2"/>
  <c r="P111" i="2"/>
  <c r="K111" i="2"/>
  <c r="S111" i="2"/>
  <c r="H111" i="2"/>
  <c r="L111" i="2"/>
  <c r="AB111" i="2"/>
  <c r="X111" i="2"/>
  <c r="U111" i="2"/>
  <c r="R111" i="2"/>
  <c r="S13" i="2"/>
  <c r="AA13" i="2"/>
  <c r="W13" i="2"/>
  <c r="L13" i="2"/>
  <c r="AD13" i="2"/>
  <c r="D13" i="2"/>
  <c r="AE13" i="2"/>
  <c r="AF13" i="2"/>
  <c r="Z13" i="2"/>
  <c r="Q13" i="2"/>
  <c r="T13" i="2"/>
  <c r="R13" i="2"/>
  <c r="K13" i="2"/>
  <c r="E13" i="2"/>
  <c r="V13" i="2"/>
  <c r="U13" i="2"/>
  <c r="G13" i="2"/>
  <c r="AB13" i="2"/>
  <c r="AC13" i="2"/>
  <c r="N13" i="2"/>
  <c r="X13" i="2"/>
  <c r="H13" i="2"/>
  <c r="P13" i="2"/>
  <c r="Y13" i="2"/>
  <c r="J13" i="2"/>
  <c r="AG13" i="2"/>
  <c r="M13" i="2"/>
  <c r="F13" i="2"/>
  <c r="O13" i="2"/>
  <c r="I13" i="2"/>
  <c r="C5" i="8"/>
  <c r="K16" i="8" l="1"/>
  <c r="M43" i="2"/>
  <c r="K15" i="9"/>
  <c r="M44" i="2"/>
  <c r="AB12" i="8"/>
  <c r="AC135" i="2"/>
  <c r="Y8" i="6"/>
  <c r="Y5" i="9"/>
  <c r="Y11" i="9" s="1"/>
  <c r="M135" i="2"/>
  <c r="B23" i="21" s="1"/>
  <c r="L12" i="8"/>
  <c r="M12" i="8"/>
  <c r="N135" i="2"/>
  <c r="Q12" i="8"/>
  <c r="R135" i="2"/>
  <c r="L135" i="2"/>
  <c r="K12" i="8"/>
  <c r="AA5" i="9"/>
  <c r="AA11" i="9" s="1"/>
  <c r="AA8" i="6"/>
  <c r="X8" i="6"/>
  <c r="X5" i="9"/>
  <c r="X11" i="9" s="1"/>
  <c r="AE5" i="9"/>
  <c r="AE11" i="9" s="1"/>
  <c r="AE8" i="6"/>
  <c r="E5" i="9"/>
  <c r="E11" i="9" s="1"/>
  <c r="E8" i="6"/>
  <c r="M8" i="6"/>
  <c r="M5" i="9"/>
  <c r="M11" i="9" s="1"/>
  <c r="Y12" i="8"/>
  <c r="Z135" i="2"/>
  <c r="V5" i="9"/>
  <c r="V11" i="9" s="1"/>
  <c r="V8" i="6"/>
  <c r="AA12" i="8"/>
  <c r="AB135" i="2"/>
  <c r="I12" i="8"/>
  <c r="J135" i="2"/>
  <c r="AB5" i="9"/>
  <c r="AB11" i="9" s="1"/>
  <c r="AB8" i="6"/>
  <c r="AE12" i="8"/>
  <c r="AF135" i="2"/>
  <c r="J5" i="9"/>
  <c r="J11" i="9" s="1"/>
  <c r="J8" i="6"/>
  <c r="F8" i="6"/>
  <c r="F5" i="9"/>
  <c r="F11" i="9" s="1"/>
  <c r="S5" i="9"/>
  <c r="S11" i="9" s="1"/>
  <c r="S8" i="6"/>
  <c r="AF12" i="8"/>
  <c r="AG135" i="2"/>
  <c r="B36" i="21" s="1"/>
  <c r="K5" i="9"/>
  <c r="K11" i="9" s="1"/>
  <c r="K8" i="6"/>
  <c r="Q135" i="2"/>
  <c r="P12" i="8"/>
  <c r="G5" i="9"/>
  <c r="G11" i="9" s="1"/>
  <c r="G8" i="6"/>
  <c r="F12" i="8"/>
  <c r="G135" i="2"/>
  <c r="R8" i="6"/>
  <c r="R5" i="9"/>
  <c r="R11" i="9" s="1"/>
  <c r="Y135" i="2"/>
  <c r="X12" i="8"/>
  <c r="P135" i="2"/>
  <c r="O12" i="8"/>
  <c r="AE135" i="2"/>
  <c r="AD12" i="8"/>
  <c r="Q8" i="6"/>
  <c r="Q5" i="9"/>
  <c r="Q11" i="9" s="1"/>
  <c r="O5" i="9"/>
  <c r="O11" i="9" s="1"/>
  <c r="O8" i="6"/>
  <c r="H5" i="9"/>
  <c r="H11" i="9" s="1"/>
  <c r="H8" i="6"/>
  <c r="AD8" i="6"/>
  <c r="AD5" i="9"/>
  <c r="AD11" i="9" s="1"/>
  <c r="S12" i="8"/>
  <c r="T135" i="2"/>
  <c r="D5" i="9"/>
  <c r="D11" i="9" s="1"/>
  <c r="D8" i="6"/>
  <c r="D5" i="8"/>
  <c r="E5" i="8" s="1"/>
  <c r="F5" i="8" s="1"/>
  <c r="G5" i="8" s="1"/>
  <c r="H5" i="8" s="1"/>
  <c r="I5" i="8" s="1"/>
  <c r="J5" i="8" s="1"/>
  <c r="K5" i="8" s="1"/>
  <c r="L5" i="8" s="1"/>
  <c r="E6" i="7"/>
  <c r="T12" i="8"/>
  <c r="U135" i="2"/>
  <c r="I135" i="2"/>
  <c r="H12" i="8"/>
  <c r="U12" i="8"/>
  <c r="V135" i="2"/>
  <c r="O135" i="2"/>
  <c r="N12" i="8"/>
  <c r="G12" i="8"/>
  <c r="H135" i="2"/>
  <c r="D12" i="8"/>
  <c r="E135" i="2"/>
  <c r="C12" i="8"/>
  <c r="D135" i="2"/>
  <c r="T5" i="9"/>
  <c r="T11" i="9" s="1"/>
  <c r="T8" i="6"/>
  <c r="I8" i="6"/>
  <c r="I5" i="9"/>
  <c r="I11" i="9" s="1"/>
  <c r="U8" i="6"/>
  <c r="U5" i="9"/>
  <c r="U11" i="9" s="1"/>
  <c r="C8" i="6"/>
  <c r="C5" i="9"/>
  <c r="C11" i="9" s="1"/>
  <c r="U113" i="2"/>
  <c r="Q113" i="2"/>
  <c r="X113" i="2"/>
  <c r="S113" i="2"/>
  <c r="AC113" i="2"/>
  <c r="AB113" i="2"/>
  <c r="AF113" i="2"/>
  <c r="AA113" i="2"/>
  <c r="Y113" i="2"/>
  <c r="G113" i="2"/>
  <c r="I113" i="2"/>
  <c r="L113" i="2"/>
  <c r="D113" i="2"/>
  <c r="T113" i="2"/>
  <c r="O113" i="2"/>
  <c r="AG113" i="2"/>
  <c r="N113" i="2"/>
  <c r="AE113" i="2"/>
  <c r="R113" i="2"/>
  <c r="E113" i="2"/>
  <c r="V113" i="2"/>
  <c r="H113" i="2"/>
  <c r="Z113" i="2"/>
  <c r="K113" i="2"/>
  <c r="M113" i="2"/>
  <c r="F113" i="2"/>
  <c r="AD113" i="2"/>
  <c r="P113" i="2"/>
  <c r="W113" i="2"/>
  <c r="J113" i="2"/>
  <c r="W135" i="2"/>
  <c r="V12" i="8"/>
  <c r="L8" i="6"/>
  <c r="L5" i="9"/>
  <c r="L11" i="9" s="1"/>
  <c r="Z12" i="8"/>
  <c r="AA135" i="2"/>
  <c r="N8" i="6"/>
  <c r="N5" i="9"/>
  <c r="N11" i="9" s="1"/>
  <c r="AF5" i="9"/>
  <c r="AF11" i="9" s="1"/>
  <c r="AF8" i="6"/>
  <c r="R12" i="8"/>
  <c r="S135" i="2"/>
  <c r="E12" i="8"/>
  <c r="F135" i="2"/>
  <c r="W12" i="8"/>
  <c r="X135" i="2"/>
  <c r="J12" i="8"/>
  <c r="K135" i="2"/>
  <c r="AD135" i="2"/>
  <c r="AC12" i="8"/>
  <c r="W5" i="9"/>
  <c r="W11" i="9" s="1"/>
  <c r="W8" i="6"/>
  <c r="AC5" i="9"/>
  <c r="AC11" i="9" s="1"/>
  <c r="AC8" i="6"/>
  <c r="P8" i="6"/>
  <c r="P5" i="9"/>
  <c r="P11" i="9" s="1"/>
  <c r="Z5" i="9"/>
  <c r="Z11" i="9" s="1"/>
  <c r="Z8" i="6"/>
  <c r="L15" i="9" l="1"/>
  <c r="N44" i="2"/>
  <c r="N43" i="2"/>
  <c r="L16" i="8"/>
  <c r="L18" i="9"/>
  <c r="F6" i="9"/>
  <c r="F12" i="9" s="1"/>
  <c r="G116" i="2"/>
  <c r="G115" i="2"/>
  <c r="Z18" i="9"/>
  <c r="M6" i="9"/>
  <c r="M12" i="9" s="1"/>
  <c r="N115" i="2"/>
  <c r="N116" i="2"/>
  <c r="N118" i="2" s="1"/>
  <c r="T18" i="9"/>
  <c r="M20" i="8"/>
  <c r="P18" i="9"/>
  <c r="V20" i="8"/>
  <c r="J6" i="9"/>
  <c r="J12" i="9" s="1"/>
  <c r="K116" i="2"/>
  <c r="K118" i="2" s="1"/>
  <c r="K115" i="2"/>
  <c r="AG116" i="2"/>
  <c r="AF6" i="9"/>
  <c r="AF12" i="9" s="1"/>
  <c r="Z6" i="9"/>
  <c r="Z12" i="9" s="1"/>
  <c r="AA116" i="2"/>
  <c r="C18" i="9"/>
  <c r="X20" i="8"/>
  <c r="P20" i="8"/>
  <c r="F18" i="9"/>
  <c r="M18" i="9"/>
  <c r="L20" i="8"/>
  <c r="L19" i="8"/>
  <c r="E6" i="9"/>
  <c r="E12" i="9" s="1"/>
  <c r="F116" i="2"/>
  <c r="F115" i="2"/>
  <c r="N20" i="8"/>
  <c r="L6" i="9"/>
  <c r="L12" i="9" s="1"/>
  <c r="M116" i="2"/>
  <c r="M115" i="2"/>
  <c r="M118" i="2" s="1"/>
  <c r="G18" i="9"/>
  <c r="C20" i="8"/>
  <c r="C19" i="8"/>
  <c r="I19" i="8"/>
  <c r="I20" i="8"/>
  <c r="U18" i="9"/>
  <c r="Q18" i="9"/>
  <c r="R18" i="9"/>
  <c r="K19" i="8"/>
  <c r="K20" i="8"/>
  <c r="Y18" i="9"/>
  <c r="P6" i="9"/>
  <c r="P12" i="9" s="1"/>
  <c r="Q116" i="2"/>
  <c r="O20" i="8"/>
  <c r="X18" i="9"/>
  <c r="X6" i="9"/>
  <c r="X12" i="9" s="1"/>
  <c r="Y116" i="2"/>
  <c r="AB18" i="9"/>
  <c r="J20" i="8"/>
  <c r="J19" i="8"/>
  <c r="Y6" i="9"/>
  <c r="Y12" i="9" s="1"/>
  <c r="Z116" i="2"/>
  <c r="AF116" i="2"/>
  <c r="AE6" i="9"/>
  <c r="AE12" i="9" s="1"/>
  <c r="D18" i="9"/>
  <c r="AA18" i="9"/>
  <c r="H116" i="2"/>
  <c r="G6" i="9"/>
  <c r="G12" i="9" s="1"/>
  <c r="H115" i="2"/>
  <c r="H19" i="8"/>
  <c r="H20" i="8"/>
  <c r="AC18" i="9"/>
  <c r="W20" i="8"/>
  <c r="W116" i="2"/>
  <c r="V6" i="9"/>
  <c r="V12" i="9" s="1"/>
  <c r="U6" i="9"/>
  <c r="U12" i="9" s="1"/>
  <c r="V116" i="2"/>
  <c r="D116" i="2"/>
  <c r="D115" i="2"/>
  <c r="C6" i="9"/>
  <c r="C12" i="9" s="1"/>
  <c r="C113" i="2"/>
  <c r="C114" i="2" s="1"/>
  <c r="AC116" i="2"/>
  <c r="AB6" i="9"/>
  <c r="AB12" i="9" s="1"/>
  <c r="D20" i="8"/>
  <c r="D19" i="8"/>
  <c r="S20" i="8"/>
  <c r="K18" i="9"/>
  <c r="J18" i="9"/>
  <c r="AA20" i="8"/>
  <c r="E18" i="9"/>
  <c r="AC20" i="8"/>
  <c r="AE116" i="2"/>
  <c r="AD6" i="9"/>
  <c r="AD12" i="9" s="1"/>
  <c r="R20" i="8"/>
  <c r="T6" i="9"/>
  <c r="T12" i="9" s="1"/>
  <c r="U116" i="2"/>
  <c r="H18" i="9"/>
  <c r="Y20" i="8"/>
  <c r="AF18" i="9"/>
  <c r="N6" i="9"/>
  <c r="N12" i="9" s="1"/>
  <c r="O116" i="2"/>
  <c r="U20" i="8"/>
  <c r="N18" i="9"/>
  <c r="T116" i="2"/>
  <c r="S6" i="9"/>
  <c r="S12" i="9" s="1"/>
  <c r="P116" i="2"/>
  <c r="O6" i="9"/>
  <c r="O12" i="9" s="1"/>
  <c r="E116" i="2"/>
  <c r="D6" i="9"/>
  <c r="D12" i="9" s="1"/>
  <c r="E115" i="2"/>
  <c r="K6" i="9"/>
  <c r="K12" i="9" s="1"/>
  <c r="L116" i="2"/>
  <c r="L115" i="2"/>
  <c r="L118" i="2"/>
  <c r="S116" i="2"/>
  <c r="R6" i="9"/>
  <c r="R12" i="9" s="1"/>
  <c r="I18" i="9"/>
  <c r="AD18" i="9"/>
  <c r="AD20" i="8"/>
  <c r="B20" i="21"/>
  <c r="B25" i="21" s="1"/>
  <c r="B29" i="21"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S18" i="9"/>
  <c r="O18" i="9"/>
  <c r="J115" i="2"/>
  <c r="J116" i="2"/>
  <c r="I6" i="9"/>
  <c r="I12" i="9" s="1"/>
  <c r="AA6" i="9"/>
  <c r="AA12" i="9" s="1"/>
  <c r="AB116" i="2"/>
  <c r="W18" i="9"/>
  <c r="E19" i="8"/>
  <c r="E20" i="8"/>
  <c r="Z20" i="8"/>
  <c r="AD116" i="2"/>
  <c r="AC6" i="9"/>
  <c r="AC12" i="9" s="1"/>
  <c r="R116" i="2"/>
  <c r="Q6" i="9"/>
  <c r="Q12" i="9" s="1"/>
  <c r="I116" i="2"/>
  <c r="I115" i="2"/>
  <c r="I118" i="2" s="1"/>
  <c r="H6" i="9"/>
  <c r="H12" i="9" s="1"/>
  <c r="W6" i="9"/>
  <c r="W12" i="9" s="1"/>
  <c r="X116" i="2"/>
  <c r="G19" i="8"/>
  <c r="G20" i="8"/>
  <c r="T20" i="8"/>
  <c r="F19" i="8"/>
  <c r="F20" i="8"/>
  <c r="AF20" i="8"/>
  <c r="AE20" i="8"/>
  <c r="V18" i="9"/>
  <c r="AE18" i="9"/>
  <c r="Q20" i="8"/>
  <c r="AB20" i="8"/>
  <c r="G118" i="2" l="1"/>
  <c r="F118" i="2"/>
  <c r="D118" i="2"/>
  <c r="D122" i="2" s="1"/>
  <c r="C14" i="8" s="1"/>
  <c r="H118" i="2"/>
  <c r="O43" i="2"/>
  <c r="M16" i="8"/>
  <c r="M19" i="8" s="1"/>
  <c r="M15" i="9"/>
  <c r="O44" i="2"/>
  <c r="J118" i="2"/>
  <c r="E118" i="2"/>
  <c r="D120" i="2"/>
  <c r="D21" i="9"/>
  <c r="D20" i="9"/>
  <c r="AD21" i="9"/>
  <c r="U21" i="9"/>
  <c r="AF21" i="9"/>
  <c r="R21" i="9"/>
  <c r="S21" i="9"/>
  <c r="C21" i="9"/>
  <c r="C20" i="9"/>
  <c r="Y21" i="9"/>
  <c r="F20" i="9"/>
  <c r="F21" i="9"/>
  <c r="Q21" i="9"/>
  <c r="V21" i="9"/>
  <c r="X21" i="9"/>
  <c r="L20" i="9"/>
  <c r="L21" i="9"/>
  <c r="W21" i="9"/>
  <c r="AB21" i="9"/>
  <c r="E20" i="9"/>
  <c r="E21" i="9"/>
  <c r="T21" i="9"/>
  <c r="H21" i="9"/>
  <c r="H20" i="9"/>
  <c r="O21" i="9"/>
  <c r="N21" i="9"/>
  <c r="AE21" i="9"/>
  <c r="Z21" i="9"/>
  <c r="J20" i="9"/>
  <c r="J21" i="9"/>
  <c r="AA21" i="9"/>
  <c r="K21" i="9"/>
  <c r="K20" i="9"/>
  <c r="P21" i="9"/>
  <c r="G21" i="9"/>
  <c r="G20" i="9"/>
  <c r="AC21" i="9"/>
  <c r="I21" i="9"/>
  <c r="I20" i="9"/>
  <c r="M21" i="9"/>
  <c r="M20" i="9"/>
  <c r="E120" i="2" l="1"/>
  <c r="F122" i="2"/>
  <c r="E14" i="8" s="1"/>
  <c r="G122" i="2"/>
  <c r="F14" i="8" s="1"/>
  <c r="F120" i="2"/>
  <c r="M122" i="2"/>
  <c r="L14" i="8" s="1"/>
  <c r="G120" i="2"/>
  <c r="F9" i="6" s="1"/>
  <c r="H120" i="2"/>
  <c r="G9" i="6" s="1"/>
  <c r="I122" i="2"/>
  <c r="H14" i="8" s="1"/>
  <c r="H25" i="8" s="1"/>
  <c r="E122" i="2"/>
  <c r="D14" i="8" s="1"/>
  <c r="D25" i="8" s="1"/>
  <c r="I120" i="2"/>
  <c r="H122" i="2"/>
  <c r="G14" i="8" s="1"/>
  <c r="L122" i="2"/>
  <c r="K14" i="8" s="1"/>
  <c r="J120" i="2"/>
  <c r="L120" i="2"/>
  <c r="K9" i="6" s="1"/>
  <c r="P44" i="2"/>
  <c r="N15" i="9"/>
  <c r="N20" i="9" s="1"/>
  <c r="O115" i="2"/>
  <c r="O118" i="2" s="1"/>
  <c r="K120" i="2"/>
  <c r="J122" i="2"/>
  <c r="I14" i="8" s="1"/>
  <c r="N122" i="2"/>
  <c r="M14" i="8" s="1"/>
  <c r="N120" i="2"/>
  <c r="M7" i="9" s="1"/>
  <c r="M13" i="9" s="1"/>
  <c r="P43" i="2"/>
  <c r="N16" i="8"/>
  <c r="N19" i="8" s="1"/>
  <c r="M120" i="2"/>
  <c r="L9" i="6" s="1"/>
  <c r="K122" i="2"/>
  <c r="J14" i="8" s="1"/>
  <c r="J24" i="8" s="1"/>
  <c r="L24" i="8"/>
  <c r="L25" i="8"/>
  <c r="G24" i="8"/>
  <c r="G25" i="8"/>
  <c r="C9" i="6"/>
  <c r="C7" i="9"/>
  <c r="C13" i="9" s="1"/>
  <c r="K25" i="8"/>
  <c r="K24" i="8"/>
  <c r="H9" i="6"/>
  <c r="H7" i="9"/>
  <c r="H13" i="9" s="1"/>
  <c r="M24" i="8"/>
  <c r="M25" i="8"/>
  <c r="C24" i="8"/>
  <c r="C25" i="8"/>
  <c r="E24" i="8"/>
  <c r="E25" i="8"/>
  <c r="I9" i="6"/>
  <c r="I7" i="9"/>
  <c r="I13" i="9" s="1"/>
  <c r="F24" i="8"/>
  <c r="F25" i="8"/>
  <c r="D9" i="6"/>
  <c r="D7" i="9"/>
  <c r="D13" i="9" s="1"/>
  <c r="I24" i="8"/>
  <c r="I25" i="8"/>
  <c r="I27" i="8"/>
  <c r="I6" i="8" s="1"/>
  <c r="J9" i="6"/>
  <c r="J7" i="9"/>
  <c r="J13" i="9" s="1"/>
  <c r="E9" i="6"/>
  <c r="E7" i="9"/>
  <c r="E13" i="9" s="1"/>
  <c r="G7" i="9" l="1"/>
  <c r="G13" i="9" s="1"/>
  <c r="E27" i="8"/>
  <c r="E6" i="8" s="1"/>
  <c r="G27" i="8"/>
  <c r="G6" i="8" s="1"/>
  <c r="F7" i="9"/>
  <c r="F13" i="9" s="1"/>
  <c r="J25" i="8"/>
  <c r="J27" i="8" s="1"/>
  <c r="J6" i="8" s="1"/>
  <c r="D24" i="8"/>
  <c r="L7" i="9"/>
  <c r="L13" i="9" s="1"/>
  <c r="F27" i="8"/>
  <c r="F6" i="8" s="1"/>
  <c r="H24" i="8"/>
  <c r="H27" i="8" s="1"/>
  <c r="H6" i="8" s="1"/>
  <c r="M9" i="6"/>
  <c r="M7" i="8" s="1"/>
  <c r="K27" i="8"/>
  <c r="K6" i="8" s="1"/>
  <c r="O15" i="9"/>
  <c r="O20" i="9" s="1"/>
  <c r="Q44" i="2"/>
  <c r="P115" i="2"/>
  <c r="P118" i="2" s="1"/>
  <c r="K7" i="9"/>
  <c r="K13" i="9" s="1"/>
  <c r="O120" i="2"/>
  <c r="O16" i="8"/>
  <c r="O19" i="8" s="1"/>
  <c r="Q43" i="2"/>
  <c r="O122" i="2"/>
  <c r="N14" i="8" s="1"/>
  <c r="M27" i="8"/>
  <c r="M6" i="8" s="1"/>
  <c r="L27" i="8"/>
  <c r="L6" i="8" s="1"/>
  <c r="C27" i="8"/>
  <c r="C6" i="8" s="1"/>
  <c r="D27" i="8"/>
  <c r="D6" i="8" s="1"/>
  <c r="C23" i="9"/>
  <c r="C25" i="9" s="1"/>
  <c r="H6" i="4"/>
  <c r="H7" i="8"/>
  <c r="E6" i="4"/>
  <c r="E7" i="8"/>
  <c r="G23" i="9"/>
  <c r="G25" i="9"/>
  <c r="G7" i="8"/>
  <c r="G6" i="4"/>
  <c r="F7" i="8"/>
  <c r="F6" i="4"/>
  <c r="J23" i="9"/>
  <c r="J25" i="9"/>
  <c r="E23" i="9"/>
  <c r="E25" i="9"/>
  <c r="M23" i="9"/>
  <c r="M25" i="9" s="1"/>
  <c r="F23" i="9"/>
  <c r="F25" i="9" s="1"/>
  <c r="I7" i="8"/>
  <c r="I6" i="4"/>
  <c r="J6" i="4"/>
  <c r="J7" i="8"/>
  <c r="D6" i="4"/>
  <c r="D7" i="8"/>
  <c r="K23" i="9"/>
  <c r="K25" i="9" s="1"/>
  <c r="I23" i="9"/>
  <c r="I25" i="9" s="1"/>
  <c r="J10" i="6"/>
  <c r="E10" i="6"/>
  <c r="H10" i="6"/>
  <c r="I10" i="6"/>
  <c r="K10" i="6"/>
  <c r="C12" i="6"/>
  <c r="D10" i="6"/>
  <c r="C10" i="6"/>
  <c r="C7" i="8"/>
  <c r="F10" i="6"/>
  <c r="G10" i="6"/>
  <c r="C6" i="4"/>
  <c r="L10" i="6"/>
  <c r="M10" i="6"/>
  <c r="L23" i="9"/>
  <c r="L25" i="9" s="1"/>
  <c r="D23" i="9"/>
  <c r="D25" i="9" s="1"/>
  <c r="L7" i="8"/>
  <c r="L6" i="4"/>
  <c r="H23" i="9"/>
  <c r="H25" i="9" s="1"/>
  <c r="K7" i="8"/>
  <c r="K6" i="4"/>
  <c r="M6" i="4" l="1"/>
  <c r="N25" i="8"/>
  <c r="N24" i="8"/>
  <c r="N27" i="8" s="1"/>
  <c r="N6" i="8" s="1"/>
  <c r="P16" i="8"/>
  <c r="P19" i="8" s="1"/>
  <c r="R43" i="2"/>
  <c r="P122" i="2"/>
  <c r="O14" i="8" s="1"/>
  <c r="P120" i="2"/>
  <c r="N9" i="6"/>
  <c r="N7" i="9"/>
  <c r="N13" i="9" s="1"/>
  <c r="N23" i="9" s="1"/>
  <c r="N25" i="9" s="1"/>
  <c r="N10" i="4" s="1"/>
  <c r="P15" i="9"/>
  <c r="P20" i="9" s="1"/>
  <c r="R44" i="2"/>
  <c r="Q115" i="2"/>
  <c r="Q118" i="2" s="1"/>
  <c r="M18" i="6"/>
  <c r="M10" i="4"/>
  <c r="D18" i="6"/>
  <c r="D10" i="4"/>
  <c r="K18" i="6"/>
  <c r="K10" i="4"/>
  <c r="H18" i="6"/>
  <c r="H10" i="4"/>
  <c r="L18" i="6"/>
  <c r="L10" i="4"/>
  <c r="E18" i="6"/>
  <c r="E10" i="4"/>
  <c r="F10" i="4"/>
  <c r="F18" i="6"/>
  <c r="C10" i="4"/>
  <c r="C18" i="6"/>
  <c r="C19" i="6" s="1"/>
  <c r="C20" i="6" s="1"/>
  <c r="C23" i="6" s="1"/>
  <c r="I10" i="4"/>
  <c r="I18" i="6"/>
  <c r="J18" i="6"/>
  <c r="J10" i="4"/>
  <c r="G18" i="6"/>
  <c r="G10" i="4"/>
  <c r="B7" i="5"/>
  <c r="B8" i="5" s="1"/>
  <c r="D7" i="6"/>
  <c r="D12" i="6" s="1"/>
  <c r="Q15" i="9" l="1"/>
  <c r="Q20" i="9" s="1"/>
  <c r="S44" i="2"/>
  <c r="R115" i="2"/>
  <c r="R118" i="2" s="1"/>
  <c r="R122" i="2" s="1"/>
  <c r="Q14" i="8" s="1"/>
  <c r="O7" i="9"/>
  <c r="O13" i="9" s="1"/>
  <c r="O23" i="9" s="1"/>
  <c r="O25" i="9" s="1"/>
  <c r="O9" i="6"/>
  <c r="O10" i="6" s="1"/>
  <c r="Q120" i="2"/>
  <c r="R120" i="2"/>
  <c r="Q122" i="2"/>
  <c r="P14" i="8" s="1"/>
  <c r="O25" i="8"/>
  <c r="O24" i="8"/>
  <c r="N10" i="6"/>
  <c r="N6" i="4"/>
  <c r="N7" i="8"/>
  <c r="N18" i="6"/>
  <c r="S43" i="2"/>
  <c r="Q16" i="8"/>
  <c r="Q19" i="8" s="1"/>
  <c r="B10" i="5"/>
  <c r="E8" i="7"/>
  <c r="C7" i="5"/>
  <c r="E7" i="6"/>
  <c r="E12" i="6" s="1"/>
  <c r="D19" i="6"/>
  <c r="D20" i="6" s="1"/>
  <c r="E19" i="6" s="1"/>
  <c r="E20" i="6" s="1"/>
  <c r="F19" i="6" s="1"/>
  <c r="F20" i="6" s="1"/>
  <c r="G19" i="6" s="1"/>
  <c r="G20" i="6" s="1"/>
  <c r="H19" i="6" s="1"/>
  <c r="H20" i="6" s="1"/>
  <c r="I19" i="6" s="1"/>
  <c r="I20" i="6" s="1"/>
  <c r="J19" i="6" s="1"/>
  <c r="J20" i="6" s="1"/>
  <c r="K19" i="6" s="1"/>
  <c r="K20" i="6" s="1"/>
  <c r="L19" i="6" s="1"/>
  <c r="L20" i="6" s="1"/>
  <c r="M19" i="6" s="1"/>
  <c r="M20" i="6" s="1"/>
  <c r="N19" i="6" s="1"/>
  <c r="N20" i="6" s="1"/>
  <c r="O27" i="8" l="1"/>
  <c r="O6" i="8" s="1"/>
  <c r="Q7" i="9"/>
  <c r="Q13" i="9" s="1"/>
  <c r="Q9" i="6"/>
  <c r="P9" i="6"/>
  <c r="P7" i="9"/>
  <c r="P13" i="9" s="1"/>
  <c r="O7" i="8"/>
  <c r="O6" i="4"/>
  <c r="P25" i="8"/>
  <c r="P24" i="8"/>
  <c r="O10" i="4"/>
  <c r="O18" i="6"/>
  <c r="T44" i="2"/>
  <c r="R15" i="9"/>
  <c r="R20" i="9" s="1"/>
  <c r="S115" i="2"/>
  <c r="S118" i="2" s="1"/>
  <c r="S122" i="2" s="1"/>
  <c r="R14" i="8" s="1"/>
  <c r="O19" i="6"/>
  <c r="O20" i="6" s="1"/>
  <c r="T43" i="2"/>
  <c r="R16" i="8"/>
  <c r="R19" i="8" s="1"/>
  <c r="Q24" i="8"/>
  <c r="Q25" i="8"/>
  <c r="D7" i="5"/>
  <c r="F7" i="6"/>
  <c r="F12" i="6" s="1"/>
  <c r="P23" i="9" l="1"/>
  <c r="P25" i="9"/>
  <c r="S16" i="8"/>
  <c r="S19" i="8" s="1"/>
  <c r="U43" i="2"/>
  <c r="P6" i="4"/>
  <c r="P7" i="8"/>
  <c r="P10" i="6"/>
  <c r="Q10" i="6"/>
  <c r="Q27" i="8"/>
  <c r="Q6" i="8" s="1"/>
  <c r="S120" i="2"/>
  <c r="Q6" i="4"/>
  <c r="Q7" i="8"/>
  <c r="R25" i="8"/>
  <c r="R24" i="8"/>
  <c r="R27" i="8"/>
  <c r="R6" i="8" s="1"/>
  <c r="Q23" i="9"/>
  <c r="Q25" i="9" s="1"/>
  <c r="S15" i="9"/>
  <c r="S20" i="9" s="1"/>
  <c r="U44" i="2"/>
  <c r="T115" i="2"/>
  <c r="T118" i="2" s="1"/>
  <c r="T120" i="2" s="1"/>
  <c r="P27" i="8"/>
  <c r="P6" i="8" s="1"/>
  <c r="E7" i="5"/>
  <c r="G7" i="6"/>
  <c r="G12" i="6" s="1"/>
  <c r="S7" i="9" l="1"/>
  <c r="S13" i="9" s="1"/>
  <c r="S23" i="9" s="1"/>
  <c r="S25" i="9" s="1"/>
  <c r="S9" i="6"/>
  <c r="Q18" i="6"/>
  <c r="Q10" i="4"/>
  <c r="T16" i="8"/>
  <c r="T19" i="8" s="1"/>
  <c r="V43" i="2"/>
  <c r="R9" i="6"/>
  <c r="R7" i="9"/>
  <c r="R13" i="9" s="1"/>
  <c r="P18" i="6"/>
  <c r="P19" i="6" s="1"/>
  <c r="P20" i="6" s="1"/>
  <c r="P10" i="4"/>
  <c r="T122" i="2"/>
  <c r="S14" i="8" s="1"/>
  <c r="T15" i="9"/>
  <c r="T20" i="9" s="1"/>
  <c r="V44" i="2"/>
  <c r="U115" i="2"/>
  <c r="U118" i="2" s="1"/>
  <c r="U122" i="2"/>
  <c r="T14" i="8" s="1"/>
  <c r="H7" i="6"/>
  <c r="H12" i="6" s="1"/>
  <c r="F7" i="5"/>
  <c r="Q19" i="6" l="1"/>
  <c r="Q20" i="6" s="1"/>
  <c r="U15" i="9"/>
  <c r="U20" i="9" s="1"/>
  <c r="W44" i="2"/>
  <c r="V115" i="2"/>
  <c r="V118" i="2" s="1"/>
  <c r="R6" i="4"/>
  <c r="R7" i="8"/>
  <c r="S10" i="6"/>
  <c r="R10" i="6"/>
  <c r="W43" i="2"/>
  <c r="U16" i="8"/>
  <c r="U19" i="8" s="1"/>
  <c r="S24" i="8"/>
  <c r="S25" i="8"/>
  <c r="T24" i="8"/>
  <c r="T25" i="8"/>
  <c r="S6" i="4"/>
  <c r="S7" i="8"/>
  <c r="U120" i="2"/>
  <c r="R23" i="9"/>
  <c r="R25" i="9"/>
  <c r="S18" i="6"/>
  <c r="S10" i="4"/>
  <c r="G7" i="5"/>
  <c r="I7" i="6"/>
  <c r="I12" i="6" s="1"/>
  <c r="S27" i="8" l="1"/>
  <c r="S6" i="8" s="1"/>
  <c r="T27" i="8"/>
  <c r="T6" i="8" s="1"/>
  <c r="R18" i="6"/>
  <c r="R19" i="6" s="1"/>
  <c r="R20" i="6" s="1"/>
  <c r="S19" i="6" s="1"/>
  <c r="S20" i="6" s="1"/>
  <c r="R10" i="4"/>
  <c r="X43" i="2"/>
  <c r="V16" i="8"/>
  <c r="V19" i="8" s="1"/>
  <c r="T7" i="9"/>
  <c r="T13" i="9" s="1"/>
  <c r="T23" i="9" s="1"/>
  <c r="T25" i="9" s="1"/>
  <c r="T9" i="6"/>
  <c r="V122" i="2"/>
  <c r="U14" i="8" s="1"/>
  <c r="V120" i="2"/>
  <c r="X44" i="2"/>
  <c r="V15" i="9"/>
  <c r="V20" i="9" s="1"/>
  <c r="W115" i="2"/>
  <c r="W118" i="2" s="1"/>
  <c r="J7" i="6"/>
  <c r="J12" i="6" s="1"/>
  <c r="H7" i="5"/>
  <c r="U24" i="8" l="1"/>
  <c r="U25" i="8"/>
  <c r="U27" i="8" s="1"/>
  <c r="U6" i="8" s="1"/>
  <c r="W122" i="2"/>
  <c r="V14" i="8" s="1"/>
  <c r="W120" i="2"/>
  <c r="T6" i="4"/>
  <c r="T7" i="8"/>
  <c r="T10" i="6"/>
  <c r="T10" i="4"/>
  <c r="T18" i="6"/>
  <c r="U9" i="6"/>
  <c r="U7" i="9"/>
  <c r="U13" i="9" s="1"/>
  <c r="W16" i="8"/>
  <c r="W19" i="8" s="1"/>
  <c r="Y43" i="2"/>
  <c r="W15" i="9"/>
  <c r="W20" i="9" s="1"/>
  <c r="Y44" i="2"/>
  <c r="X115" i="2"/>
  <c r="X118" i="2" s="1"/>
  <c r="T19" i="6"/>
  <c r="T20" i="6" s="1"/>
  <c r="I7" i="5"/>
  <c r="K7" i="6"/>
  <c r="K12" i="6" s="1"/>
  <c r="X122" i="2" l="1"/>
  <c r="W14" i="8" s="1"/>
  <c r="X120" i="2"/>
  <c r="V7" i="9"/>
  <c r="V13" i="9" s="1"/>
  <c r="V9" i="6"/>
  <c r="X15" i="9"/>
  <c r="X20" i="9" s="1"/>
  <c r="Z44" i="2"/>
  <c r="Y115" i="2"/>
  <c r="Y118" i="2" s="1"/>
  <c r="V24" i="8"/>
  <c r="V27" i="8" s="1"/>
  <c r="V6" i="8" s="1"/>
  <c r="V25" i="8"/>
  <c r="U23" i="9"/>
  <c r="U25" i="9"/>
  <c r="U6" i="4"/>
  <c r="U7" i="8"/>
  <c r="Z43" i="2"/>
  <c r="X16" i="8"/>
  <c r="X19" i="8" s="1"/>
  <c r="U10" i="6"/>
  <c r="J7" i="5"/>
  <c r="L7" i="6"/>
  <c r="L12" i="6" s="1"/>
  <c r="AA43" i="2" l="1"/>
  <c r="Y16" i="8"/>
  <c r="Y19" i="8" s="1"/>
  <c r="U10" i="4"/>
  <c r="U18" i="6"/>
  <c r="U19" i="6" s="1"/>
  <c r="U20" i="6" s="1"/>
  <c r="V7" i="8"/>
  <c r="V6" i="4"/>
  <c r="W10" i="6"/>
  <c r="V10" i="6"/>
  <c r="Y122" i="2"/>
  <c r="X14" i="8" s="1"/>
  <c r="Y120" i="2"/>
  <c r="V23" i="9"/>
  <c r="V25" i="9" s="1"/>
  <c r="W9" i="6"/>
  <c r="W7" i="9"/>
  <c r="W13" i="9" s="1"/>
  <c r="W23" i="9" s="1"/>
  <c r="W25" i="9" s="1"/>
  <c r="Y15" i="9"/>
  <c r="Y20" i="9" s="1"/>
  <c r="AA44" i="2"/>
  <c r="Z115" i="2"/>
  <c r="Z118" i="2" s="1"/>
  <c r="W25" i="8"/>
  <c r="W24" i="8"/>
  <c r="K7" i="5"/>
  <c r="M7" i="6"/>
  <c r="M12" i="6" s="1"/>
  <c r="X9" i="6" l="1"/>
  <c r="X7" i="9"/>
  <c r="X13" i="9" s="1"/>
  <c r="X23" i="9" s="1"/>
  <c r="X25" i="9" s="1"/>
  <c r="AB44" i="2"/>
  <c r="Z15" i="9"/>
  <c r="Z20" i="9" s="1"/>
  <c r="AA115" i="2"/>
  <c r="AA118" i="2" s="1"/>
  <c r="Z120" i="2"/>
  <c r="Z122" i="2"/>
  <c r="Y14" i="8" s="1"/>
  <c r="V19" i="6"/>
  <c r="V20" i="6" s="1"/>
  <c r="W19" i="6" s="1"/>
  <c r="W20" i="6" s="1"/>
  <c r="W18" i="6"/>
  <c r="W10" i="4"/>
  <c r="W6" i="4"/>
  <c r="W7" i="8"/>
  <c r="V10" i="4"/>
  <c r="V18" i="6"/>
  <c r="X24" i="8"/>
  <c r="X25" i="8"/>
  <c r="X27" i="8" s="1"/>
  <c r="X6" i="8" s="1"/>
  <c r="W27" i="8"/>
  <c r="W6" i="8" s="1"/>
  <c r="Z16" i="8"/>
  <c r="Z19" i="8" s="1"/>
  <c r="AB43" i="2"/>
  <c r="N7" i="6"/>
  <c r="N12" i="6" s="1"/>
  <c r="L7" i="5"/>
  <c r="AA120" i="2" l="1"/>
  <c r="AA122" i="2"/>
  <c r="Z14" i="8" s="1"/>
  <c r="Y25" i="8"/>
  <c r="Y24" i="8"/>
  <c r="AA16" i="8"/>
  <c r="AA19" i="8" s="1"/>
  <c r="AC43" i="2"/>
  <c r="AA15" i="9"/>
  <c r="AA20" i="9" s="1"/>
  <c r="AC44" i="2"/>
  <c r="AB115" i="2"/>
  <c r="AB118" i="2" s="1"/>
  <c r="X18" i="6"/>
  <c r="X19" i="6" s="1"/>
  <c r="X20" i="6" s="1"/>
  <c r="X10" i="4"/>
  <c r="Y9" i="6"/>
  <c r="Y7" i="9"/>
  <c r="Y13" i="9" s="1"/>
  <c r="X6" i="4"/>
  <c r="X7" i="8"/>
  <c r="X10" i="6"/>
  <c r="M7" i="5"/>
  <c r="O7" i="6"/>
  <c r="O12" i="6" s="1"/>
  <c r="Y27" i="8" l="1"/>
  <c r="Y6" i="8" s="1"/>
  <c r="Y23" i="9"/>
  <c r="Y25" i="9"/>
  <c r="Z24" i="8"/>
  <c r="Z25" i="8"/>
  <c r="Z27" i="8" s="1"/>
  <c r="Z6" i="8" s="1"/>
  <c r="AD43" i="2"/>
  <c r="AB16" i="8"/>
  <c r="AB19" i="8" s="1"/>
  <c r="Y7" i="8"/>
  <c r="Y6" i="4"/>
  <c r="Y10" i="6"/>
  <c r="AB122" i="2"/>
  <c r="AA14" i="8" s="1"/>
  <c r="AB120" i="2"/>
  <c r="Z7" i="9"/>
  <c r="Z13" i="9" s="1"/>
  <c r="Z23" i="9" s="1"/>
  <c r="Z25" i="9" s="1"/>
  <c r="Z9" i="6"/>
  <c r="AB15" i="9"/>
  <c r="AB20" i="9" s="1"/>
  <c r="AD44" i="2"/>
  <c r="AC115" i="2"/>
  <c r="AC118" i="2" s="1"/>
  <c r="P7" i="6"/>
  <c r="P12" i="6" s="1"/>
  <c r="N7" i="5"/>
  <c r="AC15" i="9" l="1"/>
  <c r="AC20" i="9" s="1"/>
  <c r="AE44" i="2"/>
  <c r="AD115" i="2"/>
  <c r="AD118" i="2" s="1"/>
  <c r="Z18" i="6"/>
  <c r="Z10" i="4"/>
  <c r="AA7" i="9"/>
  <c r="AA13" i="9" s="1"/>
  <c r="AA9" i="6"/>
  <c r="Z7" i="8"/>
  <c r="Z6" i="4"/>
  <c r="Z10" i="6"/>
  <c r="Y18" i="6"/>
  <c r="Y19" i="6" s="1"/>
  <c r="Y20" i="6" s="1"/>
  <c r="Y10" i="4"/>
  <c r="AE43" i="2"/>
  <c r="AC16" i="8"/>
  <c r="AC19" i="8" s="1"/>
  <c r="AA25" i="8"/>
  <c r="AA24" i="8"/>
  <c r="AA27" i="8" s="1"/>
  <c r="AA6" i="8" s="1"/>
  <c r="AC120" i="2"/>
  <c r="AC122" i="2"/>
  <c r="AB14" i="8" s="1"/>
  <c r="O7" i="5"/>
  <c r="Q7" i="6"/>
  <c r="Q12" i="6" s="1"/>
  <c r="Z19" i="6" l="1"/>
  <c r="Z20" i="6" s="1"/>
  <c r="AA23" i="9"/>
  <c r="AA25" i="9" s="1"/>
  <c r="AD16" i="8"/>
  <c r="AD19" i="8" s="1"/>
  <c r="AF43" i="2"/>
  <c r="AA6" i="4"/>
  <c r="AA7" i="8"/>
  <c r="AA10" i="6"/>
  <c r="AD120" i="2"/>
  <c r="AD122" i="2"/>
  <c r="AC14" i="8" s="1"/>
  <c r="AF44" i="2"/>
  <c r="AD15" i="9"/>
  <c r="AD20" i="9" s="1"/>
  <c r="AE115" i="2"/>
  <c r="AE118" i="2" s="1"/>
  <c r="AB24" i="8"/>
  <c r="AB25" i="8"/>
  <c r="AB27" i="8" s="1"/>
  <c r="AB6" i="8" s="1"/>
  <c r="AB7" i="9"/>
  <c r="AB13" i="9" s="1"/>
  <c r="AB23" i="9" s="1"/>
  <c r="AB25" i="9" s="1"/>
  <c r="AB9" i="6"/>
  <c r="P7" i="5"/>
  <c r="R7" i="6"/>
  <c r="R12" i="6" s="1"/>
  <c r="AE120" i="2" l="1"/>
  <c r="AE122" i="2"/>
  <c r="AD14" i="8" s="1"/>
  <c r="AG43" i="2"/>
  <c r="AF16" i="8" s="1"/>
  <c r="AF19" i="8" s="1"/>
  <c r="AE16" i="8"/>
  <c r="AE19" i="8" s="1"/>
  <c r="AE15" i="9"/>
  <c r="AE20" i="9" s="1"/>
  <c r="AG44" i="2"/>
  <c r="AF115" i="2"/>
  <c r="AF118" i="2" s="1"/>
  <c r="AB6" i="4"/>
  <c r="AB7" i="8"/>
  <c r="AB10" i="6"/>
  <c r="AC24" i="8"/>
  <c r="AC27" i="8" s="1"/>
  <c r="AC6" i="8" s="1"/>
  <c r="AC25" i="8"/>
  <c r="AB18" i="6"/>
  <c r="AB10" i="4"/>
  <c r="AC9" i="6"/>
  <c r="AC7" i="9"/>
  <c r="AC13" i="9" s="1"/>
  <c r="AA10" i="4"/>
  <c r="AA18" i="6"/>
  <c r="AA19" i="6" s="1"/>
  <c r="AA20" i="6" s="1"/>
  <c r="Q7" i="5"/>
  <c r="S7" i="6"/>
  <c r="S12" i="6" s="1"/>
  <c r="AF120" i="2" l="1"/>
  <c r="AF122" i="2"/>
  <c r="AE14" i="8" s="1"/>
  <c r="AC7" i="8"/>
  <c r="AC6" i="4"/>
  <c r="AC10" i="6"/>
  <c r="AF15" i="9"/>
  <c r="AF20" i="9" s="1"/>
  <c r="AG115" i="2"/>
  <c r="AG118" i="2" s="1"/>
  <c r="AB19" i="6"/>
  <c r="AB20" i="6" s="1"/>
  <c r="AD25" i="8"/>
  <c r="AD24" i="8"/>
  <c r="AD27" i="8" s="1"/>
  <c r="AD6" i="8" s="1"/>
  <c r="AC23" i="9"/>
  <c r="AC25" i="9"/>
  <c r="AD9" i="6"/>
  <c r="AD7" i="9"/>
  <c r="AD13" i="9" s="1"/>
  <c r="AD23" i="9" s="1"/>
  <c r="AD25" i="9" s="1"/>
  <c r="T7" i="6"/>
  <c r="T12" i="6" s="1"/>
  <c r="R7" i="5"/>
  <c r="AC18" i="6" l="1"/>
  <c r="AC19" i="6" s="1"/>
  <c r="AC20" i="6" s="1"/>
  <c r="AC10" i="4"/>
  <c r="AD18" i="6"/>
  <c r="AD10" i="4"/>
  <c r="AD7" i="8"/>
  <c r="AD6" i="4"/>
  <c r="AD10" i="6"/>
  <c r="AG120" i="2"/>
  <c r="AG122" i="2"/>
  <c r="AF14" i="8" s="1"/>
  <c r="AE24" i="8"/>
  <c r="AE25" i="8"/>
  <c r="AE7" i="9"/>
  <c r="AE13" i="9" s="1"/>
  <c r="AE23" i="9" s="1"/>
  <c r="AE25" i="9" s="1"/>
  <c r="AE9" i="6"/>
  <c r="U7" i="6"/>
  <c r="U12" i="6" s="1"/>
  <c r="S7" i="5"/>
  <c r="AE27" i="8" l="1"/>
  <c r="AE6" i="8" s="1"/>
  <c r="AD19" i="6"/>
  <c r="AD20" i="6" s="1"/>
  <c r="AE6" i="4"/>
  <c r="AE7" i="8"/>
  <c r="AE10" i="6"/>
  <c r="AF25" i="8"/>
  <c r="AF24" i="8"/>
  <c r="AF27" i="8" s="1"/>
  <c r="AF6" i="8" s="1"/>
  <c r="AE18" i="6"/>
  <c r="AE10" i="4"/>
  <c r="AF7" i="9"/>
  <c r="AF13" i="9" s="1"/>
  <c r="AF9" i="6"/>
  <c r="T7" i="5"/>
  <c r="V7" i="6"/>
  <c r="V12" i="6" s="1"/>
  <c r="AE19" i="6" l="1"/>
  <c r="AE20" i="6" s="1"/>
  <c r="AF6" i="4"/>
  <c r="AF7" i="8"/>
  <c r="AF10" i="6"/>
  <c r="AF25" i="9"/>
  <c r="AF23" i="9"/>
  <c r="U7" i="5"/>
  <c r="W7" i="6"/>
  <c r="W12" i="6" s="1"/>
  <c r="AF10" i="4" l="1"/>
  <c r="AF18" i="6"/>
  <c r="AF19" i="6" s="1"/>
  <c r="AF20" i="6" s="1"/>
  <c r="X7" i="6"/>
  <c r="X12" i="6" s="1"/>
  <c r="V7" i="5"/>
  <c r="W7" i="5" l="1"/>
  <c r="Y7" i="6"/>
  <c r="Y12" i="6" s="1"/>
  <c r="X7" i="5" l="1"/>
  <c r="Z7" i="6"/>
  <c r="Z12" i="6" s="1"/>
  <c r="AA7" i="6" l="1"/>
  <c r="AA12" i="6" s="1"/>
  <c r="Y7" i="5"/>
  <c r="AB7" i="6" l="1"/>
  <c r="AB12" i="6" s="1"/>
  <c r="Z7" i="5"/>
  <c r="AA7" i="5" l="1"/>
  <c r="AC7" i="6"/>
  <c r="AC12" i="6" s="1"/>
  <c r="AD7" i="6" l="1"/>
  <c r="AD12" i="6" s="1"/>
  <c r="AB7" i="5"/>
  <c r="AC7" i="5" l="1"/>
  <c r="AE7" i="6"/>
  <c r="AE12" i="6" s="1"/>
  <c r="AD7" i="5" l="1"/>
  <c r="AF7" i="6"/>
  <c r="AF12" i="6" s="1"/>
  <c r="AE7" i="5"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<sst xmlns="http://schemas.openxmlformats.org/spreadsheetml/2006/main" count="277" uniqueCount="204">
  <si>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</si>
  <si>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</si>
  <si>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</si>
  <si>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</si>
  <si>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</si>
  <si>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</si>
  <si>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</si>
  <si>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</si>
  <si>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</si>
  <si>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</si>
  <si>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</si>
  <si>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</si>
  <si>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</si>
  <si>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</si>
  <si>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</si>
  <si>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</si>
  <si>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</si>
  <si>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</si>
  <si>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</si>
  <si>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</si>
  <si>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</si>
  <si>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</si>
  <si>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</si>
  <si>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</si>
  <si>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</si>
  <si>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</si>
  <si>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</si>
  <si>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</si>
  <si>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</si>
  <si>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</si>
  <si>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</si>
  <si>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</si>
  <si>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</si>
  <si>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</si>
  <si>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</si>
  <si>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</si>
  <si>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</si>
  <si>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</si>
  <si>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</si>
  <si>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</si>
  <si>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</si>
  <si>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</si>
  <si>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</si>
  <si>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</si>
  <si>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</si>
  <si>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</si>
  <si>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</si>
  <si>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</si>
  <si>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</si>
  <si>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</si>
  <si>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</si>
  <si>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</si>
  <si>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</si>
  <si>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</si>
  <si>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</si>
  <si>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</si>
  <si>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</si>
  <si>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</si>
  <si>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</si>
  <si>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</si>
  <si>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</si>
  <si>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</si>
  <si>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</si>
  <si>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</si>
  <si>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</si>
  <si>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</si>
  <si>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</si>
  <si>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</si>
  <si>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</si>
  <si>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</si>
  <si>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</si>
  <si>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</si>
  <si>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</si>
  <si>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</si>
  <si>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</si>
  <si>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</si>
  <si>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</si>
  <si>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</si>
  <si>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</si>
  <si>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</si>
  <si>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</si>
  <si>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</si>
  <si>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</si>
  <si>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</si>
  <si>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</si>
  <si>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</si>
  <si>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</si>
  <si>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</si>
  <si>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</si>
  <si>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</si>
  <si>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</si>
  <si>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</si>
  <si>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</si>
  <si>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</si>
  <si>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</si>
  <si>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</si>
  <si>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</si>
  <si>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</si>
  <si>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</si>
  <si>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</si>
  <si>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</si>
  <si>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</si>
  <si>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</si>
  <si>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</si>
  <si>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</si>
  <si>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</si>
  <si>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</si>
  <si>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</si>
  <si>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</si>
  <si>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</si>
  <si>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</si>
  <si>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</si>
  <si>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</si>
  <si>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</si>
  <si>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</si>
  <si>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</si>
  <si>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</si>
  <si>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</si>
  <si>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</si>
  <si>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</si>
  <si>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</si>
  <si>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</si>
  <si>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</si>
  <si>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</si>
  <si>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</si>
  <si>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</si>
  <si>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</si>
  <si>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</si>
  <si>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</si>
  <si>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</si>
  <si>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</si>
  <si>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</si>
  <si>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</si>
  <si>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</si>
  <si>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</si>
  <si>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</si>
  <si>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</si>
  <si>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</si>
  <si>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</si>
  <si>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</si>
  <si>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</si>
  <si>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</si>
  <si>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</si>
  <si>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</si>
  <si>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</si>
  <si>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</si>
  <si>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</si>
  <si>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</si>
  <si>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</si>
  <si>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</si>
  <si>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</si>
  <si>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</si>
  <si>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</si>
  <si>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</si>
  <si>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</si>
  <si>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</si>
  <si>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</si>
  <si>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</si>
  <si>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</si>
  <si>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</si>
  <si>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</si>
  <si>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</si>
  <si>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</si>
  <si>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</si>
  <si>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</si>
  <si>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</si>
  <si>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</si>
  <si>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</si>
  <si>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</si>
  <si>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</si>
  <si>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</si>
  <si>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</si>
  <si>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</si>
  <si>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</si>
  <si>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</si>
  <si>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</si>
  <si>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</si>
  <si>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</si>
  <si>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</si>
  <si>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</si>
  <si>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</si>
  <si>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</si>
  <si>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</si>
  <si>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</si>
  <si>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</si>
  <si>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</si>
  <si>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</si>
  <si>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</si>
  <si>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</si>
  <si>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</si>
  <si>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</si>
  <si>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</si>
  <si>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</si>
  <si>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</si>
  <si>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</si>
  <si>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</si>
  <si>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Carterton Stand-alone Council</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</si>
  <si>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</si>
  <si>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</si>
  <si>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</si>
  <si>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</si>
  <si>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</si>
  <si>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</si>
  <si>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Not provided. Based on asset value per head of population across New Zealand multiplied the population in Carterton District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</si>
</sst>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5">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169" fontId="0" fillId="0" borderId="9" xfId="0" applyNumberFormat="1" applyFont="1" applyFill="1" applyBorder="1"/>
    <xf numFmtId="0" fontId="18" fillId="0" borderId="0" xfId="0" applyFont="1" applyAlignment="1">
      <alignment horizontal="left" vertical="center" wrapText="1"/>
    </xf>
    <xf numFmtId="0" fontId="0" fillId="0" borderId="0" xfId="0" applyAlignment="1">
      <alignment vertical="center"/>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196</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191827200</v>
      </c>
      <c r="C6" s="12">
        <f ca="1">B6+Depreciation!C18+'Cash Flow'!C13</f>
        <v>190700523.85411274</v>
      </c>
      <c r="D6" s="1">
        <f ca="1">C6+Depreciation!D18</f>
        <v>206638359.15952381</v>
      </c>
      <c r="E6" s="1">
        <f ca="1">D6+Depreciation!E18</f>
        <v>223397408.49990872</v>
      </c>
      <c r="F6" s="1">
        <f ca="1">E6+Depreciation!F18</f>
        <v>241013909.23015302</v>
      </c>
      <c r="G6" s="1">
        <f ca="1">F6+Depreciation!G18</f>
        <v>259525576.97268316</v>
      </c>
      <c r="H6" s="1">
        <f ca="1">G6+Depreciation!H18</f>
        <v>278971663.11953765</v>
      </c>
      <c r="I6" s="1">
        <f ca="1">H6+Depreciation!I18</f>
        <v>299393014.50082493</v>
      </c>
      <c r="J6" s="1">
        <f ca="1">I6+Depreciation!J18</f>
        <v>320832135.29933435</v>
      </c>
      <c r="K6" s="1">
        <f ca="1">J6+Depreciation!K18</f>
        <v>343333251.29395366</v>
      </c>
      <c r="L6" s="1">
        <f ca="1">K6+Depreciation!L18</f>
        <v>366942376.51753616</v>
      </c>
      <c r="M6" s="1">
        <f ca="1">L6+Depreciation!M18</f>
        <v>391707382.41795707</v>
      </c>
      <c r="N6" s="1">
        <f ca="1">M6+Depreciation!N18</f>
        <v>417678069.61430508</v>
      </c>
      <c r="O6" s="1">
        <f ca="1">N6+Depreciation!O18</f>
        <v>444906242.34347749</v>
      </c>
      <c r="P6" s="1">
        <f ca="1">O6+Depreciation!P18</f>
        <v>473445785.69588602</v>
      </c>
      <c r="Q6" s="1">
        <f ca="1">P6+Depreciation!Q18</f>
        <v>503352745.7425431</v>
      </c>
      <c r="R6" s="1">
        <f ca="1">Q6+Depreciation!R18</f>
        <v>534685412.65948778</v>
      </c>
      <c r="S6" s="1">
        <f ca="1">R6+Depreciation!S18</f>
        <v>567504406.95933068</v>
      </c>
      <c r="T6" s="1">
        <f ca="1">S6+Depreciation!T18</f>
        <v>601872768.9436543</v>
      </c>
      <c r="U6" s="1">
        <f ca="1">T6+Depreciation!U18</f>
        <v>637856051.49410236</v>
      </c>
      <c r="V6" s="1">
        <f ca="1">U6+Depreciation!V18</f>
        <v>675522416.32423496</v>
      </c>
      <c r="W6" s="1">
        <f ca="1">V6+Depreciation!W18</f>
        <v>714942733.8186202</v>
      </c>
      <c r="X6" s="1">
        <f ca="1">W6+Depreciation!X18</f>
        <v>756190686.59018421</v>
      </c>
      <c r="Y6" s="1">
        <f ca="1">X6+Depreciation!Y18</f>
        <v>799342876.89155221</v>
      </c>
      <c r="Z6" s="1">
        <f ca="1">Y6+Depreciation!Z18</f>
        <v>844478938.02099347</v>
      </c>
      <c r="AA6" s="1">
        <f ca="1">Z6+Depreciation!AA18</f>
        <v>891681649.86863613</v>
      </c>
      <c r="AB6" s="1">
        <f ca="1">AA6+Depreciation!AB18</f>
        <v>941037058.75384855</v>
      </c>
      <c r="AC6" s="1">
        <f ca="1">AB6+Depreciation!AC18</f>
        <v>992634601.71010327</v>
      </c>
      <c r="AD6" s="1">
        <f ca="1">AC6+Depreciation!AD18</f>
        <v>1046567235.3792484</v>
      </c>
      <c r="AE6" s="1">
        <f ca="1">AD6+Depreciation!AE18</f>
        <v>1102931569.6829219</v>
      </c>
      <c r="AF6" s="1"/>
      <c r="AG6" s="1"/>
      <c r="AH6" s="1"/>
      <c r="AI6" s="1"/>
      <c r="AJ6" s="1"/>
      <c r="AK6" s="1"/>
      <c r="AL6" s="1"/>
      <c r="AM6" s="1"/>
      <c r="AN6" s="1"/>
      <c r="AO6" s="1"/>
      <c r="AP6" s="1"/>
    </row>
    <row r="7" spans="1:42" x14ac:dyDescent="0.35">
      <c r="A7" t="s">
        <v>12</v>
      </c>
      <c r="B7" s="1">
        <f>Depreciation!C12</f>
        <v>98889906.962681189</v>
      </c>
      <c r="C7" s="1">
        <f>Depreciation!D12</f>
        <v>102263009.33847889</v>
      </c>
      <c r="D7" s="1">
        <f>Depreciation!E12</f>
        <v>106055254.2955028</v>
      </c>
      <c r="E7" s="1">
        <f>Depreciation!F12</f>
        <v>110290012.90211853</v>
      </c>
      <c r="F7" s="1">
        <f>Depreciation!G12</f>
        <v>114991722.77306402</v>
      </c>
      <c r="G7" s="1">
        <f>Depreciation!H12</f>
        <v>120185932.39644316</v>
      </c>
      <c r="H7" s="1">
        <f>Depreciation!I12</f>
        <v>125899347.20550387</v>
      </c>
      <c r="I7" s="1">
        <f>Depreciation!J12</f>
        <v>132159877.46147543</v>
      </c>
      <c r="J7" s="1">
        <f>Depreciation!K12</f>
        <v>138996688.01619568</v>
      </c>
      <c r="K7" s="1">
        <f>Depreciation!L12</f>
        <v>146440250.0258024</v>
      </c>
      <c r="L7" s="1">
        <f>Depreciation!M12</f>
        <v>154522394.68940026</v>
      </c>
      <c r="M7" s="1">
        <f>Depreciation!N12</f>
        <v>163276369.08934689</v>
      </c>
      <c r="N7" s="1">
        <f>Depreciation!O12</f>
        <v>172736894.21263307</v>
      </c>
      <c r="O7" s="1">
        <f>Depreciation!P12</f>
        <v>182940225.23576701</v>
      </c>
      <c r="P7" s="1">
        <f>Depreciation!Q12</f>
        <v>193924214.1586127</v>
      </c>
      <c r="Q7" s="1">
        <f>Depreciation!R12</f>
        <v>205728374.87578401</v>
      </c>
      <c r="R7" s="1">
        <f>Depreciation!S12</f>
        <v>218393950.77746081</v>
      </c>
      <c r="S7" s="1">
        <f>Depreciation!T12</f>
        <v>231963984.97487706</v>
      </c>
      <c r="T7" s="1">
        <f>Depreciation!U12</f>
        <v>246483393.24923673</v>
      </c>
      <c r="U7" s="1">
        <f>Depreciation!V12</f>
        <v>261999039.82644609</v>
      </c>
      <c r="V7" s="1">
        <f>Depreciation!W12</f>
        <v>278559816.0838145</v>
      </c>
      <c r="W7" s="1">
        <f>Depreciation!X12</f>
        <v>296216722.29877716</v>
      </c>
      <c r="X7" s="1">
        <f>Depreciation!Y12</f>
        <v>315022952.55373251</v>
      </c>
      <c r="Y7" s="1">
        <f>Depreciation!Z12</f>
        <v>335033982.91527599</v>
      </c>
      <c r="Z7" s="1">
        <f>Depreciation!AA12</f>
        <v>356307663.01044816</v>
      </c>
      <c r="AA7" s="1">
        <f>Depreciation!AB12</f>
        <v>378904311.12711102</v>
      </c>
      <c r="AB7" s="1">
        <f>Depreciation!AC12</f>
        <v>402886812.97022253</v>
      </c>
      <c r="AC7" s="1">
        <f>Depreciation!AD12</f>
        <v>428320724.21060395</v>
      </c>
      <c r="AD7" s="1">
        <f>Depreciation!AE12</f>
        <v>455274376.96779317</v>
      </c>
      <c r="AE7" s="1">
        <f>Depreciation!AF12</f>
        <v>483818990.37375581</v>
      </c>
      <c r="AF7" s="1"/>
      <c r="AG7" s="1"/>
      <c r="AH7" s="1"/>
      <c r="AI7" s="1"/>
      <c r="AJ7" s="1"/>
      <c r="AK7" s="1"/>
      <c r="AL7" s="1"/>
      <c r="AM7" s="1"/>
      <c r="AN7" s="1"/>
      <c r="AO7" s="1"/>
      <c r="AP7" s="1"/>
    </row>
    <row r="8" spans="1:42" x14ac:dyDescent="0.35">
      <c r="A8" t="s">
        <v>190</v>
      </c>
      <c r="B8" s="1">
        <f t="shared" ref="B8:AE8" si="1">B6-B7</f>
        <v>92937293.037318811</v>
      </c>
      <c r="C8" s="1">
        <f t="shared" ca="1" si="1"/>
        <v>88437514.515633851</v>
      </c>
      <c r="D8" s="1">
        <f ca="1">D6-D7</f>
        <v>100583104.86402102</v>
      </c>
      <c r="E8" s="1">
        <f t="shared" ca="1" si="1"/>
        <v>113107395.59779018</v>
      </c>
      <c r="F8" s="1">
        <f t="shared" ca="1" si="1"/>
        <v>126022186.45708901</v>
      </c>
      <c r="G8" s="1">
        <f t="shared" ca="1" si="1"/>
        <v>139339644.57624</v>
      </c>
      <c r="H8" s="1">
        <f t="shared" ca="1" si="1"/>
        <v>153072315.91403377</v>
      </c>
      <c r="I8" s="1">
        <f t="shared" ca="1" si="1"/>
        <v>167233137.0393495</v>
      </c>
      <c r="J8" s="1">
        <f t="shared" ca="1" si="1"/>
        <v>181835447.28313866</v>
      </c>
      <c r="K8" s="1">
        <f t="shared" ca="1" si="1"/>
        <v>196893001.26815125</v>
      </c>
      <c r="L8" s="1">
        <f t="shared" ca="1" si="1"/>
        <v>212419981.82813591</v>
      </c>
      <c r="M8" s="1">
        <f t="shared" ca="1" si="1"/>
        <v>228431013.32861018</v>
      </c>
      <c r="N8" s="1">
        <f t="shared" ca="1" si="1"/>
        <v>244941175.40167201</v>
      </c>
      <c r="O8" s="1">
        <f t="shared" ca="1" si="1"/>
        <v>261966017.10771048</v>
      </c>
      <c r="P8" s="1">
        <f t="shared" ca="1" si="1"/>
        <v>279521571.53727329</v>
      </c>
      <c r="Q8" s="1">
        <f t="shared" ca="1" si="1"/>
        <v>297624370.86675906</v>
      </c>
      <c r="R8" s="1">
        <f t="shared" ca="1" si="1"/>
        <v>316291461.88202697</v>
      </c>
      <c r="S8" s="1">
        <f t="shared" ca="1" si="1"/>
        <v>335540421.98445362</v>
      </c>
      <c r="T8" s="1">
        <f t="shared" ca="1" si="1"/>
        <v>355389375.6944176</v>
      </c>
      <c r="U8" s="1">
        <f t="shared" ca="1" si="1"/>
        <v>375857011.6676563</v>
      </c>
      <c r="V8" s="1">
        <f t="shared" ca="1" si="1"/>
        <v>396962600.24042046</v>
      </c>
      <c r="W8" s="1">
        <f t="shared" ca="1" si="1"/>
        <v>418726011.51984304</v>
      </c>
      <c r="X8" s="1">
        <f t="shared" ca="1" si="1"/>
        <v>441167734.0364517</v>
      </c>
      <c r="Y8" s="1">
        <f t="shared" ca="1" si="1"/>
        <v>464308893.97627622</v>
      </c>
      <c r="Z8" s="1">
        <f t="shared" ca="1" si="1"/>
        <v>488171275.01054531</v>
      </c>
      <c r="AA8" s="1">
        <f t="shared" ca="1" si="1"/>
        <v>512777338.74152511</v>
      </c>
      <c r="AB8" s="1">
        <f t="shared" ca="1" si="1"/>
        <v>538150245.78362608</v>
      </c>
      <c r="AC8" s="1">
        <f t="shared" ca="1" si="1"/>
        <v>564313877.49949932</v>
      </c>
      <c r="AD8" s="1">
        <f t="shared" ca="1" si="1"/>
        <v>591292858.41145515</v>
      </c>
      <c r="AE8" s="1">
        <f t="shared" ca="1" si="1"/>
        <v>619112579.30916607</v>
      </c>
      <c r="AF8" s="1"/>
      <c r="AG8" s="1"/>
      <c r="AH8" s="1"/>
      <c r="AI8" s="1"/>
      <c r="AJ8" s="1"/>
      <c r="AK8" s="1"/>
      <c r="AL8" s="1"/>
      <c r="AM8" s="1"/>
      <c r="AN8" s="1"/>
      <c r="AO8" s="1"/>
      <c r="AP8" s="1"/>
    </row>
    <row r="10" spans="1:42" x14ac:dyDescent="0.35">
      <c r="A10" t="s">
        <v>17</v>
      </c>
      <c r="B10" s="1">
        <f>B8-B11</f>
        <v>88721293.037318811</v>
      </c>
      <c r="C10" s="1">
        <f ca="1">C8-C11</f>
        <v>67943402.599300504</v>
      </c>
      <c r="D10" s="1">
        <f ca="1">D8-D11</f>
        <v>66940631.962530494</v>
      </c>
      <c r="E10" s="1">
        <f t="shared" ref="E10:AE10" ca="1" si="2">E8-E11</f>
        <v>69814642.191666275</v>
      </c>
      <c r="F10" s="1">
        <f t="shared" ca="1" si="2"/>
        <v>75755630.737980619</v>
      </c>
      <c r="G10" s="1">
        <f ca="1">G8-G11</f>
        <v>83065007.829727337</v>
      </c>
      <c r="H10" s="1">
        <f t="shared" ca="1" si="2"/>
        <v>91486994.019167826</v>
      </c>
      <c r="I10" s="1">
        <f t="shared" ca="1" si="2"/>
        <v>100806577.10462436</v>
      </c>
      <c r="J10" s="1">
        <f t="shared" ca="1" si="2"/>
        <v>110946544.72924849</v>
      </c>
      <c r="K10" s="1">
        <f t="shared" ca="1" si="2"/>
        <v>121486094.2333243</v>
      </c>
      <c r="L10" s="1">
        <f t="shared" ca="1" si="2"/>
        <v>132490329.1858982</v>
      </c>
      <c r="M10" s="1">
        <f t="shared" ca="1" si="2"/>
        <v>144032465.80418113</v>
      </c>
      <c r="N10" s="1">
        <f t="shared" ca="1" si="2"/>
        <v>156194607.96967924</v>
      </c>
      <c r="O10" s="1">
        <f t="shared" ca="1" si="2"/>
        <v>169068586.22821212</v>
      </c>
      <c r="P10" s="1">
        <f t="shared" ca="1" si="2"/>
        <v>182756865.63900968</v>
      </c>
      <c r="Q10" s="1">
        <f t="shared" ca="1" si="2"/>
        <v>196947452.74145204</v>
      </c>
      <c r="R10" s="1">
        <f t="shared" ca="1" si="2"/>
        <v>211698461.13658634</v>
      </c>
      <c r="S10" s="1">
        <f t="shared" ca="1" si="2"/>
        <v>227074348.39758974</v>
      </c>
      <c r="T10" s="1">
        <f t="shared" ca="1" si="2"/>
        <v>243146466.78990048</v>
      </c>
      <c r="U10" s="1">
        <f t="shared" ca="1" si="2"/>
        <v>259461128.44724107</v>
      </c>
      <c r="V10" s="1">
        <f t="shared" ca="1" si="2"/>
        <v>276030326.455199</v>
      </c>
      <c r="W10" s="1">
        <f t="shared" ca="1" si="2"/>
        <v>292867764.5335573</v>
      </c>
      <c r="X10" s="1">
        <f t="shared" ca="1" si="2"/>
        <v>309499828.19709921</v>
      </c>
      <c r="Y10" s="1">
        <f t="shared" ca="1" si="2"/>
        <v>325884246.56723768</v>
      </c>
      <c r="Z10" s="1">
        <f t="shared" ca="1" si="2"/>
        <v>341976098.63715178</v>
      </c>
      <c r="AA10" s="1">
        <f t="shared" ca="1" si="2"/>
        <v>357727687.82175899</v>
      </c>
      <c r="AB10" s="1">
        <f t="shared" ca="1" si="2"/>
        <v>373088411.40606624</v>
      </c>
      <c r="AC10" s="1">
        <f t="shared" ca="1" si="2"/>
        <v>388004624.70760304</v>
      </c>
      <c r="AD10" s="1">
        <f t="shared" ca="1" si="2"/>
        <v>402419499.76278746</v>
      </c>
      <c r="AE10" s="1">
        <f t="shared" ca="1" si="2"/>
        <v>416272878.34107411</v>
      </c>
      <c r="AF10" s="1"/>
      <c r="AG10" s="1"/>
      <c r="AH10" s="1"/>
      <c r="AI10" s="1"/>
      <c r="AJ10" s="1"/>
      <c r="AK10" s="1"/>
      <c r="AL10" s="1"/>
      <c r="AM10" s="1"/>
      <c r="AN10" s="1"/>
      <c r="AO10" s="1"/>
    </row>
    <row r="11" spans="1:42" x14ac:dyDescent="0.35">
      <c r="A11" t="s">
        <v>9</v>
      </c>
      <c r="B11" s="1">
        <f>Assumptions!$C$20</f>
        <v>4216000</v>
      </c>
      <c r="C11" s="1">
        <f ca="1">'Debt worksheet'!D5</f>
        <v>20494111.916333355</v>
      </c>
      <c r="D11" s="1">
        <f ca="1">'Debt worksheet'!E5</f>
        <v>33642472.901490524</v>
      </c>
      <c r="E11" s="1">
        <f ca="1">'Debt worksheet'!F5</f>
        <v>43292753.406123899</v>
      </c>
      <c r="F11" s="1">
        <f ca="1">'Debt worksheet'!G5</f>
        <v>50266555.719108388</v>
      </c>
      <c r="G11" s="1">
        <f ca="1">'Debt worksheet'!H5</f>
        <v>56274636.746512666</v>
      </c>
      <c r="H11" s="1">
        <f ca="1">'Debt worksheet'!I5</f>
        <v>61585321.894865945</v>
      </c>
      <c r="I11" s="1">
        <f ca="1">'Debt worksheet'!J5</f>
        <v>66426559.934725136</v>
      </c>
      <c r="J11" s="1">
        <f ca="1">'Debt worksheet'!K5</f>
        <v>70888902.553890169</v>
      </c>
      <c r="K11" s="1">
        <f ca="1">'Debt worksheet'!L5</f>
        <v>75406907.034826949</v>
      </c>
      <c r="L11" s="1">
        <f ca="1">'Debt worksheet'!M5</f>
        <v>79929652.642237708</v>
      </c>
      <c r="M11" s="1">
        <f ca="1">'Debt worksheet'!N5</f>
        <v>84398547.524429053</v>
      </c>
      <c r="N11" s="1">
        <f ca="1">'Debt worksheet'!O5</f>
        <v>88746567.431992754</v>
      </c>
      <c r="O11" s="1">
        <f ca="1">'Debt worksheet'!P5</f>
        <v>92897430.879498363</v>
      </c>
      <c r="P11" s="1">
        <f ca="1">'Debt worksheet'!Q5</f>
        <v>96764705.898263603</v>
      </c>
      <c r="Q11" s="1">
        <f ca="1">'Debt worksheet'!R5</f>
        <v>100676918.12530702</v>
      </c>
      <c r="R11" s="1">
        <f ca="1">'Debt worksheet'!S5</f>
        <v>104593000.74544063</v>
      </c>
      <c r="S11" s="1">
        <f ca="1">'Debt worksheet'!T5</f>
        <v>108466073.58686389</v>
      </c>
      <c r="T11" s="1">
        <f ca="1">'Debt worksheet'!U5</f>
        <v>112242908.90451711</v>
      </c>
      <c r="U11" s="1">
        <f ca="1">'Debt worksheet'!V5</f>
        <v>116395883.22041522</v>
      </c>
      <c r="V11" s="1">
        <f ca="1">'Debt worksheet'!W5</f>
        <v>120932273.78522144</v>
      </c>
      <c r="W11" s="1">
        <f ca="1">'Debt worksheet'!X5</f>
        <v>125858246.98628572</v>
      </c>
      <c r="X11" s="1">
        <f ca="1">'Debt worksheet'!Y5</f>
        <v>131667905.83935249</v>
      </c>
      <c r="Y11" s="1">
        <f ca="1">'Debt worksheet'!Z5</f>
        <v>138424647.40903854</v>
      </c>
      <c r="Z11" s="1">
        <f ca="1">'Debt worksheet'!AA5</f>
        <v>146195176.37339354</v>
      </c>
      <c r="AA11" s="1">
        <f ca="1">'Debt worksheet'!AB5</f>
        <v>155049650.91976616</v>
      </c>
      <c r="AB11" s="1">
        <f ca="1">'Debt worksheet'!AC5</f>
        <v>165061834.37755984</v>
      </c>
      <c r="AC11" s="1">
        <f ca="1">'Debt worksheet'!AD5</f>
        <v>176309252.79189628</v>
      </c>
      <c r="AD11" s="1">
        <f ca="1">'Debt worksheet'!AE5</f>
        <v>188873358.64866769</v>
      </c>
      <c r="AE11" s="1">
        <f ca="1">'Debt worksheet'!AF5</f>
        <v>202839700.96809199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-4102983.1085684579</v>
      </c>
      <c r="D5" s="4">
        <f ca="1">'Profit and Loss'!D9</f>
        <v>-583628.05554379104</v>
      </c>
      <c r="E5" s="4">
        <f ca="1">'Profit and Loss'!E9</f>
        <v>3316523.878727627</v>
      </c>
      <c r="F5" s="4">
        <f ca="1">'Profit and Loss'!F9</f>
        <v>6407939.8106440604</v>
      </c>
      <c r="G5" s="4">
        <f ca="1">'Profit and Loss'!G9</f>
        <v>7801876.8441803921</v>
      </c>
      <c r="H5" s="4">
        <f ca="1">'Profit and Loss'!H9</f>
        <v>8941191.3751220945</v>
      </c>
      <c r="I5" s="4">
        <f ca="1">'Profit and Loss'!I9</f>
        <v>9866698.5323673952</v>
      </c>
      <c r="J5" s="4">
        <f ca="1">'Profit and Loss'!J9</f>
        <v>10716247.923372801</v>
      </c>
      <c r="K5" s="4">
        <f ca="1">'Profit and Loss'!K9</f>
        <v>11146300.958962275</v>
      </c>
      <c r="L5" s="4">
        <f ca="1">'Profit and Loss'!L9</f>
        <v>11642817.606565058</v>
      </c>
      <c r="M5" s="4">
        <f ca="1">'Profit and Loss'!M9</f>
        <v>12213966.354631694</v>
      </c>
      <c r="N5" s="4">
        <f ca="1">'Profit and Loss'!N9</f>
        <v>12868692.888837678</v>
      </c>
      <c r="O5" s="4">
        <f ca="1">'Profit and Loss'!O9</f>
        <v>13616784.15838062</v>
      </c>
      <c r="P5" s="4">
        <f ca="1">'Profit and Loss'!P9</f>
        <v>14468937.310509346</v>
      </c>
      <c r="Q5" s="4">
        <f ca="1">'Profit and Loss'!Q9</f>
        <v>15010758.896767948</v>
      </c>
      <c r="R5" s="4">
        <f ca="1">'Profit and Loss'!R9</f>
        <v>15612423.579639738</v>
      </c>
      <c r="S5" s="4">
        <f ca="1">'Profit and Loss'!S9</f>
        <v>16280345.556742825</v>
      </c>
      <c r="T5" s="4">
        <f ca="1">'Profit and Loss'!T9</f>
        <v>17021492.469254173</v>
      </c>
      <c r="U5" s="4">
        <f ca="1">'Profit and Loss'!U9</f>
        <v>17310899.960190326</v>
      </c>
      <c r="V5" s="4">
        <f ca="1">'Profit and Loss'!V9</f>
        <v>17614327.688117038</v>
      </c>
      <c r="W5" s="4">
        <f ca="1">'Profit and Loss'!W9</f>
        <v>17933568.035952546</v>
      </c>
      <c r="X5" s="4">
        <f ca="1">'Profit and Loss'!X9</f>
        <v>17781387.703534581</v>
      </c>
      <c r="Y5" s="4">
        <f ca="1">'Profit and Loss'!Y9</f>
        <v>17589218.476726539</v>
      </c>
      <c r="Z5" s="4">
        <f ca="1">'Profit and Loss'!Z9</f>
        <v>17354501.803542793</v>
      </c>
      <c r="AA5" s="4">
        <f ca="1">'Profit and Loss'!AA9</f>
        <v>17074557.206097897</v>
      </c>
      <c r="AB5" s="4">
        <f ca="1">'Profit and Loss'!AB9</f>
        <v>16746577.310755884</v>
      </c>
      <c r="AC5" s="4">
        <f ca="1">'Profit and Loss'!AC9</f>
        <v>16367622.698806727</v>
      </c>
      <c r="AD5" s="4">
        <f ca="1">'Profit and Loss'!AD9</f>
        <v>15934616.571992341</v>
      </c>
      <c r="AE5" s="4">
        <f ca="1">'Profit and Loss'!AE9</f>
        <v>15444339.227059878</v>
      </c>
      <c r="AF5" s="4">
        <f ca="1">'Profit and Loss'!AF9</f>
        <v>14893422.333372843</v>
      </c>
      <c r="AG5" s="4"/>
      <c r="AH5" s="4"/>
      <c r="AI5" s="4"/>
      <c r="AJ5" s="4"/>
      <c r="AK5" s="4"/>
      <c r="AL5" s="4"/>
      <c r="AM5" s="4"/>
      <c r="AN5" s="4"/>
      <c r="AO5" s="4"/>
      <c r="AP5" s="4"/>
    </row>
    <row r="6" spans="1:42" x14ac:dyDescent="0.35">
      <c r="A6" t="s">
        <v>21</v>
      </c>
      <c r="C6" s="4">
        <f>Depreciation!C8+Depreciation!C9</f>
        <v>2976306.9626811836</v>
      </c>
      <c r="D6" s="4">
        <f>Depreciation!D8+Depreciation!D9</f>
        <v>3373102.375797702</v>
      </c>
      <c r="E6" s="4">
        <f>Depreciation!E8+Depreciation!E9</f>
        <v>3792244.9570238921</v>
      </c>
      <c r="F6" s="4">
        <f>Depreciation!F8+Depreciation!F9</f>
        <v>4234758.6066157427</v>
      </c>
      <c r="G6" s="4">
        <f>Depreciation!G8+Depreciation!G9</f>
        <v>4701709.8709454779</v>
      </c>
      <c r="H6" s="4">
        <f>Depreciation!H8+Depreciation!H9</f>
        <v>5194209.623379142</v>
      </c>
      <c r="I6" s="4">
        <f>Depreciation!I8+Depreciation!I9</f>
        <v>5713414.8090607114</v>
      </c>
      <c r="J6" s="4">
        <f>Depreciation!J8+Depreciation!J9</f>
        <v>6260530.255971564</v>
      </c>
      <c r="K6" s="4">
        <f>Depreciation!K8+Depreciation!K9</f>
        <v>6836810.5547202313</v>
      </c>
      <c r="L6" s="4">
        <f>Depreciation!L8+Depreciation!L9</f>
        <v>7443562.0096066976</v>
      </c>
      <c r="M6" s="4">
        <f>Depreciation!M8+Depreciation!M9</f>
        <v>8082144.6635978641</v>
      </c>
      <c r="N6" s="4">
        <f>Depreciation!N8+Depreciation!N9</f>
        <v>8753974.39994663</v>
      </c>
      <c r="O6" s="4">
        <f>Depreciation!O8+Depreciation!O9</f>
        <v>9460525.1232861932</v>
      </c>
      <c r="P6" s="4">
        <f>Depreciation!P8+Depreciation!P9</f>
        <v>10203331.023133939</v>
      </c>
      <c r="Q6" s="4">
        <f>Depreciation!Q8+Depreciation!Q9</f>
        <v>10983988.922845695</v>
      </c>
      <c r="R6" s="4">
        <f>Depreciation!R8+Depreciation!R9</f>
        <v>11804160.717171323</v>
      </c>
      <c r="S6" s="4">
        <f>Depreciation!S8+Depreciation!S9</f>
        <v>12665575.901676791</v>
      </c>
      <c r="T6" s="4">
        <f>Depreciation!T8+Depreciation!T9</f>
        <v>13570034.197416224</v>
      </c>
      <c r="U6" s="4">
        <f>Depreciation!U8+Depreciation!U9</f>
        <v>14519408.274359666</v>
      </c>
      <c r="V6" s="4">
        <f>Depreciation!V8+Depreciation!V9</f>
        <v>15515646.577209331</v>
      </c>
      <c r="W6" s="4">
        <f>Depreciation!W8+Depreciation!W9</f>
        <v>16560776.257368438</v>
      </c>
      <c r="X6" s="4">
        <f>Depreciation!X8+Depreciation!X9</f>
        <v>17656906.214962654</v>
      </c>
      <c r="Y6" s="4">
        <f>Depreciation!Y8+Depreciation!Y9</f>
        <v>18806230.254955363</v>
      </c>
      <c r="Z6" s="4">
        <f>Depreciation!Z8+Depreciation!Z9</f>
        <v>20011030.36154348</v>
      </c>
      <c r="AA6" s="4">
        <f>Depreciation!AA8+Depreciation!AA9</f>
        <v>21273680.095172167</v>
      </c>
      <c r="AB6" s="4">
        <f>Depreciation!AB8+Depreciation!AB9</f>
        <v>22596648.11666286</v>
      </c>
      <c r="AC6" s="4">
        <f>Depreciation!AC8+Depreciation!AC9</f>
        <v>23982501.843111504</v>
      </c>
      <c r="AD6" s="4">
        <f>Depreciation!AD8+Depreciation!AD9</f>
        <v>25433911.240381405</v>
      </c>
      <c r="AE6" s="4">
        <f>Depreciation!AE8+Depreciation!AE9</f>
        <v>26953652.757189229</v>
      </c>
      <c r="AF6" s="4">
        <f>Depreciation!AF8+Depreciation!AF9</f>
        <v>28544613.405962598</v>
      </c>
      <c r="AG6" s="4"/>
      <c r="AH6" s="4"/>
      <c r="AI6" s="4"/>
      <c r="AJ6" s="4"/>
      <c r="AK6" s="4"/>
      <c r="AL6" s="4"/>
      <c r="AM6" s="4"/>
      <c r="AN6" s="4"/>
      <c r="AO6" s="4"/>
      <c r="AP6" s="4"/>
    </row>
    <row r="7" spans="1:42" x14ac:dyDescent="0.35">
      <c r="A7" t="s">
        <v>23</v>
      </c>
      <c r="C7" s="4">
        <f ca="1">C6+C5</f>
        <v>-1126676.1458872743</v>
      </c>
      <c r="D7" s="4">
        <f ca="1">D6+D5</f>
        <v>2789474.320253911</v>
      </c>
      <c r="E7" s="4">
        <f t="shared" ref="E7:AF7" ca="1" si="1">E6+E5</f>
        <v>7108768.8357515186</v>
      </c>
      <c r="F7" s="4">
        <f t="shared" ca="1" si="1"/>
        <v>10642698.417259803</v>
      </c>
      <c r="G7" s="4">
        <f ca="1">G6+G5</f>
        <v>12503586.71512587</v>
      </c>
      <c r="H7" s="4">
        <f t="shared" ca="1" si="1"/>
        <v>14135400.998501237</v>
      </c>
      <c r="I7" s="4">
        <f t="shared" ca="1" si="1"/>
        <v>15580113.341428107</v>
      </c>
      <c r="J7" s="4">
        <f t="shared" ca="1" si="1"/>
        <v>16976778.179344364</v>
      </c>
      <c r="K7" s="4">
        <f t="shared" ca="1" si="1"/>
        <v>17983111.513682507</v>
      </c>
      <c r="L7" s="4">
        <f t="shared" ca="1" si="1"/>
        <v>19086379.616171755</v>
      </c>
      <c r="M7" s="4">
        <f t="shared" ca="1" si="1"/>
        <v>20296111.018229559</v>
      </c>
      <c r="N7" s="4">
        <f t="shared" ca="1" si="1"/>
        <v>21622667.28878431</v>
      </c>
      <c r="O7" s="4">
        <f t="shared" ca="1" si="1"/>
        <v>23077309.281666815</v>
      </c>
      <c r="P7" s="4">
        <f t="shared" ca="1" si="1"/>
        <v>24672268.333643287</v>
      </c>
      <c r="Q7" s="4">
        <f t="shared" ca="1" si="1"/>
        <v>25994747.819613643</v>
      </c>
      <c r="R7" s="4">
        <f t="shared" ca="1" si="1"/>
        <v>27416584.296811059</v>
      </c>
      <c r="S7" s="4">
        <f t="shared" ca="1" si="1"/>
        <v>28945921.458419614</v>
      </c>
      <c r="T7" s="4">
        <f t="shared" ca="1" si="1"/>
        <v>30591526.666670397</v>
      </c>
      <c r="U7" s="4">
        <f t="shared" ca="1" si="1"/>
        <v>31830308.234549992</v>
      </c>
      <c r="V7" s="4">
        <f t="shared" ca="1" si="1"/>
        <v>33129974.26532637</v>
      </c>
      <c r="W7" s="4">
        <f t="shared" ca="1" si="1"/>
        <v>34494344.293320984</v>
      </c>
      <c r="X7" s="4">
        <f t="shared" ca="1" si="1"/>
        <v>35438293.918497235</v>
      </c>
      <c r="Y7" s="4">
        <f t="shared" ca="1" si="1"/>
        <v>36395448.731681898</v>
      </c>
      <c r="Z7" s="4">
        <f t="shared" ca="1" si="1"/>
        <v>37365532.165086269</v>
      </c>
      <c r="AA7" s="4">
        <f t="shared" ca="1" si="1"/>
        <v>38348237.301270068</v>
      </c>
      <c r="AB7" s="4">
        <f t="shared" ca="1" si="1"/>
        <v>39343225.427418746</v>
      </c>
      <c r="AC7" s="4">
        <f t="shared" ca="1" si="1"/>
        <v>40350124.541918233</v>
      </c>
      <c r="AD7" s="4">
        <f t="shared" ca="1" si="1"/>
        <v>41368527.812373742</v>
      </c>
      <c r="AE7" s="4">
        <f t="shared" ca="1" si="1"/>
        <v>42397991.984249108</v>
      </c>
      <c r="AF7" s="4">
        <f t="shared" ca="1" si="1"/>
        <v>43438035.73933544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15151435.770446081</v>
      </c>
      <c r="D10" s="9">
        <f>Investment!D25</f>
        <v>15937835.305411076</v>
      </c>
      <c r="E10" s="9">
        <f>Investment!E25</f>
        <v>16759049.340384893</v>
      </c>
      <c r="F10" s="9">
        <f>Investment!F25</f>
        <v>17616500.730244294</v>
      </c>
      <c r="G10" s="9">
        <f>Investment!G25</f>
        <v>18511667.742530145</v>
      </c>
      <c r="H10" s="9">
        <f>Investment!H25</f>
        <v>19446086.146854516</v>
      </c>
      <c r="I10" s="9">
        <f>Investment!I25</f>
        <v>20421351.381287299</v>
      </c>
      <c r="J10" s="9">
        <f>Investment!J25</f>
        <v>21439120.7985094</v>
      </c>
      <c r="K10" s="9">
        <f>Investment!K25</f>
        <v>22501115.994619284</v>
      </c>
      <c r="L10" s="9">
        <f>Investment!L25</f>
        <v>23609125.223582517</v>
      </c>
      <c r="M10" s="9">
        <f>Investment!M25</f>
        <v>24765005.900420912</v>
      </c>
      <c r="N10" s="9">
        <f>Investment!N25</f>
        <v>25970687.196348011</v>
      </c>
      <c r="O10" s="9">
        <f>Investment!O25</f>
        <v>27228172.72917242</v>
      </c>
      <c r="P10" s="9">
        <f>Investment!P25</f>
        <v>28539543.352408525</v>
      </c>
      <c r="Q10" s="9">
        <f>Investment!Q25</f>
        <v>29906960.046657063</v>
      </c>
      <c r="R10" s="9">
        <f>Investment!R25</f>
        <v>31332666.91694466</v>
      </c>
      <c r="S10" s="9">
        <f>Investment!S25</f>
        <v>32818994.299842875</v>
      </c>
      <c r="T10" s="9">
        <f>Investment!T25</f>
        <v>34368361.984323621</v>
      </c>
      <c r="U10" s="9">
        <f>Investment!U25</f>
        <v>35983282.550448097</v>
      </c>
      <c r="V10" s="9">
        <f>Investment!V25</f>
        <v>37666364.830132596</v>
      </c>
      <c r="W10" s="9">
        <f>Investment!W25</f>
        <v>39420317.49438525</v>
      </c>
      <c r="X10" s="9">
        <f>Investment!X25</f>
        <v>41247952.771563999</v>
      </c>
      <c r="Y10" s="9">
        <f>Investment!Y25</f>
        <v>43152190.301367946</v>
      </c>
      <c r="Z10" s="9">
        <f>Investment!Z25</f>
        <v>45136061.129441269</v>
      </c>
      <c r="AA10" s="9">
        <f>Investment!AA25</f>
        <v>47202711.84764269</v>
      </c>
      <c r="AB10" s="9">
        <f>Investment!AB25</f>
        <v>49355408.885212436</v>
      </c>
      <c r="AC10" s="9">
        <f>Investment!AC25</f>
        <v>51597542.956254661</v>
      </c>
      <c r="AD10" s="9">
        <f>Investment!AD25</f>
        <v>53932633.669145152</v>
      </c>
      <c r="AE10" s="9">
        <f>Investment!AE25</f>
        <v>56364334.303673416</v>
      </c>
      <c r="AF10" s="9">
        <f>Investment!AF25</f>
        <v>58896436.761934273</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-16278111.916333355</v>
      </c>
      <c r="D12" s="1">
        <f t="shared" ref="D12:AF12" ca="1" si="2">D7-D9-D10</f>
        <v>-13148360.985157166</v>
      </c>
      <c r="E12" s="1">
        <f ca="1">E7-E9-E10</f>
        <v>-9650280.5046333745</v>
      </c>
      <c r="F12" s="1">
        <f t="shared" ca="1" si="2"/>
        <v>-6973802.3129844908</v>
      </c>
      <c r="G12" s="1">
        <f ca="1">G7-G9-G10</f>
        <v>-6008081.0274042748</v>
      </c>
      <c r="H12" s="1">
        <f t="shared" ca="1" si="2"/>
        <v>-5310685.1483532786</v>
      </c>
      <c r="I12" s="1">
        <f t="shared" ca="1" si="2"/>
        <v>-4841238.0398591924</v>
      </c>
      <c r="J12" s="1">
        <f t="shared" ca="1" si="2"/>
        <v>-4462342.6191650368</v>
      </c>
      <c r="K12" s="1">
        <f t="shared" ca="1" si="2"/>
        <v>-4518004.4809367768</v>
      </c>
      <c r="L12" s="1">
        <f t="shared" ca="1" si="2"/>
        <v>-4522745.6074107625</v>
      </c>
      <c r="M12" s="1">
        <f t="shared" ca="1" si="2"/>
        <v>-4468894.8821913525</v>
      </c>
      <c r="N12" s="1">
        <f t="shared" ca="1" si="2"/>
        <v>-4348019.9075637013</v>
      </c>
      <c r="O12" s="1">
        <f t="shared" ca="1" si="2"/>
        <v>-4150863.4475056045</v>
      </c>
      <c r="P12" s="1">
        <f t="shared" ca="1" si="2"/>
        <v>-3867275.0187652372</v>
      </c>
      <c r="Q12" s="1">
        <f t="shared" ca="1" si="2"/>
        <v>-3912212.2270434201</v>
      </c>
      <c r="R12" s="1">
        <f t="shared" ca="1" si="2"/>
        <v>-3916082.6201336011</v>
      </c>
      <c r="S12" s="1">
        <f t="shared" ca="1" si="2"/>
        <v>-3873072.8414232619</v>
      </c>
      <c r="T12" s="1">
        <f t="shared" ca="1" si="2"/>
        <v>-3776835.3176532239</v>
      </c>
      <c r="U12" s="1">
        <f t="shared" ca="1" si="2"/>
        <v>-4152974.3158981055</v>
      </c>
      <c r="V12" s="1">
        <f t="shared" ca="1" si="2"/>
        <v>-4536390.5648062266</v>
      </c>
      <c r="W12" s="1">
        <f t="shared" ca="1" si="2"/>
        <v>-4925973.2010642663</v>
      </c>
      <c r="X12" s="1">
        <f t="shared" ca="1" si="2"/>
        <v>-5809658.8530667648</v>
      </c>
      <c r="Y12" s="1">
        <f t="shared" ca="1" si="2"/>
        <v>-6756741.5696860477</v>
      </c>
      <c r="Z12" s="1">
        <f t="shared" ca="1" si="2"/>
        <v>-7770528.9643549994</v>
      </c>
      <c r="AA12" s="1">
        <f t="shared" ca="1" si="2"/>
        <v>-8854474.5463726223</v>
      </c>
      <c r="AB12" s="1">
        <f t="shared" ca="1" si="2"/>
        <v>-10012183.45779369</v>
      </c>
      <c r="AC12" s="1">
        <f t="shared" ca="1" si="2"/>
        <v>-11247418.414336428</v>
      </c>
      <c r="AD12" s="1">
        <f t="shared" ca="1" si="2"/>
        <v>-12564105.85677141</v>
      </c>
      <c r="AE12" s="1">
        <f t="shared" ca="1" si="2"/>
        <v>-13966342.319424309</v>
      </c>
      <c r="AF12" s="1">
        <f t="shared" ca="1" si="2"/>
        <v>-15458401.022598833</v>
      </c>
      <c r="AG12" s="1"/>
      <c r="AH12" s="1"/>
      <c r="AI12" s="1"/>
      <c r="AJ12" s="1"/>
      <c r="AK12" s="1"/>
      <c r="AL12" s="1"/>
      <c r="AM12" s="1"/>
      <c r="AN12" s="1"/>
      <c r="AO12" s="1"/>
      <c r="AP12" s="1"/>
    </row>
    <row r="13" spans="1:42" x14ac:dyDescent="0.35">
      <c r="A13" t="s">
        <v>19</v>
      </c>
      <c r="C13" s="1">
        <f ca="1">C12</f>
        <v>-16278111.916333355</v>
      </c>
      <c r="D13" s="1">
        <f ca="1">D12</f>
        <v>-13148360.985157166</v>
      </c>
      <c r="E13" s="1">
        <f ca="1">E12</f>
        <v>-9650280.5046333745</v>
      </c>
      <c r="F13" s="1">
        <f t="shared" ref="F13:AF13" ca="1" si="3">F12</f>
        <v>-6973802.3129844908</v>
      </c>
      <c r="G13" s="1">
        <f ca="1">G12</f>
        <v>-6008081.0274042748</v>
      </c>
      <c r="H13" s="1">
        <f t="shared" ca="1" si="3"/>
        <v>-5310685.1483532786</v>
      </c>
      <c r="I13" s="1">
        <f t="shared" ca="1" si="3"/>
        <v>-4841238.0398591924</v>
      </c>
      <c r="J13" s="1">
        <f t="shared" ca="1" si="3"/>
        <v>-4462342.6191650368</v>
      </c>
      <c r="K13" s="1">
        <f t="shared" ca="1" si="3"/>
        <v>-4518004.4809367768</v>
      </c>
      <c r="L13" s="1">
        <f t="shared" ca="1" si="3"/>
        <v>-4522745.6074107625</v>
      </c>
      <c r="M13" s="1">
        <f t="shared" ca="1" si="3"/>
        <v>-4468894.8821913525</v>
      </c>
      <c r="N13" s="1">
        <f t="shared" ca="1" si="3"/>
        <v>-4348019.9075637013</v>
      </c>
      <c r="O13" s="1">
        <f t="shared" ca="1" si="3"/>
        <v>-4150863.4475056045</v>
      </c>
      <c r="P13" s="1">
        <f t="shared" ca="1" si="3"/>
        <v>-3867275.0187652372</v>
      </c>
      <c r="Q13" s="1">
        <f t="shared" ca="1" si="3"/>
        <v>-3912212.2270434201</v>
      </c>
      <c r="R13" s="1">
        <f t="shared" ca="1" si="3"/>
        <v>-3916082.6201336011</v>
      </c>
      <c r="S13" s="1">
        <f t="shared" ca="1" si="3"/>
        <v>-3873072.8414232619</v>
      </c>
      <c r="T13" s="1">
        <f t="shared" ca="1" si="3"/>
        <v>-3776835.3176532239</v>
      </c>
      <c r="U13" s="1">
        <f t="shared" ca="1" si="3"/>
        <v>-4152974.3158981055</v>
      </c>
      <c r="V13" s="1">
        <f t="shared" ca="1" si="3"/>
        <v>-4536390.5648062266</v>
      </c>
      <c r="W13" s="1">
        <f t="shared" ca="1" si="3"/>
        <v>-4925973.2010642663</v>
      </c>
      <c r="X13" s="1">
        <f t="shared" ca="1" si="3"/>
        <v>-5809658.8530667648</v>
      </c>
      <c r="Y13" s="1">
        <f t="shared" ca="1" si="3"/>
        <v>-6756741.5696860477</v>
      </c>
      <c r="Z13" s="1">
        <f t="shared" ca="1" si="3"/>
        <v>-7770528.9643549994</v>
      </c>
      <c r="AA13" s="1">
        <f t="shared" ca="1" si="3"/>
        <v>-8854474.5463726223</v>
      </c>
      <c r="AB13" s="1">
        <f t="shared" ca="1" si="3"/>
        <v>-10012183.45779369</v>
      </c>
      <c r="AC13" s="1">
        <f t="shared" ca="1" si="3"/>
        <v>-11247418.414336428</v>
      </c>
      <c r="AD13" s="1">
        <f t="shared" ca="1" si="3"/>
        <v>-12564105.85677141</v>
      </c>
      <c r="AE13" s="1">
        <f t="shared" ca="1" si="3"/>
        <v>-13966342.319424309</v>
      </c>
      <c r="AF13" s="1">
        <f t="shared" ca="1" si="3"/>
        <v>-15458401.022598833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191827200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95913600</v>
      </c>
      <c r="D7" s="9">
        <f>C12</f>
        <v>98889906.962681189</v>
      </c>
      <c r="E7" s="9">
        <f>D12</f>
        <v>102263009.33847889</v>
      </c>
      <c r="F7" s="9">
        <f t="shared" ref="F7:H7" si="1">E12</f>
        <v>106055254.2955028</v>
      </c>
      <c r="G7" s="9">
        <f t="shared" si="1"/>
        <v>110290012.90211853</v>
      </c>
      <c r="H7" s="9">
        <f t="shared" si="1"/>
        <v>114991722.77306402</v>
      </c>
      <c r="I7" s="9">
        <f t="shared" ref="I7" si="2">H12</f>
        <v>120185932.39644316</v>
      </c>
      <c r="J7" s="9">
        <f t="shared" ref="J7" si="3">I12</f>
        <v>125899347.20550387</v>
      </c>
      <c r="K7" s="9">
        <f t="shared" ref="K7" si="4">J12</f>
        <v>132159877.46147543</v>
      </c>
      <c r="L7" s="9">
        <f t="shared" ref="L7" si="5">K12</f>
        <v>138996688.01619568</v>
      </c>
      <c r="M7" s="9">
        <f t="shared" ref="M7" si="6">L12</f>
        <v>146440250.0258024</v>
      </c>
      <c r="N7" s="9">
        <f t="shared" ref="N7" si="7">M12</f>
        <v>154522394.68940026</v>
      </c>
      <c r="O7" s="9">
        <f t="shared" ref="O7" si="8">N12</f>
        <v>163276369.08934689</v>
      </c>
      <c r="P7" s="9">
        <f t="shared" ref="P7" si="9">O12</f>
        <v>172736894.21263307</v>
      </c>
      <c r="Q7" s="9">
        <f t="shared" ref="Q7" si="10">P12</f>
        <v>182940225.23576701</v>
      </c>
      <c r="R7" s="9">
        <f t="shared" ref="R7" si="11">Q12</f>
        <v>193924214.1586127</v>
      </c>
      <c r="S7" s="9">
        <f t="shared" ref="S7" si="12">R12</f>
        <v>205728374.87578401</v>
      </c>
      <c r="T7" s="9">
        <f t="shared" ref="T7" si="13">S12</f>
        <v>218393950.77746081</v>
      </c>
      <c r="U7" s="9">
        <f t="shared" ref="U7" si="14">T12</f>
        <v>231963984.97487706</v>
      </c>
      <c r="V7" s="9">
        <f t="shared" ref="V7" si="15">U12</f>
        <v>246483393.24923673</v>
      </c>
      <c r="W7" s="9">
        <f t="shared" ref="W7" si="16">V12</f>
        <v>261999039.82644609</v>
      </c>
      <c r="X7" s="9">
        <f t="shared" ref="X7" si="17">W12</f>
        <v>278559816.0838145</v>
      </c>
      <c r="Y7" s="9">
        <f t="shared" ref="Y7" si="18">X12</f>
        <v>296216722.29877716</v>
      </c>
      <c r="Z7" s="9">
        <f t="shared" ref="Z7" si="19">Y12</f>
        <v>315022952.55373251</v>
      </c>
      <c r="AA7" s="9">
        <f t="shared" ref="AA7" si="20">Z12</f>
        <v>335033982.91527599</v>
      </c>
      <c r="AB7" s="9">
        <f t="shared" ref="AB7" si="21">AA12</f>
        <v>356307663.01044816</v>
      </c>
      <c r="AC7" s="9">
        <f t="shared" ref="AC7" si="22">AB12</f>
        <v>378904311.12711102</v>
      </c>
      <c r="AD7" s="9">
        <f t="shared" ref="AD7" si="23">AC12</f>
        <v>402886812.97022253</v>
      </c>
      <c r="AE7" s="9">
        <f t="shared" ref="AE7" si="24">AD12</f>
        <v>428320724.21060395</v>
      </c>
      <c r="AF7" s="9">
        <f t="shared" ref="AF7" si="25">AE12</f>
        <v>455274376.96779317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2684103.8712948258</v>
      </c>
      <c r="D8" s="9">
        <f>Assumptions!E111*Assumptions!E11</f>
        <v>2769995.1951762601</v>
      </c>
      <c r="E8" s="9">
        <f>Assumptions!F111*Assumptions!F11</f>
        <v>2858635.0414219</v>
      </c>
      <c r="F8" s="9">
        <f>Assumptions!G111*Assumptions!G11</f>
        <v>2950111.362747401</v>
      </c>
      <c r="G8" s="9">
        <f>Assumptions!H111*Assumptions!H11</f>
        <v>3044514.9263553182</v>
      </c>
      <c r="H8" s="9">
        <f>Assumptions!I111*Assumptions!I11</f>
        <v>3141939.4039986879</v>
      </c>
      <c r="I8" s="9">
        <f>Assumptions!J111*Assumptions!J11</f>
        <v>3242481.4649266456</v>
      </c>
      <c r="J8" s="9">
        <f>Assumptions!K111*Assumptions!K11</f>
        <v>3346240.8718042988</v>
      </c>
      <c r="K8" s="9">
        <f>Assumptions!L111*Assumptions!L11</f>
        <v>3453320.5797020365</v>
      </c>
      <c r="L8" s="9">
        <f>Assumptions!M111*Assumptions!M11</f>
        <v>3563826.8382525011</v>
      </c>
      <c r="M8" s="9">
        <f>Assumptions!N111*Assumptions!N11</f>
        <v>3677869.297076581</v>
      </c>
      <c r="N8" s="9">
        <f>Assumptions!O111*Assumptions!O11</f>
        <v>3795561.1145830317</v>
      </c>
      <c r="O8" s="9">
        <f>Assumptions!P111*Assumptions!P11</f>
        <v>3917019.0702496893</v>
      </c>
      <c r="P8" s="9">
        <f>Assumptions!Q111*Assumptions!Q11</f>
        <v>4042363.6804976785</v>
      </c>
      <c r="Q8" s="9">
        <f>Assumptions!R111*Assumptions!R11</f>
        <v>4171719.3182736035</v>
      </c>
      <c r="R8" s="9">
        <f>Assumptions!S111*Assumptions!S11</f>
        <v>4305214.3364583598</v>
      </c>
      <c r="S8" s="9">
        <f>Assumptions!T111*Assumptions!T11</f>
        <v>4442981.1952250283</v>
      </c>
      <c r="T8" s="9">
        <f>Assumptions!U111*Assumptions!U11</f>
        <v>4585156.5934722284</v>
      </c>
      <c r="U8" s="9">
        <f>Assumptions!V111*Assumptions!V11</f>
        <v>4731881.6044633389</v>
      </c>
      <c r="V8" s="9">
        <f>Assumptions!W111*Assumptions!W11</f>
        <v>4883301.8158061663</v>
      </c>
      <c r="W8" s="9">
        <f>Assumptions!X111*Assumptions!X11</f>
        <v>5039567.4739119643</v>
      </c>
      <c r="X8" s="9">
        <f>Assumptions!Y111*Assumptions!Y11</f>
        <v>5200833.6330771465</v>
      </c>
      <c r="Y8" s="9">
        <f>Assumptions!Z111*Assumptions!Z11</f>
        <v>5367260.3093356146</v>
      </c>
      <c r="Z8" s="9">
        <f>Assumptions!AA111*Assumptions!AA11</f>
        <v>5539012.6392343538</v>
      </c>
      <c r="AA8" s="9">
        <f>Assumptions!AB111*Assumptions!AB11</f>
        <v>5716261.0436898554</v>
      </c>
      <c r="AB8" s="9">
        <f>Assumptions!AC111*Assumptions!AC11</f>
        <v>5899181.3970879288</v>
      </c>
      <c r="AC8" s="9">
        <f>Assumptions!AD111*Assumptions!AD11</f>
        <v>6087955.2017947426</v>
      </c>
      <c r="AD8" s="9">
        <f>Assumptions!AE111*Assumptions!AE11</f>
        <v>6282769.7682521753</v>
      </c>
      <c r="AE8" s="9">
        <f>Assumptions!AF111*Assumptions!AF11</f>
        <v>6483818.4008362442</v>
      </c>
      <c r="AF8" s="9">
        <f>Assumptions!AG111*Assumptions!AG11</f>
        <v>6691300.5896630036</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292203.09138635756</v>
      </c>
      <c r="D9" s="9">
        <f>Assumptions!E120*Assumptions!E11</f>
        <v>603107.18062144204</v>
      </c>
      <c r="E9" s="9">
        <f>Assumptions!F120*Assumptions!F11</f>
        <v>933609.91560199205</v>
      </c>
      <c r="F9" s="9">
        <f>Assumptions!G120*Assumptions!G11</f>
        <v>1284647.2438683412</v>
      </c>
      <c r="G9" s="9">
        <f>Assumptions!H120*Assumptions!H11</f>
        <v>1657194.9445901602</v>
      </c>
      <c r="H9" s="9">
        <f>Assumptions!I120*Assumptions!I11</f>
        <v>2052270.2193804539</v>
      </c>
      <c r="I9" s="9">
        <f>Assumptions!J120*Assumptions!J11</f>
        <v>2470933.3441340663</v>
      </c>
      <c r="J9" s="9">
        <f>Assumptions!K120*Assumptions!K11</f>
        <v>2914289.3841672651</v>
      </c>
      <c r="K9" s="9">
        <f>Assumptions!L120*Assumptions!L11</f>
        <v>3383489.9750181949</v>
      </c>
      <c r="L9" s="9">
        <f>Assumptions!M120*Assumptions!M11</f>
        <v>3879735.1713541965</v>
      </c>
      <c r="M9" s="9">
        <f>Assumptions!N120*Assumptions!N11</f>
        <v>4404275.3665212831</v>
      </c>
      <c r="N9" s="9">
        <f>Assumptions!O120*Assumptions!O11</f>
        <v>4958413.2853635978</v>
      </c>
      <c r="O9" s="9">
        <f>Assumptions!P120*Assumptions!P11</f>
        <v>5543506.0530365035</v>
      </c>
      <c r="P9" s="9">
        <f>Assumptions!Q120*Assumptions!Q11</f>
        <v>6160967.3426362602</v>
      </c>
      <c r="Q9" s="9">
        <f>Assumptions!R120*Assumptions!R11</f>
        <v>6812269.6045720922</v>
      </c>
      <c r="R9" s="9">
        <f>Assumptions!S120*Assumptions!S11</f>
        <v>7498946.3807129618</v>
      </c>
      <c r="S9" s="9">
        <f>Assumptions!T120*Assumptions!T11</f>
        <v>8222594.7064517625</v>
      </c>
      <c r="T9" s="9">
        <f>Assumptions!U120*Assumptions!U11</f>
        <v>8984877.6039439943</v>
      </c>
      <c r="U9" s="9">
        <f>Assumptions!V120*Assumptions!V11</f>
        <v>9787526.669896327</v>
      </c>
      <c r="V9" s="9">
        <f>Assumptions!W120*Assumptions!W11</f>
        <v>10632344.761403166</v>
      </c>
      <c r="W9" s="9">
        <f>Assumptions!X120*Assumptions!X11</f>
        <v>11521208.783456473</v>
      </c>
      <c r="X9" s="9">
        <f>Assumptions!Y120*Assumptions!Y11</f>
        <v>12456072.581885509</v>
      </c>
      <c r="Y9" s="9">
        <f>Assumptions!Z120*Assumptions!Z11</f>
        <v>13438969.945619747</v>
      </c>
      <c r="Z9" s="9">
        <f>Assumptions!AA120*Assumptions!AA11</f>
        <v>14472017.722309126</v>
      </c>
      <c r="AA9" s="9">
        <f>Assumptions!AB120*Assumptions!AB11</f>
        <v>15557419.051482312</v>
      </c>
      <c r="AB9" s="9">
        <f>Assumptions!AC120*Assumptions!AC11</f>
        <v>16697466.71957493</v>
      </c>
      <c r="AC9" s="9">
        <f>Assumptions!AD120*Assumptions!AD11</f>
        <v>17894546.64131676</v>
      </c>
      <c r="AD9" s="9">
        <f>Assumptions!AE120*Assumptions!AE11</f>
        <v>19151141.472129229</v>
      </c>
      <c r="AE9" s="9">
        <f>Assumptions!AF120*Assumptions!AF11</f>
        <v>20469834.356352985</v>
      </c>
      <c r="AF9" s="9">
        <f>Assumptions!AG120*Assumptions!AG11</f>
        <v>21853312.816299595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2976306.9626811836</v>
      </c>
      <c r="D10" s="9">
        <f>SUM($C$8:D9)</f>
        <v>6349409.3384788856</v>
      </c>
      <c r="E10" s="9">
        <f>SUM($C$8:E9)</f>
        <v>10141654.295502778</v>
      </c>
      <c r="F10" s="9">
        <f>SUM($C$8:F9)</f>
        <v>14376412.902118521</v>
      </c>
      <c r="G10" s="9">
        <f>SUM($C$8:G9)</f>
        <v>19078122.773063995</v>
      </c>
      <c r="H10" s="9">
        <f>SUM($C$8:H9)</f>
        <v>24272332.396443136</v>
      </c>
      <c r="I10" s="9">
        <f>SUM($C$8:I9)</f>
        <v>29985747.205503847</v>
      </c>
      <c r="J10" s="9">
        <f>SUM($C$8:J9)</f>
        <v>36246277.461475417</v>
      </c>
      <c r="K10" s="9">
        <f>SUM($C$8:K9)</f>
        <v>43083088.016195647</v>
      </c>
      <c r="L10" s="9">
        <f>SUM($C$8:L9)</f>
        <v>50526650.025802344</v>
      </c>
      <c r="M10" s="9">
        <f>SUM($C$8:M9)</f>
        <v>58608794.689400211</v>
      </c>
      <c r="N10" s="9">
        <f>SUM($C$8:N9)</f>
        <v>67362769.089346841</v>
      </c>
      <c r="O10" s="9">
        <f>SUM($C$8:O9)</f>
        <v>76823294.212633044</v>
      </c>
      <c r="P10" s="9">
        <f>SUM($C$8:P9)</f>
        <v>87026625.235766977</v>
      </c>
      <c r="Q10" s="9">
        <f>SUM($C$8:Q9)</f>
        <v>98010614.158612669</v>
      </c>
      <c r="R10" s="9">
        <f>SUM($C$8:R9)</f>
        <v>109814774.87578398</v>
      </c>
      <c r="S10" s="9">
        <f>SUM($C$8:S9)</f>
        <v>122480350.77746077</v>
      </c>
      <c r="T10" s="9">
        <f>SUM($C$8:T9)</f>
        <v>136050384.97487697</v>
      </c>
      <c r="U10" s="9">
        <f>SUM($C$8:U9)</f>
        <v>150569793.24923664</v>
      </c>
      <c r="V10" s="9">
        <f>SUM($C$8:V9)</f>
        <v>166085439.82644603</v>
      </c>
      <c r="W10" s="9">
        <f>SUM($C$8:W9)</f>
        <v>182646216.08381447</v>
      </c>
      <c r="X10" s="9">
        <f>SUM($C$8:X9)</f>
        <v>200303122.29877713</v>
      </c>
      <c r="Y10" s="9">
        <f>SUM($C$8:Y9)</f>
        <v>219109352.55373251</v>
      </c>
      <c r="Z10" s="9">
        <f>SUM($C$8:Z9)</f>
        <v>239120382.91527593</v>
      </c>
      <c r="AA10" s="9">
        <f>SUM($C$8:AA9)</f>
        <v>260394063.01044816</v>
      </c>
      <c r="AB10" s="9">
        <f>SUM($C$8:AB9)</f>
        <v>282990711.12711102</v>
      </c>
      <c r="AC10" s="9">
        <f>SUM($C$8:AC9)</f>
        <v>306973212.97022247</v>
      </c>
      <c r="AD10" s="9">
        <f>SUM($C$8:AD9)</f>
        <v>332407124.21060389</v>
      </c>
      <c r="AE10" s="9">
        <f>SUM($C$8:AE9)</f>
        <v>359360776.96779317</v>
      </c>
      <c r="AF10" s="9">
        <f>SUM($C$8:AF9)</f>
        <v>387905390.37375575</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98889906.962681189</v>
      </c>
      <c r="D12" s="9">
        <f>D7+D8+D9</f>
        <v>102263009.33847889</v>
      </c>
      <c r="E12" s="9">
        <f>E7+E8+E9</f>
        <v>106055254.2955028</v>
      </c>
      <c r="F12" s="9">
        <f t="shared" ref="F12:H12" si="26">F7+F8+F9</f>
        <v>110290012.90211853</v>
      </c>
      <c r="G12" s="9">
        <f t="shared" si="26"/>
        <v>114991722.77306402</v>
      </c>
      <c r="H12" s="9">
        <f t="shared" si="26"/>
        <v>120185932.39644316</v>
      </c>
      <c r="I12" s="9">
        <f t="shared" ref="I12:AF12" si="27">I7+I8+I9</f>
        <v>125899347.20550387</v>
      </c>
      <c r="J12" s="9">
        <f t="shared" si="27"/>
        <v>132159877.46147543</v>
      </c>
      <c r="K12" s="9">
        <f t="shared" si="27"/>
        <v>138996688.01619568</v>
      </c>
      <c r="L12" s="9">
        <f t="shared" si="27"/>
        <v>146440250.0258024</v>
      </c>
      <c r="M12" s="9">
        <f t="shared" si="27"/>
        <v>154522394.68940026</v>
      </c>
      <c r="N12" s="9">
        <f t="shared" si="27"/>
        <v>163276369.08934689</v>
      </c>
      <c r="O12" s="9">
        <f t="shared" si="27"/>
        <v>172736894.21263307</v>
      </c>
      <c r="P12" s="9">
        <f t="shared" si="27"/>
        <v>182940225.23576701</v>
      </c>
      <c r="Q12" s="9">
        <f t="shared" si="27"/>
        <v>193924214.1586127</v>
      </c>
      <c r="R12" s="9">
        <f t="shared" si="27"/>
        <v>205728374.87578401</v>
      </c>
      <c r="S12" s="9">
        <f t="shared" si="27"/>
        <v>218393950.77746081</v>
      </c>
      <c r="T12" s="9">
        <f t="shared" si="27"/>
        <v>231963984.97487706</v>
      </c>
      <c r="U12" s="9">
        <f t="shared" si="27"/>
        <v>246483393.24923673</v>
      </c>
      <c r="V12" s="9">
        <f t="shared" si="27"/>
        <v>261999039.82644609</v>
      </c>
      <c r="W12" s="9">
        <f t="shared" si="27"/>
        <v>278559816.0838145</v>
      </c>
      <c r="X12" s="9">
        <f t="shared" si="27"/>
        <v>296216722.29877716</v>
      </c>
      <c r="Y12" s="9">
        <f t="shared" si="27"/>
        <v>315022952.55373251</v>
      </c>
      <c r="Z12" s="9">
        <f t="shared" si="27"/>
        <v>335033982.91527599</v>
      </c>
      <c r="AA12" s="9">
        <f t="shared" si="27"/>
        <v>356307663.01044816</v>
      </c>
      <c r="AB12" s="9">
        <f t="shared" si="27"/>
        <v>378904311.12711102</v>
      </c>
      <c r="AC12" s="9">
        <f t="shared" si="27"/>
        <v>402886812.97022253</v>
      </c>
      <c r="AD12" s="9">
        <f t="shared" si="27"/>
        <v>428320724.21060395</v>
      </c>
      <c r="AE12" s="9">
        <f t="shared" si="27"/>
        <v>455274376.96779317</v>
      </c>
      <c r="AF12" s="9">
        <f t="shared" si="27"/>
        <v>483818990.37375581</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15151435.770446081</v>
      </c>
      <c r="D18" s="9">
        <f>Investment!D25</f>
        <v>15937835.305411076</v>
      </c>
      <c r="E18" s="9">
        <f>Investment!E25</f>
        <v>16759049.340384893</v>
      </c>
      <c r="F18" s="9">
        <f>Investment!F25</f>
        <v>17616500.730244294</v>
      </c>
      <c r="G18" s="9">
        <f>Investment!G25</f>
        <v>18511667.742530145</v>
      </c>
      <c r="H18" s="9">
        <f>Investment!H25</f>
        <v>19446086.146854516</v>
      </c>
      <c r="I18" s="9">
        <f>Investment!I25</f>
        <v>20421351.381287299</v>
      </c>
      <c r="J18" s="9">
        <f>Investment!J25</f>
        <v>21439120.7985094</v>
      </c>
      <c r="K18" s="9">
        <f>Investment!K25</f>
        <v>22501115.994619284</v>
      </c>
      <c r="L18" s="9">
        <f>Investment!L25</f>
        <v>23609125.223582517</v>
      </c>
      <c r="M18" s="9">
        <f>Investment!M25</f>
        <v>24765005.900420912</v>
      </c>
      <c r="N18" s="9">
        <f>Investment!N25</f>
        <v>25970687.196348011</v>
      </c>
      <c r="O18" s="9">
        <f>Investment!O25</f>
        <v>27228172.72917242</v>
      </c>
      <c r="P18" s="9">
        <f>Investment!P25</f>
        <v>28539543.352408525</v>
      </c>
      <c r="Q18" s="9">
        <f>Investment!Q25</f>
        <v>29906960.046657063</v>
      </c>
      <c r="R18" s="9">
        <f>Investment!R25</f>
        <v>31332666.91694466</v>
      </c>
      <c r="S18" s="9">
        <f>Investment!S25</f>
        <v>32818994.299842875</v>
      </c>
      <c r="T18" s="9">
        <f>Investment!T25</f>
        <v>34368361.984323621</v>
      </c>
      <c r="U18" s="9">
        <f>Investment!U25</f>
        <v>35983282.550448097</v>
      </c>
      <c r="V18" s="9">
        <f>Investment!V25</f>
        <v>37666364.830132596</v>
      </c>
      <c r="W18" s="9">
        <f>Investment!W25</f>
        <v>39420317.49438525</v>
      </c>
      <c r="X18" s="9">
        <f>Investment!X25</f>
        <v>41247952.771563999</v>
      </c>
      <c r="Y18" s="9">
        <f>Investment!Y25</f>
        <v>43152190.301367946</v>
      </c>
      <c r="Z18" s="9">
        <f>Investment!Z25</f>
        <v>45136061.129441269</v>
      </c>
      <c r="AA18" s="9">
        <f>Investment!AA25</f>
        <v>47202711.84764269</v>
      </c>
      <c r="AB18" s="9">
        <f>Investment!AB25</f>
        <v>49355408.885212436</v>
      </c>
      <c r="AC18" s="9">
        <f>Investment!AC25</f>
        <v>51597542.956254661</v>
      </c>
      <c r="AD18" s="9">
        <f>Investment!AD25</f>
        <v>53932633.669145152</v>
      </c>
      <c r="AE18" s="9">
        <f>Investment!AE25</f>
        <v>56364334.303673416</v>
      </c>
      <c r="AF18" s="9">
        <f>Investment!AF25</f>
        <v>58896436.761934273</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111065035.77044608</v>
      </c>
      <c r="D19" s="9">
        <f>D18+C20</f>
        <v>124026564.11317596</v>
      </c>
      <c r="E19" s="9">
        <f>E18+D20</f>
        <v>137412511.07776314</v>
      </c>
      <c r="F19" s="9">
        <f t="shared" ref="F19:AF19" si="28">F18+E20</f>
        <v>151236766.85098356</v>
      </c>
      <c r="G19" s="9">
        <f t="shared" si="28"/>
        <v>165513675.98689795</v>
      </c>
      <c r="H19" s="9">
        <f t="shared" si="28"/>
        <v>180258052.26280698</v>
      </c>
      <c r="I19" s="9">
        <f t="shared" si="28"/>
        <v>195485194.02071512</v>
      </c>
      <c r="J19" s="9">
        <f t="shared" si="28"/>
        <v>211210900.01016378</v>
      </c>
      <c r="K19" s="9">
        <f t="shared" si="28"/>
        <v>227451485.74881151</v>
      </c>
      <c r="L19" s="9">
        <f t="shared" si="28"/>
        <v>244223800.41767377</v>
      </c>
      <c r="M19" s="9">
        <f t="shared" si="28"/>
        <v>261545244.30848795</v>
      </c>
      <c r="N19" s="9">
        <f t="shared" si="28"/>
        <v>279433786.84123814</v>
      </c>
      <c r="O19" s="9">
        <f t="shared" si="28"/>
        <v>297907985.17046392</v>
      </c>
      <c r="P19" s="9">
        <f t="shared" si="28"/>
        <v>316987003.39958626</v>
      </c>
      <c r="Q19" s="9">
        <f t="shared" si="28"/>
        <v>336690632.42310935</v>
      </c>
      <c r="R19" s="9">
        <f t="shared" si="28"/>
        <v>357039310.41720831</v>
      </c>
      <c r="S19" s="9">
        <f t="shared" si="28"/>
        <v>378054143.99987984</v>
      </c>
      <c r="T19" s="9">
        <f t="shared" si="28"/>
        <v>399756930.08252668</v>
      </c>
      <c r="U19" s="9">
        <f t="shared" si="28"/>
        <v>422170178.43555856</v>
      </c>
      <c r="V19" s="9">
        <f t="shared" si="28"/>
        <v>445317134.99133152</v>
      </c>
      <c r="W19" s="9">
        <f t="shared" si="28"/>
        <v>469221805.90850747</v>
      </c>
      <c r="X19" s="9">
        <f t="shared" si="28"/>
        <v>493908982.42270309</v>
      </c>
      <c r="Y19" s="9">
        <f t="shared" si="28"/>
        <v>519404266.50910836</v>
      </c>
      <c r="Z19" s="9">
        <f t="shared" si="28"/>
        <v>545734097.38359427</v>
      </c>
      <c r="AA19" s="9">
        <f t="shared" si="28"/>
        <v>572925778.86969352</v>
      </c>
      <c r="AB19" s="9">
        <f t="shared" si="28"/>
        <v>601007507.65973377</v>
      </c>
      <c r="AC19" s="9">
        <f t="shared" si="28"/>
        <v>630008402.49932551</v>
      </c>
      <c r="AD19" s="9">
        <f t="shared" si="28"/>
        <v>659958534.32535911</v>
      </c>
      <c r="AE19" s="9">
        <f t="shared" si="28"/>
        <v>690888957.38865113</v>
      </c>
      <c r="AF19" s="9">
        <f t="shared" si="28"/>
        <v>722831741.39339614</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108088728.80776489</v>
      </c>
      <c r="D20" s="9">
        <f>D19-D8-D9</f>
        <v>120653461.73737825</v>
      </c>
      <c r="E20" s="9">
        <f t="shared" ref="E20:AF20" si="29">E19-E8-E9</f>
        <v>133620266.12073925</v>
      </c>
      <c r="F20" s="9">
        <f t="shared" si="29"/>
        <v>147002008.24436781</v>
      </c>
      <c r="G20" s="9">
        <f t="shared" si="29"/>
        <v>160811966.11595246</v>
      </c>
      <c r="H20" s="9">
        <f t="shared" si="29"/>
        <v>175063842.63942781</v>
      </c>
      <c r="I20" s="9">
        <f t="shared" si="29"/>
        <v>189771779.21165439</v>
      </c>
      <c r="J20" s="9">
        <f t="shared" si="29"/>
        <v>204950369.75419223</v>
      </c>
      <c r="K20" s="9">
        <f t="shared" si="29"/>
        <v>220614675.19409126</v>
      </c>
      <c r="L20" s="9">
        <f t="shared" si="29"/>
        <v>236780238.40806705</v>
      </c>
      <c r="M20" s="9">
        <f t="shared" si="29"/>
        <v>253463099.6448901</v>
      </c>
      <c r="N20" s="9">
        <f t="shared" si="29"/>
        <v>270679812.44129151</v>
      </c>
      <c r="O20" s="9">
        <f t="shared" si="29"/>
        <v>288447460.04717773</v>
      </c>
      <c r="P20" s="9">
        <f t="shared" si="29"/>
        <v>306783672.37645227</v>
      </c>
      <c r="Q20" s="9">
        <f t="shared" si="29"/>
        <v>325706643.50026363</v>
      </c>
      <c r="R20" s="9">
        <f t="shared" si="29"/>
        <v>345235149.70003694</v>
      </c>
      <c r="S20" s="9">
        <f t="shared" si="29"/>
        <v>365388568.09820306</v>
      </c>
      <c r="T20" s="9">
        <f t="shared" si="29"/>
        <v>386186895.88511044</v>
      </c>
      <c r="U20" s="9">
        <f t="shared" si="29"/>
        <v>407650770.16119891</v>
      </c>
      <c r="V20" s="9">
        <f t="shared" si="29"/>
        <v>429801488.41412222</v>
      </c>
      <c r="W20" s="9">
        <f t="shared" si="29"/>
        <v>452661029.65113908</v>
      </c>
      <c r="X20" s="9">
        <f t="shared" si="29"/>
        <v>476252076.20774043</v>
      </c>
      <c r="Y20" s="9">
        <f t="shared" si="29"/>
        <v>500598036.25415301</v>
      </c>
      <c r="Z20" s="9">
        <f t="shared" si="29"/>
        <v>525723067.02205086</v>
      </c>
      <c r="AA20" s="9">
        <f t="shared" si="29"/>
        <v>551652098.77452135</v>
      </c>
      <c r="AB20" s="9">
        <f t="shared" si="29"/>
        <v>578410859.54307091</v>
      </c>
      <c r="AC20" s="9">
        <f t="shared" si="29"/>
        <v>606025900.656214</v>
      </c>
      <c r="AD20" s="9">
        <f t="shared" si="29"/>
        <v>634524623.08497775</v>
      </c>
      <c r="AE20" s="9">
        <f t="shared" si="29"/>
        <v>663935304.63146186</v>
      </c>
      <c r="AF20" s="9">
        <f t="shared" si="29"/>
        <v>694287127.98743355</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4216000</v>
      </c>
      <c r="D22" s="9">
        <f ca="1">'Balance Sheet'!C11</f>
        <v>20494111.916333355</v>
      </c>
      <c r="E22" s="9">
        <f ca="1">'Balance Sheet'!D11</f>
        <v>33642472.901490524</v>
      </c>
      <c r="F22" s="9">
        <f ca="1">'Balance Sheet'!E11</f>
        <v>43292753.406123899</v>
      </c>
      <c r="G22" s="9">
        <f ca="1">'Balance Sheet'!F11</f>
        <v>50266555.719108388</v>
      </c>
      <c r="H22" s="9">
        <f ca="1">'Balance Sheet'!G11</f>
        <v>56274636.746512666</v>
      </c>
      <c r="I22" s="9">
        <f ca="1">'Balance Sheet'!H11</f>
        <v>61585321.894865945</v>
      </c>
      <c r="J22" s="9">
        <f ca="1">'Balance Sheet'!I11</f>
        <v>66426559.934725136</v>
      </c>
      <c r="K22" s="9">
        <f ca="1">'Balance Sheet'!J11</f>
        <v>70888902.553890169</v>
      </c>
      <c r="L22" s="9">
        <f ca="1">'Balance Sheet'!K11</f>
        <v>75406907.034826949</v>
      </c>
      <c r="M22" s="9">
        <f ca="1">'Balance Sheet'!L11</f>
        <v>79929652.642237708</v>
      </c>
      <c r="N22" s="9">
        <f ca="1">'Balance Sheet'!M11</f>
        <v>84398547.524429053</v>
      </c>
      <c r="O22" s="9">
        <f ca="1">'Balance Sheet'!N11</f>
        <v>88746567.431992754</v>
      </c>
      <c r="P22" s="9">
        <f ca="1">'Balance Sheet'!O11</f>
        <v>92897430.879498363</v>
      </c>
      <c r="Q22" s="9">
        <f ca="1">'Balance Sheet'!P11</f>
        <v>96764705.898263603</v>
      </c>
      <c r="R22" s="9">
        <f ca="1">'Balance Sheet'!Q11</f>
        <v>100676918.12530702</v>
      </c>
      <c r="S22" s="9">
        <f ca="1">'Balance Sheet'!R11</f>
        <v>104593000.74544063</v>
      </c>
      <c r="T22" s="9">
        <f ca="1">'Balance Sheet'!S11</f>
        <v>108466073.58686389</v>
      </c>
      <c r="U22" s="9">
        <f ca="1">'Balance Sheet'!T11</f>
        <v>112242908.90451711</v>
      </c>
      <c r="V22" s="9">
        <f ca="1">'Balance Sheet'!U11</f>
        <v>116395883.22041522</v>
      </c>
      <c r="W22" s="9">
        <f ca="1">'Balance Sheet'!V11</f>
        <v>120932273.78522144</v>
      </c>
      <c r="X22" s="9">
        <f ca="1">'Balance Sheet'!W11</f>
        <v>125858246.98628572</v>
      </c>
      <c r="Y22" s="9">
        <f ca="1">'Balance Sheet'!X11</f>
        <v>131667905.83935249</v>
      </c>
      <c r="Z22" s="9">
        <f ca="1">'Balance Sheet'!Y11</f>
        <v>138424647.40903854</v>
      </c>
      <c r="AA22" s="9">
        <f ca="1">'Balance Sheet'!Z11</f>
        <v>146195176.37339354</v>
      </c>
      <c r="AB22" s="9">
        <f ca="1">'Balance Sheet'!AA11</f>
        <v>155049650.91976616</v>
      </c>
      <c r="AC22" s="9">
        <f ca="1">'Balance Sheet'!AB11</f>
        <v>165061834.37755984</v>
      </c>
      <c r="AD22" s="9">
        <f ca="1">'Balance Sheet'!AC11</f>
        <v>176309252.79189628</v>
      </c>
      <c r="AE22" s="9">
        <f ca="1">'Balance Sheet'!AD11</f>
        <v>188873358.64866769</v>
      </c>
      <c r="AF22" s="9">
        <f ca="1">'Balance Sheet'!AE11</f>
        <v>202839700.96809199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103872728.80776489</v>
      </c>
      <c r="D23" s="9">
        <f t="shared" ref="D23:AF23" ca="1" si="30">D20-D22</f>
        <v>100159349.82104489</v>
      </c>
      <c r="E23" s="9">
        <f t="shared" ca="1" si="30"/>
        <v>99977793.219248727</v>
      </c>
      <c r="F23" s="9">
        <f t="shared" ca="1" si="30"/>
        <v>103709254.8382439</v>
      </c>
      <c r="G23" s="9">
        <f t="shared" ca="1" si="30"/>
        <v>110545410.39684407</v>
      </c>
      <c r="H23" s="9">
        <f t="shared" ca="1" si="30"/>
        <v>118789205.89291514</v>
      </c>
      <c r="I23" s="9">
        <f t="shared" ca="1" si="30"/>
        <v>128186457.31678845</v>
      </c>
      <c r="J23" s="9">
        <f ca="1">J20-J22</f>
        <v>138523809.8194671</v>
      </c>
      <c r="K23" s="9">
        <f t="shared" ca="1" si="30"/>
        <v>149725772.64020109</v>
      </c>
      <c r="L23" s="9">
        <f t="shared" ca="1" si="30"/>
        <v>161373331.37324011</v>
      </c>
      <c r="M23" s="9">
        <f t="shared" ca="1" si="30"/>
        <v>173533447.00265241</v>
      </c>
      <c r="N23" s="9">
        <f t="shared" ca="1" si="30"/>
        <v>186281264.91686246</v>
      </c>
      <c r="O23" s="9">
        <f t="shared" ca="1" si="30"/>
        <v>199700892.61518496</v>
      </c>
      <c r="P23" s="9">
        <f t="shared" ca="1" si="30"/>
        <v>213886241.4969539</v>
      </c>
      <c r="Q23" s="9">
        <f t="shared" ca="1" si="30"/>
        <v>228941937.60200003</v>
      </c>
      <c r="R23" s="9">
        <f t="shared" ca="1" si="30"/>
        <v>244558231.57472992</v>
      </c>
      <c r="S23" s="9">
        <f t="shared" ca="1" si="30"/>
        <v>260795567.35276243</v>
      </c>
      <c r="T23" s="9">
        <f t="shared" ca="1" si="30"/>
        <v>277720822.29824656</v>
      </c>
      <c r="U23" s="9">
        <f t="shared" ca="1" si="30"/>
        <v>295407861.2566818</v>
      </c>
      <c r="V23" s="9">
        <f t="shared" ca="1" si="30"/>
        <v>313405605.19370699</v>
      </c>
      <c r="W23" s="9">
        <f t="shared" ca="1" si="30"/>
        <v>331728755.86591762</v>
      </c>
      <c r="X23" s="9">
        <f t="shared" ca="1" si="30"/>
        <v>350393829.22145474</v>
      </c>
      <c r="Y23" s="9">
        <f t="shared" ca="1" si="30"/>
        <v>368930130.41480052</v>
      </c>
      <c r="Z23" s="9">
        <f t="shared" ca="1" si="30"/>
        <v>387298419.61301231</v>
      </c>
      <c r="AA23" s="9">
        <f t="shared" ca="1" si="30"/>
        <v>405456922.40112782</v>
      </c>
      <c r="AB23" s="9">
        <f t="shared" ca="1" si="30"/>
        <v>423361208.62330472</v>
      </c>
      <c r="AC23" s="9">
        <f t="shared" ca="1" si="30"/>
        <v>440964066.27865416</v>
      </c>
      <c r="AD23" s="9">
        <f t="shared" ca="1" si="30"/>
        <v>458215370.29308146</v>
      </c>
      <c r="AE23" s="9">
        <f t="shared" ca="1" si="30"/>
        <v>475061945.98279417</v>
      </c>
      <c r="AF23" s="9">
        <f t="shared" ca="1" si="30"/>
        <v>491447427.01934159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4216000</v>
      </c>
      <c r="D5" s="1">
        <f ca="1">C5+C6</f>
        <v>20494111.916333355</v>
      </c>
      <c r="E5" s="1">
        <f t="shared" ref="E5:AF5" ca="1" si="1">D5+D6</f>
        <v>33642472.901490524</v>
      </c>
      <c r="F5" s="1">
        <f t="shared" ca="1" si="1"/>
        <v>43292753.406123899</v>
      </c>
      <c r="G5" s="1">
        <f t="shared" ca="1" si="1"/>
        <v>50266555.719108388</v>
      </c>
      <c r="H5" s="1">
        <f t="shared" ca="1" si="1"/>
        <v>56274636.746512666</v>
      </c>
      <c r="I5" s="1">
        <f t="shared" ca="1" si="1"/>
        <v>61585321.894865945</v>
      </c>
      <c r="J5" s="1">
        <f t="shared" ca="1" si="1"/>
        <v>66426559.934725136</v>
      </c>
      <c r="K5" s="1">
        <f t="shared" ca="1" si="1"/>
        <v>70888902.553890169</v>
      </c>
      <c r="L5" s="1">
        <f t="shared" ca="1" si="1"/>
        <v>75406907.034826949</v>
      </c>
      <c r="M5" s="1">
        <f t="shared" ca="1" si="1"/>
        <v>79929652.642237708</v>
      </c>
      <c r="N5" s="1">
        <f t="shared" ca="1" si="1"/>
        <v>84398547.524429053</v>
      </c>
      <c r="O5" s="1">
        <f t="shared" ca="1" si="1"/>
        <v>88746567.431992754</v>
      </c>
      <c r="P5" s="1">
        <f t="shared" ca="1" si="1"/>
        <v>92897430.879498363</v>
      </c>
      <c r="Q5" s="1">
        <f t="shared" ca="1" si="1"/>
        <v>96764705.898263603</v>
      </c>
      <c r="R5" s="1">
        <f t="shared" ca="1" si="1"/>
        <v>100676918.12530702</v>
      </c>
      <c r="S5" s="1">
        <f t="shared" ca="1" si="1"/>
        <v>104593000.74544063</v>
      </c>
      <c r="T5" s="1">
        <f t="shared" ca="1" si="1"/>
        <v>108466073.58686389</v>
      </c>
      <c r="U5" s="1">
        <f t="shared" ca="1" si="1"/>
        <v>112242908.90451711</v>
      </c>
      <c r="V5" s="1">
        <f t="shared" ca="1" si="1"/>
        <v>116395883.22041522</v>
      </c>
      <c r="W5" s="1">
        <f t="shared" ca="1" si="1"/>
        <v>120932273.78522144</v>
      </c>
      <c r="X5" s="1">
        <f t="shared" ca="1" si="1"/>
        <v>125858246.98628572</v>
      </c>
      <c r="Y5" s="1">
        <f t="shared" ca="1" si="1"/>
        <v>131667905.83935249</v>
      </c>
      <c r="Z5" s="1">
        <f t="shared" ca="1" si="1"/>
        <v>138424647.40903854</v>
      </c>
      <c r="AA5" s="1">
        <f t="shared" ca="1" si="1"/>
        <v>146195176.37339354</v>
      </c>
      <c r="AB5" s="1">
        <f t="shared" ca="1" si="1"/>
        <v>155049650.91976616</v>
      </c>
      <c r="AC5" s="1">
        <f t="shared" ca="1" si="1"/>
        <v>165061834.37755984</v>
      </c>
      <c r="AD5" s="1">
        <f t="shared" ca="1" si="1"/>
        <v>176309252.79189628</v>
      </c>
      <c r="AE5" s="1">
        <f t="shared" ca="1" si="1"/>
        <v>188873358.64866769</v>
      </c>
      <c r="AF5" s="1">
        <f t="shared" ca="1" si="1"/>
        <v>202839700.96809199</v>
      </c>
      <c r="AG5" s="1"/>
      <c r="AH5" s="1"/>
      <c r="AI5" s="1"/>
      <c r="AJ5" s="1"/>
      <c r="AK5" s="1"/>
      <c r="AL5" s="1"/>
      <c r="AM5" s="1"/>
      <c r="AN5" s="1"/>
      <c r="AO5" s="1"/>
      <c r="AP5" s="1"/>
    </row>
    <row r="6" spans="1:42" x14ac:dyDescent="0.35">
      <c r="A6" s="63" t="s">
        <v>3</v>
      </c>
      <c r="C6" s="1">
        <f ca="1">-'Cash Flow'!C13</f>
        <v>16278111.916333355</v>
      </c>
      <c r="D6" s="1">
        <f ca="1">-'Cash Flow'!D13</f>
        <v>13148360.985157166</v>
      </c>
      <c r="E6" s="1">
        <f ca="1">-'Cash Flow'!E13</f>
        <v>9650280.5046333745</v>
      </c>
      <c r="F6" s="1">
        <f ca="1">-'Cash Flow'!F13</f>
        <v>6973802.3129844908</v>
      </c>
      <c r="G6" s="1">
        <f ca="1">-'Cash Flow'!G13</f>
        <v>6008081.0274042748</v>
      </c>
      <c r="H6" s="1">
        <f ca="1">-'Cash Flow'!H13</f>
        <v>5310685.1483532786</v>
      </c>
      <c r="I6" s="1">
        <f ca="1">-'Cash Flow'!I13</f>
        <v>4841238.0398591924</v>
      </c>
      <c r="J6" s="1">
        <f ca="1">-'Cash Flow'!J13</f>
        <v>4462342.6191650368</v>
      </c>
      <c r="K6" s="1">
        <f ca="1">-'Cash Flow'!K13</f>
        <v>4518004.4809367768</v>
      </c>
      <c r="L6" s="1">
        <f ca="1">-'Cash Flow'!L13</f>
        <v>4522745.6074107625</v>
      </c>
      <c r="M6" s="1">
        <f ca="1">-'Cash Flow'!M13</f>
        <v>4468894.8821913525</v>
      </c>
      <c r="N6" s="1">
        <f ca="1">-'Cash Flow'!N13</f>
        <v>4348019.9075637013</v>
      </c>
      <c r="O6" s="1">
        <f ca="1">-'Cash Flow'!O13</f>
        <v>4150863.4475056045</v>
      </c>
      <c r="P6" s="1">
        <f ca="1">-'Cash Flow'!P13</f>
        <v>3867275.0187652372</v>
      </c>
      <c r="Q6" s="1">
        <f ca="1">-'Cash Flow'!Q13</f>
        <v>3912212.2270434201</v>
      </c>
      <c r="R6" s="1">
        <f ca="1">-'Cash Flow'!R13</f>
        <v>3916082.6201336011</v>
      </c>
      <c r="S6" s="1">
        <f ca="1">-'Cash Flow'!S13</f>
        <v>3873072.8414232619</v>
      </c>
      <c r="T6" s="1">
        <f ca="1">-'Cash Flow'!T13</f>
        <v>3776835.3176532239</v>
      </c>
      <c r="U6" s="1">
        <f ca="1">-'Cash Flow'!U13</f>
        <v>4152974.3158981055</v>
      </c>
      <c r="V6" s="1">
        <f ca="1">-'Cash Flow'!V13</f>
        <v>4536390.5648062266</v>
      </c>
      <c r="W6" s="1">
        <f ca="1">-'Cash Flow'!W13</f>
        <v>4925973.2010642663</v>
      </c>
      <c r="X6" s="1">
        <f ca="1">-'Cash Flow'!X13</f>
        <v>5809658.8530667648</v>
      </c>
      <c r="Y6" s="1">
        <f ca="1">-'Cash Flow'!Y13</f>
        <v>6756741.5696860477</v>
      </c>
      <c r="Z6" s="1">
        <f ca="1">-'Cash Flow'!Z13</f>
        <v>7770528.9643549994</v>
      </c>
      <c r="AA6" s="1">
        <f ca="1">-'Cash Flow'!AA13</f>
        <v>8854474.5463726223</v>
      </c>
      <c r="AB6" s="1">
        <f ca="1">-'Cash Flow'!AB13</f>
        <v>10012183.45779369</v>
      </c>
      <c r="AC6" s="1">
        <f ca="1">-'Cash Flow'!AC13</f>
        <v>11247418.414336428</v>
      </c>
      <c r="AD6" s="1">
        <f ca="1">-'Cash Flow'!AD13</f>
        <v>12564105.85677141</v>
      </c>
      <c r="AE6" s="1">
        <f ca="1">-'Cash Flow'!AE13</f>
        <v>13966342.319424309</v>
      </c>
      <c r="AF6" s="1">
        <f ca="1">-'Cash Flow'!AF13</f>
        <v>15458401.022598833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717293.9170716675</v>
      </c>
      <c r="D8" s="1">
        <f ca="1">IF(SUM(D5:D6)&gt;0,Assumptions!$C$26*SUM(D5:D6),Assumptions!$C$27*(SUM(D5:D6)))</f>
        <v>1177486.5515521686</v>
      </c>
      <c r="E8" s="1">
        <f ca="1">IF(SUM(E5:E6)&gt;0,Assumptions!$C$26*SUM(E5:E6),Assumptions!$C$27*(SUM(E5:E6)))</f>
        <v>1515246.3692143366</v>
      </c>
      <c r="F8" s="1">
        <f ca="1">IF(SUM(F5:F6)&gt;0,Assumptions!$C$26*SUM(F5:F6),Assumptions!$C$27*(SUM(F5:F6)))</f>
        <v>1759329.4501687938</v>
      </c>
      <c r="G8" s="1">
        <f ca="1">IF(SUM(G5:G6)&gt;0,Assumptions!$C$26*SUM(G5:G6),Assumptions!$C$27*(SUM(G5:G6)))</f>
        <v>1969612.2861279435</v>
      </c>
      <c r="H8" s="1">
        <f ca="1">IF(SUM(H5:H6)&gt;0,Assumptions!$C$26*SUM(H5:H6),Assumptions!$C$27*(SUM(H5:H6)))</f>
        <v>2155486.2663203082</v>
      </c>
      <c r="I8" s="1">
        <f ca="1">IF(SUM(I5:I6)&gt;0,Assumptions!$C$26*SUM(I5:I6),Assumptions!$C$27*(SUM(I5:I6)))</f>
        <v>2324929.5977153801</v>
      </c>
      <c r="J8" s="1">
        <f ca="1">IF(SUM(J5:J6)&gt;0,Assumptions!$C$26*SUM(J5:J6),Assumptions!$C$27*(SUM(J5:J6)))</f>
        <v>2481111.5893861563</v>
      </c>
      <c r="K8" s="1">
        <f ca="1">IF(SUM(K5:K6)&gt;0,Assumptions!$C$26*SUM(K5:K6),Assumptions!$C$27*(SUM(K5:K6)))</f>
        <v>2639241.7462189435</v>
      </c>
      <c r="L8" s="1">
        <f ca="1">IF(SUM(L5:L6)&gt;0,Assumptions!$C$26*SUM(L5:L6),Assumptions!$C$27*(SUM(L5:L6)))</f>
        <v>2797537.84247832</v>
      </c>
      <c r="M8" s="1">
        <f ca="1">IF(SUM(M5:M6)&gt;0,Assumptions!$C$26*SUM(M5:M6),Assumptions!$C$27*(SUM(M5:M6)))</f>
        <v>2953949.1633550171</v>
      </c>
      <c r="N8" s="1">
        <f ca="1">IF(SUM(N5:N6)&gt;0,Assumptions!$C$26*SUM(N5:N6),Assumptions!$C$27*(SUM(N5:N6)))</f>
        <v>3106129.8601197465</v>
      </c>
      <c r="O8" s="1">
        <f ca="1">IF(SUM(O5:O6)&gt;0,Assumptions!$C$26*SUM(O5:O6),Assumptions!$C$27*(SUM(O5:O6)))</f>
        <v>3251410.0807824428</v>
      </c>
      <c r="P8" s="1">
        <f ca="1">IF(SUM(P5:P6)&gt;0,Assumptions!$C$26*SUM(P5:P6),Assumptions!$C$27*(SUM(P5:P6)))</f>
        <v>3386764.7064392264</v>
      </c>
      <c r="Q8" s="1">
        <f ca="1">IF(SUM(Q5:Q6)&gt;0,Assumptions!$C$26*SUM(Q5:Q6),Assumptions!$C$27*(SUM(Q5:Q6)))</f>
        <v>3523692.134385746</v>
      </c>
      <c r="R8" s="1">
        <f ca="1">IF(SUM(R5:R6)&gt;0,Assumptions!$C$26*SUM(R5:R6),Assumptions!$C$27*(SUM(R5:R6)))</f>
        <v>3660755.0260904226</v>
      </c>
      <c r="S8" s="1">
        <f ca="1">IF(SUM(S5:S6)&gt;0,Assumptions!$C$26*SUM(S5:S6),Assumptions!$C$27*(SUM(S5:S6)))</f>
        <v>3796312.5755402367</v>
      </c>
      <c r="T8" s="1">
        <f ca="1">IF(SUM(T5:T6)&gt;0,Assumptions!$C$26*SUM(T5:T6),Assumptions!$C$27*(SUM(T5:T6)))</f>
        <v>3928501.8116580993</v>
      </c>
      <c r="U8" s="1">
        <f ca="1">IF(SUM(U5:U6)&gt;0,Assumptions!$C$26*SUM(U5:U6),Assumptions!$C$27*(SUM(U5:U6)))</f>
        <v>4073855.912714533</v>
      </c>
      <c r="V8" s="1">
        <f ca="1">IF(SUM(V5:V6)&gt;0,Assumptions!$C$26*SUM(V5:V6),Assumptions!$C$27*(SUM(V5:V6)))</f>
        <v>4232629.5824827505</v>
      </c>
      <c r="W8" s="1">
        <f ca="1">IF(SUM(W5:W6)&gt;0,Assumptions!$C$26*SUM(W5:W6),Assumptions!$C$27*(SUM(W5:W6)))</f>
        <v>4405038.6445200006</v>
      </c>
      <c r="X8" s="1">
        <f ca="1">IF(SUM(X5:X6)&gt;0,Assumptions!$C$26*SUM(X5:X6),Assumptions!$C$27*(SUM(X5:X6)))</f>
        <v>4608376.7043773374</v>
      </c>
      <c r="Y8" s="1">
        <f ca="1">IF(SUM(Y5:Y6)&gt;0,Assumptions!$C$26*SUM(Y5:Y6),Assumptions!$C$27*(SUM(Y5:Y6)))</f>
        <v>4844862.6593163498</v>
      </c>
      <c r="Z8" s="1">
        <f ca="1">IF(SUM(Z5:Z6)&gt;0,Assumptions!$C$26*SUM(Z5:Z6),Assumptions!$C$27*(SUM(Z5:Z6)))</f>
        <v>5116831.1730687739</v>
      </c>
      <c r="AA8" s="1">
        <f ca="1">IF(SUM(AA5:AA6)&gt;0,Assumptions!$C$26*SUM(AA5:AA6),Assumptions!$C$27*(SUM(AA5:AA6)))</f>
        <v>5426737.7821918158</v>
      </c>
      <c r="AB8" s="1">
        <f ca="1">IF(SUM(AB5:AB6)&gt;0,Assumptions!$C$26*SUM(AB5:AB6),Assumptions!$C$27*(SUM(AB5:AB6)))</f>
        <v>5777164.2032145951</v>
      </c>
      <c r="AC8" s="1">
        <f ca="1">IF(SUM(AC5:AC6)&gt;0,Assumptions!$C$26*SUM(AC5:AC6),Assumptions!$C$27*(SUM(AC5:AC6)))</f>
        <v>6170823.8477163706</v>
      </c>
      <c r="AD8" s="1">
        <f ca="1">IF(SUM(AD5:AD6)&gt;0,Assumptions!$C$26*SUM(AD5:AD6),Assumptions!$C$27*(SUM(AD5:AD6)))</f>
        <v>6610567.5527033703</v>
      </c>
      <c r="AE8" s="1">
        <f ca="1">IF(SUM(AE5:AE6)&gt;0,Assumptions!$C$26*SUM(AE5:AE6),Assumptions!$C$27*(SUM(AE5:AE6)))</f>
        <v>7099389.5338832205</v>
      </c>
      <c r="AF8" s="1">
        <f ca="1">IF(SUM(AF5:AF6)&gt;0,Assumptions!$C$26*SUM(AF5:AF6),Assumptions!$C$27*(SUM(AF5:AF6)))</f>
        <v>7640433.5696741799</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3"/>
  <sheetViews>
    <sheetView zoomScaleNormal="100" workbookViewId="0">
      <selection sqref="A1:XFD1048576"/>
    </sheetView>
  </sheetViews>
  <sheetFormatPr defaultRowHeight="15.5" x14ac:dyDescent="0.35"/>
  <cols>
    <col min="1" max="1" width="107.9140625" style="63" customWidth="1"/>
    <col min="2" max="2" width="18.1640625" style="63" bestFit="1" customWidth="1"/>
    <col min="3" max="3" width="50.7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90"/>
    </row>
    <row r="6" spans="1:3" ht="18.5" x14ac:dyDescent="0.45">
      <c r="A6" s="90"/>
      <c r="B6" s="90"/>
    </row>
    <row r="7" spans="1:3" ht="18.5" x14ac:dyDescent="0.45">
      <c r="A7" s="90" t="s">
        <v>96</v>
      </c>
      <c r="B7" s="183">
        <f>Assumptions!C24</f>
        <v>1113000</v>
      </c>
    </row>
    <row r="8" spans="1:3" ht="18.5" x14ac:dyDescent="0.45">
      <c r="A8" s="90" t="s">
        <v>173</v>
      </c>
      <c r="B8" s="184">
        <f>Assumptions!$C$133</f>
        <v>0.7</v>
      </c>
      <c r="C8" s="181" t="s">
        <v>135</v>
      </c>
    </row>
    <row r="9" spans="1:3" ht="34" x14ac:dyDescent="0.45">
      <c r="A9" s="90"/>
      <c r="B9" s="185"/>
      <c r="C9" s="181" t="s">
        <v>198</v>
      </c>
    </row>
    <row r="10" spans="1:3" ht="18.5" x14ac:dyDescent="0.45">
      <c r="A10" s="94" t="s">
        <v>102</v>
      </c>
      <c r="B10" s="186">
        <f>Assumptions!C135</f>
        <v>3662.2222222222222</v>
      </c>
      <c r="C10" s="181"/>
    </row>
    <row r="11" spans="1:3" ht="68" x14ac:dyDescent="0.45">
      <c r="A11" s="94"/>
      <c r="B11" s="187"/>
      <c r="C11" s="181" t="s">
        <v>199</v>
      </c>
    </row>
    <row r="12" spans="1:3" ht="18.5" x14ac:dyDescent="0.45">
      <c r="A12" s="94" t="s">
        <v>183</v>
      </c>
      <c r="B12" s="183">
        <f>(B7*B8)/B10</f>
        <v>212.73968446601941</v>
      </c>
      <c r="C12" s="181"/>
    </row>
    <row r="13" spans="1:3" ht="18.5" x14ac:dyDescent="0.45">
      <c r="A13" s="96"/>
      <c r="B13" s="188"/>
      <c r="C13" s="181"/>
    </row>
    <row r="14" spans="1:3" ht="18.5" x14ac:dyDescent="0.45">
      <c r="A14" s="94" t="s">
        <v>103</v>
      </c>
      <c r="B14" s="103">
        <v>1</v>
      </c>
      <c r="C14" s="181"/>
    </row>
    <row r="15" spans="1:3" ht="18.5" x14ac:dyDescent="0.45">
      <c r="A15" s="96"/>
      <c r="B15" s="99"/>
      <c r="C15" s="181"/>
    </row>
    <row r="16" spans="1:3" ht="18.5" x14ac:dyDescent="0.45">
      <c r="A16" s="96" t="s">
        <v>178</v>
      </c>
      <c r="B16" s="189">
        <f>B12/B14</f>
        <v>212.73968446601941</v>
      </c>
      <c r="C16" s="181"/>
    </row>
    <row r="17" spans="1:3" ht="18.5" x14ac:dyDescent="0.45">
      <c r="A17" s="94"/>
      <c r="B17" s="190"/>
      <c r="C17" s="181"/>
    </row>
    <row r="18" spans="1:3" ht="18.5" x14ac:dyDescent="0.45">
      <c r="A18" s="102" t="s">
        <v>177</v>
      </c>
      <c r="B18" s="190"/>
      <c r="C18" s="181"/>
    </row>
    <row r="19" spans="1:3" ht="18.5" x14ac:dyDescent="0.45">
      <c r="A19" s="94"/>
      <c r="B19" s="190"/>
      <c r="C19" s="181"/>
    </row>
    <row r="20" spans="1:3" ht="18.5" x14ac:dyDescent="0.45">
      <c r="A20" s="94" t="s">
        <v>65</v>
      </c>
      <c r="B20" s="183">
        <f>'Profit and Loss'!L5</f>
        <v>31142501.727008965</v>
      </c>
      <c r="C20" s="181"/>
    </row>
    <row r="21" spans="1:3" ht="34" x14ac:dyDescent="0.45">
      <c r="A21" s="94" t="str">
        <f>A8</f>
        <v>Assumed revenue from households</v>
      </c>
      <c r="B21" s="184">
        <f>B8</f>
        <v>0.7</v>
      </c>
      <c r="C21" s="181" t="s">
        <v>200</v>
      </c>
    </row>
    <row r="22" spans="1:3" ht="34" x14ac:dyDescent="0.45">
      <c r="A22" s="94"/>
      <c r="B22" s="187"/>
      <c r="C22" s="181" t="s">
        <v>198</v>
      </c>
    </row>
    <row r="23" spans="1:3" ht="18.5" x14ac:dyDescent="0.45">
      <c r="A23" s="94" t="s">
        <v>101</v>
      </c>
      <c r="B23" s="186">
        <f>Assumptions!M135</f>
        <v>4320.6584362139874</v>
      </c>
      <c r="C23" s="181"/>
    </row>
    <row r="24" spans="1:3" ht="34" x14ac:dyDescent="0.45">
      <c r="A24" s="94"/>
      <c r="B24" s="187"/>
      <c r="C24" s="181" t="s">
        <v>201</v>
      </c>
    </row>
    <row r="25" spans="1:3" ht="18.5" x14ac:dyDescent="0.45">
      <c r="A25" s="94" t="s">
        <v>182</v>
      </c>
      <c r="B25" s="183">
        <f>(B20*B21)/B23</f>
        <v>5045.4696965142393</v>
      </c>
      <c r="C25" s="181"/>
    </row>
    <row r="26" spans="1:3" ht="18.5" x14ac:dyDescent="0.45">
      <c r="A26" s="94"/>
      <c r="B26" s="183"/>
      <c r="C26" s="181"/>
    </row>
    <row r="27" spans="1:3" ht="18.5" x14ac:dyDescent="0.45">
      <c r="A27" s="94" t="s">
        <v>103</v>
      </c>
      <c r="B27" s="103">
        <f>1.022^11</f>
        <v>1.2704566586717592</v>
      </c>
      <c r="C27" s="181"/>
    </row>
    <row r="28" spans="1:3" ht="34" x14ac:dyDescent="0.45">
      <c r="A28" s="96"/>
      <c r="B28" s="188"/>
      <c r="C28" s="181" t="s">
        <v>202</v>
      </c>
    </row>
    <row r="29" spans="1:3" ht="18.5" x14ac:dyDescent="0.45">
      <c r="A29" s="96" t="s">
        <v>179</v>
      </c>
      <c r="B29" s="183">
        <f>B25/B27</f>
        <v>3971.3827796291707</v>
      </c>
      <c r="C29" s="181"/>
    </row>
    <row r="30" spans="1:3" ht="18.5" x14ac:dyDescent="0.45">
      <c r="A30" s="96"/>
      <c r="B30" s="188"/>
      <c r="C30" s="181"/>
    </row>
    <row r="31" spans="1:3" ht="18.5" x14ac:dyDescent="0.45">
      <c r="A31" s="102" t="s">
        <v>185</v>
      </c>
      <c r="B31" s="191"/>
      <c r="C31" s="181"/>
    </row>
    <row r="32" spans="1:3" ht="18.5" x14ac:dyDescent="0.45">
      <c r="A32" s="94"/>
      <c r="B32" s="183"/>
      <c r="C32" s="181"/>
    </row>
    <row r="33" spans="1:3" ht="18.5" x14ac:dyDescent="0.45">
      <c r="A33" s="94" t="s">
        <v>66</v>
      </c>
      <c r="B33" s="183">
        <f>'Profit and Loss'!AF5</f>
        <v>81926475.167255476</v>
      </c>
      <c r="C33" s="181"/>
    </row>
    <row r="34" spans="1:3" ht="34" x14ac:dyDescent="0.45">
      <c r="A34" s="94" t="str">
        <f>A21</f>
        <v>Assumed revenue from households</v>
      </c>
      <c r="B34" s="184">
        <f>B21</f>
        <v>0.7</v>
      </c>
      <c r="C34" s="181" t="s">
        <v>200</v>
      </c>
    </row>
    <row r="35" spans="1:3" ht="34" x14ac:dyDescent="0.45">
      <c r="A35" s="94"/>
      <c r="B35" s="187"/>
      <c r="C35" s="181" t="s">
        <v>198</v>
      </c>
    </row>
    <row r="36" spans="1:3" ht="18.5" x14ac:dyDescent="0.45">
      <c r="A36" s="94" t="s">
        <v>100</v>
      </c>
      <c r="B36" s="186">
        <f>Assumptions!AG135</f>
        <v>6013.9583791752357</v>
      </c>
      <c r="C36" s="181"/>
    </row>
    <row r="37" spans="1:3" ht="34" x14ac:dyDescent="0.45">
      <c r="A37" s="94"/>
      <c r="B37" s="187"/>
      <c r="C37" s="181" t="s">
        <v>201</v>
      </c>
    </row>
    <row r="38" spans="1:3" ht="18.5" x14ac:dyDescent="0.45">
      <c r="A38" s="94" t="s">
        <v>181</v>
      </c>
      <c r="B38" s="183">
        <f>(B33*B34)/B36</f>
        <v>9535.9044744409603</v>
      </c>
      <c r="C38" s="181"/>
    </row>
    <row r="39" spans="1:3" ht="18.5" x14ac:dyDescent="0.45">
      <c r="A39" s="94"/>
      <c r="B39" s="187"/>
      <c r="C39" s="181"/>
    </row>
    <row r="40" spans="1:3" ht="18.5" x14ac:dyDescent="0.45">
      <c r="A40" s="94" t="s">
        <v>103</v>
      </c>
      <c r="B40" s="103">
        <f>1.022^31</f>
        <v>1.9632597808456462</v>
      </c>
      <c r="C40" s="181"/>
    </row>
    <row r="41" spans="1:3" ht="34" x14ac:dyDescent="0.45">
      <c r="A41" s="96"/>
      <c r="B41" s="188"/>
      <c r="C41" s="181" t="s">
        <v>202</v>
      </c>
    </row>
    <row r="42" spans="1:3" ht="18.5" x14ac:dyDescent="0.45">
      <c r="A42" s="96" t="s">
        <v>180</v>
      </c>
      <c r="B42" s="183">
        <f>B38/B40</f>
        <v>4857.1791504502298</v>
      </c>
    </row>
    <row r="43" spans="1:3" x14ac:dyDescent="0.35">
      <c r="B43" s="19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116.582031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3" t="s">
        <v>27</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x14ac:dyDescent="0.35">
      <c r="A13" s="77" t="s">
        <v>31</v>
      </c>
      <c r="B13" s="106" t="s">
        <v>137</v>
      </c>
      <c r="C13" s="127">
        <v>1.6671207030333202E-2</v>
      </c>
      <c r="D13" s="128">
        <f t="shared" ref="D13:AG13" si="3">(1+$C$13)^D8</f>
        <v>1.0166712070303332</v>
      </c>
      <c r="E13" s="128">
        <f t="shared" si="3"/>
        <v>1.0336203432045146</v>
      </c>
      <c r="F13" s="128">
        <f t="shared" si="3"/>
        <v>1.050852041936841</v>
      </c>
      <c r="G13" s="128">
        <f t="shared" si="3"/>
        <v>1.0683710138862186</v>
      </c>
      <c r="H13" s="128">
        <f t="shared" si="3"/>
        <v>1.0861820482439226</v>
      </c>
      <c r="I13" s="128">
        <f t="shared" si="3"/>
        <v>1.1042900140428284</v>
      </c>
      <c r="J13" s="128">
        <f t="shared" si="3"/>
        <v>1.122699861488466</v>
      </c>
      <c r="K13" s="128">
        <f t="shared" si="3"/>
        <v>1.1414166233122667</v>
      </c>
      <c r="L13" s="128">
        <f t="shared" si="3"/>
        <v>1.1604454161473694</v>
      </c>
      <c r="M13" s="128">
        <f t="shared" si="3"/>
        <v>1.1797914419273632</v>
      </c>
      <c r="N13" s="128">
        <f t="shared" si="3"/>
        <v>1.1994599893083495</v>
      </c>
      <c r="O13" s="128">
        <f t="shared" si="3"/>
        <v>1.2194564351147104</v>
      </c>
      <c r="P13" s="128">
        <f t="shared" si="3"/>
        <v>1.2397862458089797</v>
      </c>
      <c r="Q13" s="128">
        <f t="shared" si="3"/>
        <v>1.2604549789862207</v>
      </c>
      <c r="R13" s="128">
        <f t="shared" si="3"/>
        <v>1.2814682848933143</v>
      </c>
      <c r="S13" s="128">
        <f t="shared" si="3"/>
        <v>1.3028319079735768</v>
      </c>
      <c r="T13" s="128">
        <f t="shared" si="3"/>
        <v>1.3245516884371284</v>
      </c>
      <c r="U13" s="128">
        <f t="shared" si="3"/>
        <v>1.3466335638574409</v>
      </c>
      <c r="V13" s="128">
        <f t="shared" si="3"/>
        <v>1.3690835707945037</v>
      </c>
      <c r="W13" s="128">
        <f t="shared" si="3"/>
        <v>1.3919078464450469</v>
      </c>
      <c r="X13" s="128">
        <f t="shared" si="3"/>
        <v>1.4151126303202775</v>
      </c>
      <c r="Y13" s="128">
        <f t="shared" si="3"/>
        <v>1.4387042659515861</v>
      </c>
      <c r="Z13" s="128">
        <f t="shared" si="3"/>
        <v>1.4626892026246887</v>
      </c>
      <c r="AA13" s="128">
        <f t="shared" si="3"/>
        <v>1.4870739971426779</v>
      </c>
      <c r="AB13" s="128">
        <f t="shared" si="3"/>
        <v>1.5118653156184687</v>
      </c>
      <c r="AC13" s="128">
        <f t="shared" si="3"/>
        <v>1.537069935297124</v>
      </c>
      <c r="AD13" s="128">
        <f t="shared" si="3"/>
        <v>1.562694746408563</v>
      </c>
      <c r="AE13" s="128">
        <f t="shared" si="3"/>
        <v>1.5887467540511544</v>
      </c>
      <c r="AF13" s="128">
        <f t="shared" si="3"/>
        <v>1.615233080106711</v>
      </c>
      <c r="AG13" s="128">
        <f t="shared" si="3"/>
        <v>1.6421609651874127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191827200</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95913600</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4216000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135</v>
      </c>
      <c r="C24" s="136">
        <v>1113000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3313000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80">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80">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182" t="s">
        <v>203</v>
      </c>
      <c r="C49" s="71">
        <v>191827200</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182" t="s">
        <v>203</v>
      </c>
      <c r="C50" s="71">
        <v>191827200</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566570.05833501811</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801293.64303797763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683931.85068649787</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1544311.8333055682</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2054852.5691743405</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1799582.2012399542</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69" t="s">
        <v>111</v>
      </c>
      <c r="B75" s="70" t="s">
        <v>121</v>
      </c>
      <c r="C75" s="71">
        <f>C67+C73</f>
        <v>2600875.8442779318</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46.5" x14ac:dyDescent="0.35">
      <c r="A77" s="69" t="s">
        <v>140</v>
      </c>
      <c r="B77" s="179" t="s">
        <v>175</v>
      </c>
      <c r="C77" s="87">
        <v>43182000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283115615.97610742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338376710.05673546</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326297615.97610742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381558710.05673546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197</v>
      </c>
      <c r="C85" s="150">
        <v>9888</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134</v>
      </c>
      <c r="C86" s="150">
        <v>9888</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9888</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32999.354366515719</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38588.057246838136</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326297615.97610742</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381558710.05673552</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353928163.01642144</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353928163.01642144</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11797605.433880715</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2600875.8442779318</v>
      </c>
      <c r="E111" s="149">
        <f t="shared" si="9"/>
        <v>2600875.8442779318</v>
      </c>
      <c r="F111" s="149">
        <f t="shared" si="9"/>
        <v>2600875.8442779318</v>
      </c>
      <c r="G111" s="149">
        <f t="shared" si="9"/>
        <v>2600875.8442779318</v>
      </c>
      <c r="H111" s="149">
        <f t="shared" si="9"/>
        <v>2600875.8442779318</v>
      </c>
      <c r="I111" s="149">
        <f t="shared" si="9"/>
        <v>2600875.8442779318</v>
      </c>
      <c r="J111" s="149">
        <f t="shared" si="9"/>
        <v>2600875.8442779318</v>
      </c>
      <c r="K111" s="149">
        <f t="shared" si="9"/>
        <v>2600875.8442779318</v>
      </c>
      <c r="L111" s="149">
        <f t="shared" si="9"/>
        <v>2600875.8442779318</v>
      </c>
      <c r="M111" s="149">
        <f t="shared" si="9"/>
        <v>2600875.8442779318</v>
      </c>
      <c r="N111" s="149">
        <f t="shared" si="9"/>
        <v>2600875.8442779318</v>
      </c>
      <c r="O111" s="149">
        <f t="shared" si="9"/>
        <v>2600875.8442779318</v>
      </c>
      <c r="P111" s="149">
        <f t="shared" si="9"/>
        <v>2600875.8442779318</v>
      </c>
      <c r="Q111" s="149">
        <f t="shared" si="9"/>
        <v>2600875.8442779318</v>
      </c>
      <c r="R111" s="149">
        <f t="shared" si="9"/>
        <v>2600875.8442779318</v>
      </c>
      <c r="S111" s="149">
        <f t="shared" si="9"/>
        <v>2600875.8442779318</v>
      </c>
      <c r="T111" s="149">
        <f t="shared" si="9"/>
        <v>2600875.8442779318</v>
      </c>
      <c r="U111" s="149">
        <f t="shared" si="9"/>
        <v>2600875.8442779318</v>
      </c>
      <c r="V111" s="149">
        <f t="shared" si="9"/>
        <v>2600875.8442779318</v>
      </c>
      <c r="W111" s="149">
        <f t="shared" si="9"/>
        <v>2600875.8442779318</v>
      </c>
      <c r="X111" s="149">
        <f t="shared" si="9"/>
        <v>2600875.8442779318</v>
      </c>
      <c r="Y111" s="149">
        <f t="shared" si="9"/>
        <v>2600875.8442779318</v>
      </c>
      <c r="Z111" s="149">
        <f t="shared" si="9"/>
        <v>2600875.8442779318</v>
      </c>
      <c r="AA111" s="149">
        <f t="shared" si="9"/>
        <v>2600875.8442779318</v>
      </c>
      <c r="AB111" s="149">
        <f t="shared" si="9"/>
        <v>2600875.8442779318</v>
      </c>
      <c r="AC111" s="149">
        <f t="shared" si="9"/>
        <v>2600875.8442779318</v>
      </c>
      <c r="AD111" s="149">
        <f t="shared" si="9"/>
        <v>2600875.8442779318</v>
      </c>
      <c r="AE111" s="149">
        <f t="shared" si="9"/>
        <v>2600875.8442779318</v>
      </c>
      <c r="AF111" s="149">
        <f t="shared" si="9"/>
        <v>2600875.8442779318</v>
      </c>
      <c r="AG111" s="149">
        <f t="shared" si="9"/>
        <v>2600875.8442779318</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353928163.01642126</v>
      </c>
      <c r="D113" s="149">
        <f t="shared" ref="D113:AG113" si="10">$C$102</f>
        <v>11797605.433880715</v>
      </c>
      <c r="E113" s="149">
        <f t="shared" si="10"/>
        <v>11797605.433880715</v>
      </c>
      <c r="F113" s="149">
        <f t="shared" si="10"/>
        <v>11797605.433880715</v>
      </c>
      <c r="G113" s="149">
        <f t="shared" si="10"/>
        <v>11797605.433880715</v>
      </c>
      <c r="H113" s="149">
        <f t="shared" si="10"/>
        <v>11797605.433880715</v>
      </c>
      <c r="I113" s="149">
        <f t="shared" si="10"/>
        <v>11797605.433880715</v>
      </c>
      <c r="J113" s="149">
        <f t="shared" si="10"/>
        <v>11797605.433880715</v>
      </c>
      <c r="K113" s="149">
        <f t="shared" si="10"/>
        <v>11797605.433880715</v>
      </c>
      <c r="L113" s="149">
        <f t="shared" si="10"/>
        <v>11797605.433880715</v>
      </c>
      <c r="M113" s="149">
        <f t="shared" si="10"/>
        <v>11797605.433880715</v>
      </c>
      <c r="N113" s="149">
        <f t="shared" si="10"/>
        <v>11797605.433880715</v>
      </c>
      <c r="O113" s="149">
        <f t="shared" si="10"/>
        <v>11797605.433880715</v>
      </c>
      <c r="P113" s="149">
        <f t="shared" si="10"/>
        <v>11797605.433880715</v>
      </c>
      <c r="Q113" s="149">
        <f t="shared" si="10"/>
        <v>11797605.433880715</v>
      </c>
      <c r="R113" s="149">
        <f t="shared" si="10"/>
        <v>11797605.433880715</v>
      </c>
      <c r="S113" s="149">
        <f t="shared" si="10"/>
        <v>11797605.433880715</v>
      </c>
      <c r="T113" s="149">
        <f t="shared" si="10"/>
        <v>11797605.433880715</v>
      </c>
      <c r="U113" s="149">
        <f t="shared" si="10"/>
        <v>11797605.433880715</v>
      </c>
      <c r="V113" s="149">
        <f t="shared" si="10"/>
        <v>11797605.433880715</v>
      </c>
      <c r="W113" s="149">
        <f t="shared" si="10"/>
        <v>11797605.433880715</v>
      </c>
      <c r="X113" s="149">
        <f t="shared" si="10"/>
        <v>11797605.433880715</v>
      </c>
      <c r="Y113" s="149">
        <f t="shared" si="10"/>
        <v>11797605.433880715</v>
      </c>
      <c r="Z113" s="149">
        <f t="shared" si="10"/>
        <v>11797605.433880715</v>
      </c>
      <c r="AA113" s="149">
        <f t="shared" si="10"/>
        <v>11797605.433880715</v>
      </c>
      <c r="AB113" s="149">
        <f t="shared" si="10"/>
        <v>11797605.433880715</v>
      </c>
      <c r="AC113" s="149">
        <f t="shared" si="10"/>
        <v>11797605.433880715</v>
      </c>
      <c r="AD113" s="149">
        <f t="shared" si="10"/>
        <v>11797605.433880715</v>
      </c>
      <c r="AE113" s="149">
        <f t="shared" si="10"/>
        <v>11797605.433880715</v>
      </c>
      <c r="AF113" s="149">
        <f t="shared" si="10"/>
        <v>11797605.433880715</v>
      </c>
      <c r="AG113" s="149">
        <f t="shared" si="10"/>
        <v>11797605.433880715</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11797605.433880715</v>
      </c>
      <c r="E118" s="149">
        <f t="shared" ref="E118:AG118" si="13">E113+E115+E116</f>
        <v>11797605.433880715</v>
      </c>
      <c r="F118" s="149">
        <f>F113+F115+F116</f>
        <v>11797605.433880715</v>
      </c>
      <c r="G118" s="149">
        <f t="shared" si="13"/>
        <v>11797605.433880715</v>
      </c>
      <c r="H118" s="149">
        <f t="shared" si="13"/>
        <v>11797605.433880715</v>
      </c>
      <c r="I118" s="149">
        <f t="shared" si="13"/>
        <v>11797605.433880715</v>
      </c>
      <c r="J118" s="149">
        <f t="shared" si="13"/>
        <v>11797605.433880715</v>
      </c>
      <c r="K118" s="149">
        <f t="shared" si="13"/>
        <v>11797605.433880715</v>
      </c>
      <c r="L118" s="149">
        <f t="shared" si="13"/>
        <v>11797605.433880715</v>
      </c>
      <c r="M118" s="149">
        <f t="shared" si="13"/>
        <v>11797605.433880715</v>
      </c>
      <c r="N118" s="149">
        <f t="shared" si="13"/>
        <v>11797605.433880715</v>
      </c>
      <c r="O118" s="149">
        <f t="shared" si="13"/>
        <v>11797605.433880715</v>
      </c>
      <c r="P118" s="149">
        <f t="shared" si="13"/>
        <v>11797605.433880715</v>
      </c>
      <c r="Q118" s="149">
        <f t="shared" si="13"/>
        <v>11797605.433880715</v>
      </c>
      <c r="R118" s="149">
        <f t="shared" si="13"/>
        <v>11797605.433880715</v>
      </c>
      <c r="S118" s="149">
        <f t="shared" si="13"/>
        <v>11797605.433880715</v>
      </c>
      <c r="T118" s="149">
        <f t="shared" si="13"/>
        <v>11797605.433880715</v>
      </c>
      <c r="U118" s="149">
        <f t="shared" si="13"/>
        <v>11797605.433880715</v>
      </c>
      <c r="V118" s="149">
        <f t="shared" si="13"/>
        <v>11797605.433880715</v>
      </c>
      <c r="W118" s="149">
        <f t="shared" si="13"/>
        <v>11797605.433880715</v>
      </c>
      <c r="X118" s="149">
        <f t="shared" si="13"/>
        <v>11797605.433880715</v>
      </c>
      <c r="Y118" s="149">
        <f t="shared" si="13"/>
        <v>11797605.433880715</v>
      </c>
      <c r="Z118" s="149">
        <f t="shared" si="13"/>
        <v>11797605.433880715</v>
      </c>
      <c r="AA118" s="149">
        <f t="shared" si="13"/>
        <v>11797605.433880715</v>
      </c>
      <c r="AB118" s="149">
        <f t="shared" si="13"/>
        <v>11797605.433880715</v>
      </c>
      <c r="AC118" s="149">
        <f t="shared" si="13"/>
        <v>11797605.433880715</v>
      </c>
      <c r="AD118" s="149">
        <f t="shared" si="13"/>
        <v>11797605.433880715</v>
      </c>
      <c r="AE118" s="149">
        <f t="shared" si="13"/>
        <v>11797605.433880715</v>
      </c>
      <c r="AF118" s="149">
        <f t="shared" si="13"/>
        <v>11797605.433880715</v>
      </c>
      <c r="AG118" s="149">
        <f t="shared" si="13"/>
        <v>11797605.433880715</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283142.53041313717</v>
      </c>
      <c r="E120" s="149">
        <f>(SUM($D$118:E118)*$C$104/$C$106)+(SUM($D$118:E118)*$C$105/$C$107)</f>
        <v>566285.06082627433</v>
      </c>
      <c r="F120" s="149">
        <f>(SUM($D$118:F118)*$C$104/$C$106)+(SUM($D$118:F118)*$C$105/$C$107)</f>
        <v>849427.59123941138</v>
      </c>
      <c r="G120" s="149">
        <f>(SUM($D$118:G118)*$C$104/$C$106)+(SUM($D$118:G118)*$C$105/$C$107)</f>
        <v>1132570.1216525487</v>
      </c>
      <c r="H120" s="149">
        <f>(SUM($D$118:H118)*$C$104/$C$106)+(SUM($D$118:H118)*$C$105/$C$107)</f>
        <v>1415712.6520656857</v>
      </c>
      <c r="I120" s="149">
        <f>(SUM($D$118:I118)*$C$104/$C$106)+(SUM($D$118:I118)*$C$105/$C$107)</f>
        <v>1698855.1824788228</v>
      </c>
      <c r="J120" s="149">
        <f>(SUM($D$118:J118)*$C$104/$C$106)+(SUM($D$118:J118)*$C$105/$C$107)</f>
        <v>1981997.7128919601</v>
      </c>
      <c r="K120" s="149">
        <f>(SUM($D$118:K118)*$C$104/$C$106)+(SUM($D$118:K118)*$C$105/$C$107)</f>
        <v>2265140.2433050973</v>
      </c>
      <c r="L120" s="149">
        <f>(SUM($D$118:L118)*$C$104/$C$106)+(SUM($D$118:L118)*$C$105/$C$107)</f>
        <v>2548282.7737182342</v>
      </c>
      <c r="M120" s="149">
        <f>(SUM($D$118:M118)*$C$104/$C$106)+(SUM($D$118:M118)*$C$105/$C$107)</f>
        <v>2831425.3041313714</v>
      </c>
      <c r="N120" s="149">
        <f>(SUM($D$118:N118)*$C$104/$C$106)+(SUM($D$118:N118)*$C$105/$C$107)</f>
        <v>3114567.8345445083</v>
      </c>
      <c r="O120" s="149">
        <f>(SUM($D$118:O118)*$C$104/$C$106)+(SUM($D$118:O118)*$C$105/$C$107)</f>
        <v>3397710.3649576455</v>
      </c>
      <c r="P120" s="149">
        <f>(SUM($D$118:P118)*$C$104/$C$106)+(SUM($D$118:P118)*$C$105/$C$107)</f>
        <v>3680852.8953707828</v>
      </c>
      <c r="Q120" s="149">
        <f>(SUM($D$118:Q118)*$C$104/$C$106)+(SUM($D$118:Q118)*$C$105/$C$107)</f>
        <v>3963995.4257839201</v>
      </c>
      <c r="R120" s="149">
        <f>(SUM($D$118:R118)*$C$104/$C$106)+(SUM($D$118:R118)*$C$105/$C$107)</f>
        <v>4247137.9561970569</v>
      </c>
      <c r="S120" s="149">
        <f>(SUM($D$118:S118)*$C$104/$C$106)+(SUM($D$118:S118)*$C$105/$C$107)</f>
        <v>4530280.4866101947</v>
      </c>
      <c r="T120" s="149">
        <f>(SUM($D$118:T118)*$C$104/$C$106)+(SUM($D$118:T118)*$C$105/$C$107)</f>
        <v>4813423.0170233315</v>
      </c>
      <c r="U120" s="149">
        <f>(SUM($D$118:U118)*$C$104/$C$106)+(SUM($D$118:U118)*$C$105/$C$107)</f>
        <v>5096565.5474364683</v>
      </c>
      <c r="V120" s="149">
        <f>(SUM($D$118:V118)*$C$104/$C$106)+(SUM($D$118:V118)*$C$105/$C$107)</f>
        <v>5379708.077849607</v>
      </c>
      <c r="W120" s="149">
        <f>(SUM($D$118:W118)*$C$104/$C$106)+(SUM($D$118:W118)*$C$105/$C$107)</f>
        <v>5662850.6082627429</v>
      </c>
      <c r="X120" s="149">
        <f>(SUM($D$118:X118)*$C$104/$C$106)+(SUM($D$118:X118)*$C$105/$C$107)</f>
        <v>5945993.1386758806</v>
      </c>
      <c r="Y120" s="149">
        <f>(SUM($D$118:Y118)*$C$104/$C$106)+(SUM($D$118:Y118)*$C$105/$C$107)</f>
        <v>6229135.6690890165</v>
      </c>
      <c r="Z120" s="149">
        <f>(SUM($D$118:Z118)*$C$104/$C$106)+(SUM($D$118:Z118)*$C$105/$C$107)</f>
        <v>6512278.1995021543</v>
      </c>
      <c r="AA120" s="149">
        <f>(SUM($D$118:AA118)*$C$104/$C$106)+(SUM($D$118:AA118)*$C$105/$C$107)</f>
        <v>6795420.7299152911</v>
      </c>
      <c r="AB120" s="149">
        <f>(SUM($D$118:AB118)*$C$104/$C$106)+(SUM($D$118:AB118)*$C$105/$C$107)</f>
        <v>7078563.2603284279</v>
      </c>
      <c r="AC120" s="149">
        <f>(SUM($D$118:AC118)*$C$104/$C$106)+(SUM($D$118:AC118)*$C$105/$C$107)</f>
        <v>7361705.7907415638</v>
      </c>
      <c r="AD120" s="149">
        <f>(SUM($D$118:AD118)*$C$104/$C$106)+(SUM($D$118:AD118)*$C$105/$C$107)</f>
        <v>7644848.3211547006</v>
      </c>
      <c r="AE120" s="149">
        <f>(SUM($D$118:AE118)*$C$104/$C$106)+(SUM($D$118:AE118)*$C$105/$C$107)</f>
        <v>7927990.8515678365</v>
      </c>
      <c r="AF120" s="149">
        <f>(SUM($D$118:AF118)*$C$104/$C$106)+(SUM($D$118:AF118)*$C$105/$C$107)</f>
        <v>8211133.3819809742</v>
      </c>
      <c r="AG120" s="149">
        <f>(SUM($D$118:AG118)*$C$104/$C$106)+(SUM($D$118:AG118)*$C$105/$C$107)</f>
        <v>8494275.9123941101</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353928.16301642143</v>
      </c>
      <c r="E122" s="72">
        <f>(SUM($D$118:E118)*$C$109)</f>
        <v>707856.32603284286</v>
      </c>
      <c r="F122" s="72">
        <f>(SUM($D$118:F118)*$C$109)</f>
        <v>1061784.4890492642</v>
      </c>
      <c r="G122" s="72">
        <f>(SUM($D$118:G118)*$C$109)</f>
        <v>1415712.6520656857</v>
      </c>
      <c r="H122" s="72">
        <f>(SUM($D$118:H118)*$C$109)</f>
        <v>1769640.8150821072</v>
      </c>
      <c r="I122" s="72">
        <f>(SUM($D$118:I118)*$C$109)</f>
        <v>2123568.9780985285</v>
      </c>
      <c r="J122" s="72">
        <f>(SUM($D$118:J118)*$C$109)</f>
        <v>2477497.1411149497</v>
      </c>
      <c r="K122" s="72">
        <f>(SUM($D$118:K118)*$C$109)</f>
        <v>2831425.3041313714</v>
      </c>
      <c r="L122" s="72">
        <f>(SUM($D$118:L118)*$C$109)</f>
        <v>3185353.4671477927</v>
      </c>
      <c r="M122" s="72">
        <f>(SUM($D$118:M118)*$C$109)</f>
        <v>3539281.6301642144</v>
      </c>
      <c r="N122" s="72">
        <f>(SUM($D$118:N118)*$C$109)</f>
        <v>3893209.7931806357</v>
      </c>
      <c r="O122" s="72">
        <f>(SUM($D$118:O118)*$C$109)</f>
        <v>4247137.9561970569</v>
      </c>
      <c r="P122" s="72">
        <f>(SUM($D$118:P118)*$C$109)</f>
        <v>4601066.1192134786</v>
      </c>
      <c r="Q122" s="72">
        <f>(SUM($D$118:Q118)*$C$109)</f>
        <v>4954994.2822298994</v>
      </c>
      <c r="R122" s="72">
        <f>(SUM($D$118:R118)*$C$109)</f>
        <v>5308922.4452463211</v>
      </c>
      <c r="S122" s="72">
        <f>(SUM($D$118:S118)*$C$109)</f>
        <v>5662850.6082627429</v>
      </c>
      <c r="T122" s="72">
        <f>(SUM($D$118:T118)*$C$109)</f>
        <v>6016778.7712791646</v>
      </c>
      <c r="U122" s="72">
        <f>(SUM($D$118:U118)*$C$109)</f>
        <v>6370706.9342955854</v>
      </c>
      <c r="V122" s="72">
        <f>(SUM($D$118:V118)*$C$109)</f>
        <v>6724635.0973120071</v>
      </c>
      <c r="W122" s="72">
        <f>(SUM($D$118:W118)*$C$109)</f>
        <v>7078563.2603284288</v>
      </c>
      <c r="X122" s="72">
        <f>(SUM($D$118:X118)*$C$109)</f>
        <v>7432491.4233448505</v>
      </c>
      <c r="Y122" s="72">
        <f>(SUM($D$118:Y118)*$C$109)</f>
        <v>7786419.5863612713</v>
      </c>
      <c r="Z122" s="72">
        <f>(SUM($D$118:Z118)*$C$109)</f>
        <v>8140347.749377693</v>
      </c>
      <c r="AA122" s="72">
        <f>(SUM($D$118:AA118)*$C$109)</f>
        <v>8494275.9123941138</v>
      </c>
      <c r="AB122" s="72">
        <f>(SUM($D$118:AB118)*$C$109)</f>
        <v>8848204.0754105337</v>
      </c>
      <c r="AC122" s="72">
        <f>(SUM($D$118:AC118)*$C$109)</f>
        <v>9202132.2384269554</v>
      </c>
      <c r="AD122" s="72">
        <f>(SUM($D$118:AD118)*$C$109)</f>
        <v>9556060.4014433753</v>
      </c>
      <c r="AE122" s="72">
        <f>(SUM($D$118:AE118)*$C$109)</f>
        <v>9909988.564459797</v>
      </c>
      <c r="AF122" s="72">
        <f>(SUM($D$118:AF118)*$C$109)</f>
        <v>10263916.727476217</v>
      </c>
      <c r="AG122" s="72">
        <f>(SUM($D$118:AG118)*$C$109)</f>
        <v>10617844.890492637</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133</v>
      </c>
      <c r="C126" s="126">
        <v>9888</v>
      </c>
      <c r="D126" s="140"/>
    </row>
    <row r="127" spans="1:33" x14ac:dyDescent="0.35">
      <c r="A127" s="77" t="s">
        <v>150</v>
      </c>
      <c r="B127" s="77" t="s">
        <v>134</v>
      </c>
      <c r="C127" s="126">
        <v>9888</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9888</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3662.2222222222222</v>
      </c>
      <c r="D135" s="157">
        <f t="shared" ref="D135:AG135" si="14">$C$135*D13</f>
        <v>3723.2758870799757</v>
      </c>
      <c r="E135" s="157">
        <f t="shared" si="14"/>
        <v>3785.3473902245332</v>
      </c>
      <c r="F135" s="157">
        <f t="shared" si="14"/>
        <v>3848.4537002486977</v>
      </c>
      <c r="G135" s="157">
        <f t="shared" si="14"/>
        <v>3912.612068632196</v>
      </c>
      <c r="H135" s="157">
        <f t="shared" si="14"/>
        <v>3977.8400344577431</v>
      </c>
      <c r="I135" s="157">
        <f t="shared" si="14"/>
        <v>4044.1554292057363</v>
      </c>
      <c r="J135" s="157">
        <f t="shared" si="14"/>
        <v>4111.5763816288709</v>
      </c>
      <c r="K135" s="157">
        <f t="shared" si="14"/>
        <v>4180.1213227080343</v>
      </c>
      <c r="L135" s="157">
        <f t="shared" si="14"/>
        <v>4249.8089906908108</v>
      </c>
      <c r="M135" s="157">
        <f t="shared" si="14"/>
        <v>4320.6584362139874</v>
      </c>
      <c r="N135" s="157">
        <f t="shared" si="14"/>
        <v>4392.6890275114665</v>
      </c>
      <c r="O135" s="157">
        <f t="shared" si="14"/>
        <v>4465.9204557089834</v>
      </c>
      <c r="P135" s="157">
        <f t="shared" si="14"/>
        <v>4540.3727402071081</v>
      </c>
      <c r="Q135" s="157">
        <f t="shared" si="14"/>
        <v>4616.0662341539819</v>
      </c>
      <c r="R135" s="157">
        <f t="shared" si="14"/>
        <v>4693.0216300092934</v>
      </c>
      <c r="S135" s="157">
        <f t="shared" si="14"/>
        <v>4771.2599652010103</v>
      </c>
      <c r="T135" s="157">
        <f t="shared" si="14"/>
        <v>4850.8026278764173</v>
      </c>
      <c r="U135" s="157">
        <f t="shared" si="14"/>
        <v>4931.671362749028</v>
      </c>
      <c r="V135" s="157">
        <f t="shared" si="14"/>
        <v>5013.8882770429827</v>
      </c>
      <c r="W135" s="157">
        <f t="shared" si="14"/>
        <v>5097.4758465365276</v>
      </c>
      <c r="X135" s="157">
        <f t="shared" si="14"/>
        <v>5182.4569217062608</v>
      </c>
      <c r="Y135" s="157">
        <f t="shared" si="14"/>
        <v>5268.8547339738088</v>
      </c>
      <c r="Z135" s="157">
        <f t="shared" si="14"/>
        <v>5356.6929020566376</v>
      </c>
      <c r="AA135" s="157">
        <f t="shared" si="14"/>
        <v>5445.9954384247403</v>
      </c>
      <c r="AB135" s="157">
        <f t="shared" si="14"/>
        <v>5536.7867558649696</v>
      </c>
      <c r="AC135" s="157">
        <f t="shared" si="14"/>
        <v>5629.0916741548008</v>
      </c>
      <c r="AD135" s="157">
        <f t="shared" si="14"/>
        <v>5722.9354268473598</v>
      </c>
      <c r="AE135" s="157">
        <f t="shared" si="14"/>
        <v>5818.3436681695612</v>
      </c>
      <c r="AF135" s="157">
        <f t="shared" si="14"/>
        <v>5915.3424800352432</v>
      </c>
      <c r="AG135" s="157">
        <f t="shared" si="14"/>
        <v>6013.9583791752357</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2</v>
      </c>
      <c r="F4" s="65">
        <v>1.4</v>
      </c>
      <c r="G4" s="65">
        <v>0.6</v>
      </c>
      <c r="H4" s="65">
        <v>0.3</v>
      </c>
      <c r="I4" s="65">
        <v>0.13</v>
      </c>
      <c r="J4" s="65">
        <v>0.1</v>
      </c>
      <c r="K4" s="65">
        <v>0.08</v>
      </c>
      <c r="L4" s="65">
        <v>7.0000000000000007E-2</v>
      </c>
      <c r="M4" s="65">
        <v>0.05</v>
      </c>
      <c r="N4" s="65">
        <v>0.05</v>
      </c>
      <c r="O4" s="65">
        <v>0.05</v>
      </c>
      <c r="P4" s="65">
        <v>0.05</v>
      </c>
      <c r="Q4" s="65">
        <v>0.05</v>
      </c>
      <c r="R4" s="65">
        <v>0.05</v>
      </c>
      <c r="S4" s="65">
        <v>0.04</v>
      </c>
      <c r="T4" s="65">
        <v>0.04</v>
      </c>
      <c r="U4" s="65">
        <v>0.04</v>
      </c>
      <c r="V4" s="65">
        <v>0.04</v>
      </c>
      <c r="W4" s="65">
        <v>0.03</v>
      </c>
      <c r="X4" s="65">
        <v>0.03</v>
      </c>
      <c r="Y4" s="65">
        <v>0.03</v>
      </c>
      <c r="Z4" s="65">
        <v>2.1999999999999999E-2</v>
      </c>
      <c r="AA4" s="65">
        <v>2.1999999999999999E-2</v>
      </c>
      <c r="AB4" s="65">
        <v>2.1999999999999999E-2</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2.4968858913850696</v>
      </c>
      <c r="C6" s="25"/>
      <c r="D6" s="25"/>
      <c r="E6" s="27">
        <f>'Debt worksheet'!C5/'Profit and Loss'!C5</f>
        <v>1.2419487050850562</v>
      </c>
      <c r="F6" s="28">
        <f ca="1">'Debt worksheet'!D5/'Profit and Loss'!D5</f>
        <v>2.4742318574768754</v>
      </c>
      <c r="G6" s="28">
        <f ca="1">'Debt worksheet'!E5/'Profit and Loss'!E5</f>
        <v>2.4968858913850696</v>
      </c>
      <c r="H6" s="28">
        <f ca="1">'Debt worksheet'!F5/'Profit and Loss'!F5</f>
        <v>2.4310960369057431</v>
      </c>
      <c r="I6" s="28">
        <f ca="1">'Debt worksheet'!G5/'Profit and Loss'!G5</f>
        <v>2.4570108159055351</v>
      </c>
      <c r="J6" s="28">
        <f ca="1">'Debt worksheet'!H5/'Profit and Loss'!H5</f>
        <v>2.4596166882222001</v>
      </c>
      <c r="K6" s="28">
        <f ca="1">'Debt worksheet'!I5/'Profit and Loss'!I5</f>
        <v>2.4514761183561058</v>
      </c>
      <c r="L6" s="28">
        <f ca="1">'Debt worksheet'!J5/'Profit and Loss'!J5</f>
        <v>2.4306806921979662</v>
      </c>
      <c r="M6" s="28">
        <f ca="1">'Debt worksheet'!K5/'Profit and Loss'!K5</f>
        <v>2.4299345664036722</v>
      </c>
      <c r="N6" s="28">
        <f ca="1">'Debt worksheet'!L5/'Profit and Loss'!L5</f>
        <v>2.4213503364576772</v>
      </c>
      <c r="O6" s="28">
        <f ca="1">'Debt worksheet'!M5/'Profit and Loss'!M5</f>
        <v>2.4042775720205034</v>
      </c>
      <c r="P6" s="28">
        <f ca="1">'Debt worksheet'!N5/'Profit and Loss'!N5</f>
        <v>2.378164155299725</v>
      </c>
      <c r="Q6" s="28">
        <f ca="1">'Debt worksheet'!O5/'Profit and Loss'!O5</f>
        <v>2.3425485331085683</v>
      </c>
      <c r="R6" s="28">
        <f ca="1">'Debt worksheet'!P5/'Profit and Loss'!P5</f>
        <v>2.2970524586600134</v>
      </c>
      <c r="S6" s="28">
        <f ca="1">'Debt worksheet'!Q5/'Profit and Loss'!Q5</f>
        <v>2.2629258703773605</v>
      </c>
      <c r="T6" s="28">
        <f ca="1">'Debt worksheet'!R5/'Profit and Loss'!R5</f>
        <v>2.2267394105377281</v>
      </c>
      <c r="U6" s="28">
        <f ca="1">'Debt worksheet'!S5/'Profit and Loss'!S5</f>
        <v>2.1879039004964773</v>
      </c>
      <c r="V6" s="28">
        <f ca="1">'Debt worksheet'!T5/'Profit and Loss'!T5</f>
        <v>2.1458812018754081</v>
      </c>
      <c r="W6" s="28">
        <f ca="1">'Debt worksheet'!U5/'Profit and Loss'!U5</f>
        <v>2.1205715017757933</v>
      </c>
      <c r="X6" s="28">
        <f ca="1">'Debt worksheet'!V5/'Profit and Loss'!V5</f>
        <v>2.0999738104040535</v>
      </c>
      <c r="Y6" s="28">
        <f ca="1">'Debt worksheet'!W5/'Profit and Loss'!W5</f>
        <v>2.0835346538569692</v>
      </c>
      <c r="Z6" s="28">
        <f ca="1">'Debt worksheet'!X5/'Profit and Loss'!X5</f>
        <v>2.0869342566137887</v>
      </c>
      <c r="AA6" s="28">
        <f ca="1">'Debt worksheet'!Y5/'Profit and Loss'!Y5</f>
        <v>2.1012397012299826</v>
      </c>
      <c r="AB6" s="28">
        <f ca="1">'Debt worksheet'!Z5/'Profit and Loss'!Z5</f>
        <v>2.1260705690903676</v>
      </c>
      <c r="AC6" s="28">
        <f ca="1">'Debt worksheet'!AA5/'Profit and Loss'!AA5</f>
        <v>2.161055264908748</v>
      </c>
      <c r="AD6" s="28">
        <f ca="1">'Debt worksheet'!AB5/'Profit and Loss'!AB5</f>
        <v>2.2058308309690449</v>
      </c>
      <c r="AE6" s="28">
        <f ca="1">'Debt worksheet'!AC5/'Profit and Loss'!AC5</f>
        <v>2.2600427651263657</v>
      </c>
      <c r="AF6" s="28">
        <f ca="1">'Debt worksheet'!AD5/'Profit and Loss'!AD5</f>
        <v>2.3233448424939902</v>
      </c>
      <c r="AG6" s="28">
        <f ca="1">'Debt worksheet'!AE5/'Profit and Loss'!AE5</f>
        <v>2.3953989407436502</v>
      </c>
      <c r="AH6" s="28">
        <f ca="1">'Debt worksheet'!AF5/'Profit and Loss'!AF5</f>
        <v>2.4758748689478995</v>
      </c>
      <c r="AI6" s="31"/>
    </row>
    <row r="7" spans="1:35" ht="21" x14ac:dyDescent="0.5">
      <c r="A7" s="19" t="s">
        <v>38</v>
      </c>
      <c r="B7" s="26">
        <f ca="1">MIN('Price and Financial ratios'!E7:AH7)</f>
        <v>-0.26723817502070074</v>
      </c>
      <c r="C7" s="26"/>
      <c r="D7" s="26"/>
      <c r="E7" s="56">
        <f ca="1">'Cash Flow'!C7/'Debt worksheet'!C5</f>
        <v>-0.26723817502070074</v>
      </c>
      <c r="F7" s="32">
        <f ca="1">'Cash Flow'!D7/'Debt worksheet'!D5</f>
        <v>0.13611101235524928</v>
      </c>
      <c r="G7" s="32">
        <f ca="1">'Cash Flow'!E7/'Debt worksheet'!E5</f>
        <v>0.21130339783781368</v>
      </c>
      <c r="H7" s="32">
        <f ca="1">'Cash Flow'!F7/'Debt worksheet'!F5</f>
        <v>0.24583094351662002</v>
      </c>
      <c r="I7" s="32">
        <f ca="1">'Cash Flow'!G7/'Debt worksheet'!G5</f>
        <v>0.24874564282853265</v>
      </c>
      <c r="J7" s="32">
        <f ca="1">'Cash Flow'!H7/'Debt worksheet'!H5</f>
        <v>0.25118600164713112</v>
      </c>
      <c r="K7" s="32">
        <f ca="1">'Cash Flow'!I7/'Debt worksheet'!I5</f>
        <v>0.25298419918995246</v>
      </c>
      <c r="L7" s="32">
        <f ca="1">'Cash Flow'!J7/'Debt worksheet'!J5</f>
        <v>0.25557214156546421</v>
      </c>
      <c r="M7" s="17">
        <f ca="1">'Cash Flow'!K7/'Debt worksheet'!K5</f>
        <v>0.25368020756156634</v>
      </c>
      <c r="N7" s="17">
        <f ca="1">'Cash Flow'!L7/'Debt worksheet'!L5</f>
        <v>0.25311182180375918</v>
      </c>
      <c r="O7" s="17">
        <f ca="1">'Cash Flow'!M7/'Debt worksheet'!M5</f>
        <v>0.25392467435176069</v>
      </c>
      <c r="P7" s="17">
        <f ca="1">'Cash Flow'!N7/'Debt worksheet'!N5</f>
        <v>0.25619714939437382</v>
      </c>
      <c r="Q7" s="17">
        <f ca="1">'Cash Flow'!O7/'Debt worksheet'!O5</f>
        <v>0.26003607744436036</v>
      </c>
      <c r="R7" s="17">
        <f ca="1">'Cash Flow'!P7/'Debt worksheet'!P5</f>
        <v>0.26558612116676134</v>
      </c>
      <c r="S7" s="17">
        <f ca="1">'Cash Flow'!Q7/'Debt worksheet'!Q5</f>
        <v>0.26863873122235271</v>
      </c>
      <c r="T7" s="17">
        <f ca="1">'Cash Flow'!R7/'Debt worksheet'!R5</f>
        <v>0.27232244299221736</v>
      </c>
      <c r="U7" s="17">
        <f ca="1">'Cash Flow'!S7/'Debt worksheet'!S5</f>
        <v>0.27674816911380573</v>
      </c>
      <c r="V7" s="17">
        <f ca="1">'Cash Flow'!T7/'Debt worksheet'!T5</f>
        <v>0.28203774373902729</v>
      </c>
      <c r="W7" s="17">
        <f ca="1">'Cash Flow'!U7/'Debt worksheet'!U5</f>
        <v>0.28358413502653806</v>
      </c>
      <c r="X7" s="17">
        <f ca="1">'Cash Flow'!V7/'Debt worksheet'!V5</f>
        <v>0.28463183876176429</v>
      </c>
      <c r="Y7" s="17">
        <f ca="1">'Cash Flow'!W7/'Debt worksheet'!W5</f>
        <v>0.28523687857373581</v>
      </c>
      <c r="Z7" s="17">
        <f ca="1">'Cash Flow'!X7/'Debt worksheet'!X5</f>
        <v>0.28157307738728321</v>
      </c>
      <c r="AA7" s="17">
        <f ca="1">'Cash Flow'!Y7/'Debt worksheet'!Y5</f>
        <v>0.27641852811183804</v>
      </c>
      <c r="AB7" s="17">
        <f ca="1">'Cash Flow'!Z7/'Debt worksheet'!Z5</f>
        <v>0.2699340967412604</v>
      </c>
      <c r="AC7" s="17">
        <f ca="1">'Cash Flow'!AA7/'Debt worksheet'!AA5</f>
        <v>0.26230849917596305</v>
      </c>
      <c r="AD7" s="17">
        <f ca="1">'Cash Flow'!AB7/'Debt worksheet'!AB5</f>
        <v>0.25374597874959265</v>
      </c>
      <c r="AE7" s="17">
        <f ca="1">'Cash Flow'!AC7/'Debt worksheet'!AC5</f>
        <v>0.24445459905420652</v>
      </c>
      <c r="AF7" s="17">
        <f ca="1">'Cash Flow'!AD7/'Debt worksheet'!AD5</f>
        <v>0.23463617000976347</v>
      </c>
      <c r="AG7" s="17">
        <f ca="1">'Cash Flow'!AE7/'Debt worksheet'!AE5</f>
        <v>0.22447841393616358</v>
      </c>
      <c r="AH7" s="17">
        <f ca="1">'Cash Flow'!AF7/'Debt worksheet'!AF5</f>
        <v>0.21414957492058484</v>
      </c>
      <c r="AI7" s="29"/>
    </row>
    <row r="8" spans="1:35" ht="21" x14ac:dyDescent="0.5">
      <c r="A8" s="19" t="s">
        <v>33</v>
      </c>
      <c r="B8" s="26">
        <f ca="1">MAX('Price and Financial ratios'!E8:AH8)</f>
        <v>0.40386665918127751</v>
      </c>
      <c r="C8" s="26"/>
      <c r="D8" s="176"/>
      <c r="E8" s="17">
        <f>'Balance Sheet'!B11/'Balance Sheet'!B8</f>
        <v>4.5363920792346218E-2</v>
      </c>
      <c r="F8" s="17">
        <f ca="1">'Balance Sheet'!C11/'Balance Sheet'!C8</f>
        <v>0.23173550306765389</v>
      </c>
      <c r="G8" s="17">
        <f ca="1">'Balance Sheet'!D11/'Balance Sheet'!D8</f>
        <v>0.33447439256296585</v>
      </c>
      <c r="H8" s="17">
        <f ca="1">'Balance Sheet'!E11/'Balance Sheet'!E8</f>
        <v>0.38275793706781913</v>
      </c>
      <c r="I8" s="17">
        <f ca="1">'Balance Sheet'!F11/'Balance Sheet'!F8</f>
        <v>0.39887068406184434</v>
      </c>
      <c r="J8" s="17">
        <f ca="1">'Balance Sheet'!G11/'Balance Sheet'!G8</f>
        <v>0.40386665918127751</v>
      </c>
      <c r="K8" s="17">
        <f ca="1">'Balance Sheet'!H11/'Balance Sheet'!H8</f>
        <v>0.40232828207454957</v>
      </c>
      <c r="L8" s="17">
        <f ca="1">'Balance Sheet'!I11/'Balance Sheet'!I8</f>
        <v>0.39720931575358265</v>
      </c>
      <c r="M8" s="17">
        <f ca="1">'Balance Sheet'!J11/'Balance Sheet'!J8</f>
        <v>0.38985194368349979</v>
      </c>
      <c r="N8" s="17">
        <f ca="1">'Balance Sheet'!K11/'Balance Sheet'!K8</f>
        <v>0.38298419217110341</v>
      </c>
      <c r="O8" s="17">
        <f ca="1">'Balance Sheet'!L11/'Balance Sheet'!L8</f>
        <v>0.37628123284045351</v>
      </c>
      <c r="P8" s="17">
        <f ca="1">'Balance Sheet'!M11/'Balance Sheet'!M8</f>
        <v>0.36947061738511505</v>
      </c>
      <c r="Q8" s="17">
        <f ca="1">'Balance Sheet'!N11/'Balance Sheet'!N8</f>
        <v>0.36231788014595667</v>
      </c>
      <c r="R8" s="17">
        <f ca="1">'Balance Sheet'!O11/'Balance Sheet'!O8</f>
        <v>0.35461634262776331</v>
      </c>
      <c r="S8" s="17">
        <f ca="1">'Balance Sheet'!P11/'Balance Sheet'!P8</f>
        <v>0.34617974335966534</v>
      </c>
      <c r="T8" s="17">
        <f ca="1">'Balance Sheet'!Q11/'Balance Sheet'!Q8</f>
        <v>0.33826839459453478</v>
      </c>
      <c r="U8" s="17">
        <f ca="1">'Balance Sheet'!R11/'Balance Sheet'!R8</f>
        <v>0.33068550166698019</v>
      </c>
      <c r="V8" s="17">
        <f ca="1">'Balance Sheet'!S11/'Balance Sheet'!S8</f>
        <v>0.32325784459998497</v>
      </c>
      <c r="W8" s="17">
        <f ca="1">'Balance Sheet'!T11/'Balance Sheet'!T8</f>
        <v>0.31583079456215779</v>
      </c>
      <c r="X8" s="17">
        <f ca="1">'Balance Sheet'!U11/'Balance Sheet'!U8</f>
        <v>0.30968128731714561</v>
      </c>
      <c r="Y8" s="17">
        <f ca="1">'Balance Sheet'!V11/'Balance Sheet'!V8</f>
        <v>0.30464399848242324</v>
      </c>
      <c r="Z8" s="17">
        <f ca="1">'Balance Sheet'!W11/'Balance Sheet'!W8</f>
        <v>0.30057422640036158</v>
      </c>
      <c r="AA8" s="17">
        <f ca="1">'Balance Sheet'!X11/'Balance Sheet'!X8</f>
        <v>0.29845316345930539</v>
      </c>
      <c r="AB8" s="17">
        <f ca="1">'Balance Sheet'!Y11/'Balance Sheet'!Y8</f>
        <v>0.29813051010845232</v>
      </c>
      <c r="AC8" s="17">
        <f ca="1">'Balance Sheet'!Z11/'Balance Sheet'!Z8</f>
        <v>0.29947517163978049</v>
      </c>
      <c r="AD8" s="17">
        <f ca="1">'Balance Sheet'!AA11/'Balance Sheet'!AA8</f>
        <v>0.30237227585036047</v>
      </c>
      <c r="AE8" s="17">
        <f ca="1">'Balance Sheet'!AB11/'Balance Sheet'!AB8</f>
        <v>0.30672072654580967</v>
      </c>
      <c r="AF8" s="17">
        <f ca="1">'Balance Sheet'!AC11/'Balance Sheet'!AC8</f>
        <v>0.31243118381764889</v>
      </c>
      <c r="AG8" s="17">
        <f ca="1">'Balance Sheet'!AD11/'Balance Sheet'!AD8</f>
        <v>0.31942438668393131</v>
      </c>
      <c r="AH8" s="17">
        <f ca="1">'Balance Sheet'!AE11/'Balance Sheet'!AE8</f>
        <v>0.3276297522405856</v>
      </c>
      <c r="AI8" s="29"/>
    </row>
    <row r="9" spans="1:35" ht="21.5" thickBot="1" x14ac:dyDescent="0.55000000000000004">
      <c r="A9" s="20" t="s">
        <v>32</v>
      </c>
      <c r="B9" s="21">
        <f ca="1">MIN('Price and Financial ratios'!E9:AH9)</f>
        <v>-0.57073149384411115</v>
      </c>
      <c r="C9" s="21"/>
      <c r="D9" s="177"/>
      <c r="E9" s="21">
        <f ca="1">('Cash Flow'!C7+'Profit and Loss'!C8)/('Profit and Loss'!C8)</f>
        <v>-0.57073149384411115</v>
      </c>
      <c r="F9" s="21">
        <f ca="1">('Cash Flow'!D7+'Profit and Loss'!D8)/('Profit and Loss'!D8)</f>
        <v>3.3690073713171604</v>
      </c>
      <c r="G9" s="21">
        <f ca="1">('Cash Flow'!E7+'Profit and Loss'!E8)/('Profit and Loss'!E8)</f>
        <v>5.6914937268171473</v>
      </c>
      <c r="H9" s="21">
        <f ca="1">('Cash Flow'!F7+'Profit and Loss'!F8)/('Profit and Loss'!F8)</f>
        <v>7.0492924825641499</v>
      </c>
      <c r="I9" s="21">
        <f ca="1">('Cash Flow'!G7+'Profit and Loss'!G8)/('Profit and Loss'!G8)</f>
        <v>7.3482477252955425</v>
      </c>
      <c r="J9" s="21">
        <f ca="1">('Cash Flow'!H7+'Profit and Loss'!H8)/('Profit and Loss'!H8)</f>
        <v>7.557871056461047</v>
      </c>
      <c r="K9" s="21">
        <f ca="1">('Cash Flow'!I7+'Profit and Loss'!I8)/('Profit and Loss'!I8)</f>
        <v>7.7013269377008626</v>
      </c>
      <c r="L9" s="21">
        <f ca="1">('Cash Flow'!J7+'Profit and Loss'!J8)/('Profit and Loss'!J8)</f>
        <v>7.8424081576856981</v>
      </c>
      <c r="M9" s="21">
        <f ca="1">('Cash Flow'!K7+'Profit and Loss'!K8)/('Profit and Loss'!K8)</f>
        <v>7.8137416890459725</v>
      </c>
      <c r="N9" s="21">
        <f ca="1">('Cash Flow'!L7+'Profit and Loss'!L8)/('Profit and Loss'!L8)</f>
        <v>7.8225635150884179</v>
      </c>
      <c r="O9" s="21">
        <f ca="1">('Cash Flow'!M7+'Profit and Loss'!M8)/('Profit and Loss'!M8)</f>
        <v>7.870839644097928</v>
      </c>
      <c r="P9" s="21">
        <f ca="1">('Cash Flow'!N7+'Profit and Loss'!N8)/('Profit and Loss'!N8)</f>
        <v>7.961288890848472</v>
      </c>
      <c r="Q9" s="21">
        <f ca="1">('Cash Flow'!O7+'Profit and Loss'!O8)/('Profit and Loss'!O8)</f>
        <v>8.0976310918348773</v>
      </c>
      <c r="R9" s="21">
        <f ca="1">('Cash Flow'!P7+'Profit and Loss'!P8)/('Profit and Loss'!P8)</f>
        <v>8.2849077134688809</v>
      </c>
      <c r="S9" s="21">
        <f ca="1">('Cash Flow'!Q7+'Profit and Loss'!Q8)/('Profit and Loss'!Q8)</f>
        <v>8.377133650793553</v>
      </c>
      <c r="T9" s="21">
        <f ca="1">('Cash Flow'!R7+'Profit and Loss'!R8)/('Profit and Loss'!R8)</f>
        <v>8.4893250439899433</v>
      </c>
      <c r="U9" s="21">
        <f ca="1">('Cash Flow'!S7+'Profit and Loss'!S8)/('Profit and Loss'!S8)</f>
        <v>8.6247466146278651</v>
      </c>
      <c r="V9" s="21">
        <f ca="1">('Cash Flow'!T7+'Profit and Loss'!T8)/('Profit and Loss'!T8)</f>
        <v>8.7870720527321478</v>
      </c>
      <c r="W9" s="21">
        <f ca="1">('Cash Flow'!U7+'Profit and Loss'!U8)/('Profit and Loss'!U8)</f>
        <v>8.8133122320814969</v>
      </c>
      <c r="X9" s="21">
        <f ca="1">('Cash Flow'!V7+'Profit and Loss'!V8)/('Profit and Loss'!V8)</f>
        <v>8.8272793826416507</v>
      </c>
      <c r="Y9" s="21">
        <f ca="1">('Cash Flow'!W7+'Profit and Loss'!W8)/('Profit and Loss'!W8)</f>
        <v>8.8306564543384827</v>
      </c>
      <c r="Z9" s="21">
        <f ca="1">('Cash Flow'!X7+'Profit and Loss'!X8)/('Profit and Loss'!X8)</f>
        <v>8.6899733228916869</v>
      </c>
      <c r="AA9" s="21">
        <f ca="1">('Cash Flow'!Y7+'Profit and Loss'!Y8)/('Profit and Loss'!Y8)</f>
        <v>8.5121734692924385</v>
      </c>
      <c r="AB9" s="21">
        <f ca="1">('Cash Flow'!Z7+'Profit and Loss'!Z8)/('Profit and Loss'!Z8)</f>
        <v>8.3024750868762052</v>
      </c>
      <c r="AC9" s="21">
        <f ca="1">('Cash Flow'!AA7+'Profit and Loss'!AA8)/('Profit and Loss'!AA8)</f>
        <v>8.0665358895932346</v>
      </c>
      <c r="AD9" s="21">
        <f ca="1">('Cash Flow'!AB7+'Profit and Loss'!AB8)/('Profit and Loss'!AB8)</f>
        <v>7.8101276064694405</v>
      </c>
      <c r="AE9" s="21">
        <f ca="1">('Cash Flow'!AC7+'Profit and Loss'!AC8)/('Profit and Loss'!AC8)</f>
        <v>7.5388553518426153</v>
      </c>
      <c r="AF9" s="21">
        <f ca="1">('Cash Flow'!AD7+'Profit and Loss'!AD8)/('Profit and Loss'!AD8)</f>
        <v>7.2579388959509563</v>
      </c>
      <c r="AG9" s="21">
        <f ca="1">('Cash Flow'!AE7+'Profit and Loss'!AE8)/('Profit and Loss'!AE8)</f>
        <v>6.972061651483755</v>
      </c>
      <c r="AH9" s="21">
        <f ca="1">('Cash Flow'!AF7+'Profit and Loss'!AF8)/('Profit and Loss'!AF8)</f>
        <v>6.6852841325322618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2600875.8442779318</v>
      </c>
      <c r="D5" s="1">
        <f>Assumptions!E111</f>
        <v>2600875.8442779318</v>
      </c>
      <c r="E5" s="1">
        <f>Assumptions!F111</f>
        <v>2600875.8442779318</v>
      </c>
      <c r="F5" s="1">
        <f>Assumptions!G111</f>
        <v>2600875.8442779318</v>
      </c>
      <c r="G5" s="1">
        <f>Assumptions!H111</f>
        <v>2600875.8442779318</v>
      </c>
      <c r="H5" s="1">
        <f>Assumptions!I111</f>
        <v>2600875.8442779318</v>
      </c>
      <c r="I5" s="1">
        <f>Assumptions!J111</f>
        <v>2600875.8442779318</v>
      </c>
      <c r="J5" s="1">
        <f>Assumptions!K111</f>
        <v>2600875.8442779318</v>
      </c>
      <c r="K5" s="1">
        <f>Assumptions!L111</f>
        <v>2600875.8442779318</v>
      </c>
      <c r="L5" s="1">
        <f>Assumptions!M111</f>
        <v>2600875.8442779318</v>
      </c>
      <c r="M5" s="1">
        <f>Assumptions!N111</f>
        <v>2600875.8442779318</v>
      </c>
      <c r="N5" s="1">
        <f>Assumptions!O111</f>
        <v>2600875.8442779318</v>
      </c>
      <c r="O5" s="1">
        <f>Assumptions!P111</f>
        <v>2600875.8442779318</v>
      </c>
      <c r="P5" s="1">
        <f>Assumptions!Q111</f>
        <v>2600875.8442779318</v>
      </c>
      <c r="Q5" s="1">
        <f>Assumptions!R111</f>
        <v>2600875.8442779318</v>
      </c>
      <c r="R5" s="1">
        <f>Assumptions!S111</f>
        <v>2600875.8442779318</v>
      </c>
      <c r="S5" s="1">
        <f>Assumptions!T111</f>
        <v>2600875.8442779318</v>
      </c>
      <c r="T5" s="1">
        <f>Assumptions!U111</f>
        <v>2600875.8442779318</v>
      </c>
      <c r="U5" s="1">
        <f>Assumptions!V111</f>
        <v>2600875.8442779318</v>
      </c>
      <c r="V5" s="1">
        <f>Assumptions!W111</f>
        <v>2600875.8442779318</v>
      </c>
      <c r="W5" s="1">
        <f>Assumptions!X111</f>
        <v>2600875.8442779318</v>
      </c>
      <c r="X5" s="1">
        <f>Assumptions!Y111</f>
        <v>2600875.8442779318</v>
      </c>
      <c r="Y5" s="1">
        <f>Assumptions!Z111</f>
        <v>2600875.8442779318</v>
      </c>
      <c r="Z5" s="1">
        <f>Assumptions!AA111</f>
        <v>2600875.8442779318</v>
      </c>
      <c r="AA5" s="1">
        <f>Assumptions!AB111</f>
        <v>2600875.8442779318</v>
      </c>
      <c r="AB5" s="1">
        <f>Assumptions!AC111</f>
        <v>2600875.8442779318</v>
      </c>
      <c r="AC5" s="1">
        <f>Assumptions!AD111</f>
        <v>2600875.8442779318</v>
      </c>
      <c r="AD5" s="1">
        <f>Assumptions!AE111</f>
        <v>2600875.8442779318</v>
      </c>
      <c r="AE5" s="1">
        <f>Assumptions!AF111</f>
        <v>2600875.8442779318</v>
      </c>
      <c r="AF5" s="1">
        <f>Assumptions!AG111</f>
        <v>2600875.8442779318</v>
      </c>
    </row>
    <row r="6" spans="1:32" x14ac:dyDescent="0.35">
      <c r="A6" t="s">
        <v>68</v>
      </c>
      <c r="C6" s="1">
        <f>Assumptions!D113</f>
        <v>11797605.433880715</v>
      </c>
      <c r="D6" s="1">
        <f>Assumptions!E113</f>
        <v>11797605.433880715</v>
      </c>
      <c r="E6" s="1">
        <f>Assumptions!F113</f>
        <v>11797605.433880715</v>
      </c>
      <c r="F6" s="1">
        <f>Assumptions!G113</f>
        <v>11797605.433880715</v>
      </c>
      <c r="G6" s="1">
        <f>Assumptions!H113</f>
        <v>11797605.433880715</v>
      </c>
      <c r="H6" s="1">
        <f>Assumptions!I113</f>
        <v>11797605.433880715</v>
      </c>
      <c r="I6" s="1">
        <f>Assumptions!J113</f>
        <v>11797605.433880715</v>
      </c>
      <c r="J6" s="1">
        <f>Assumptions!K113</f>
        <v>11797605.433880715</v>
      </c>
      <c r="K6" s="1">
        <f>Assumptions!L113</f>
        <v>11797605.433880715</v>
      </c>
      <c r="L6" s="1">
        <f>Assumptions!M113</f>
        <v>11797605.433880715</v>
      </c>
      <c r="M6" s="1">
        <f>Assumptions!N113</f>
        <v>11797605.433880715</v>
      </c>
      <c r="N6" s="1">
        <f>Assumptions!O113</f>
        <v>11797605.433880715</v>
      </c>
      <c r="O6" s="1">
        <f>Assumptions!P113</f>
        <v>11797605.433880715</v>
      </c>
      <c r="P6" s="1">
        <f>Assumptions!Q113</f>
        <v>11797605.433880715</v>
      </c>
      <c r="Q6" s="1">
        <f>Assumptions!R113</f>
        <v>11797605.433880715</v>
      </c>
      <c r="R6" s="1">
        <f>Assumptions!S113</f>
        <v>11797605.433880715</v>
      </c>
      <c r="S6" s="1">
        <f>Assumptions!T113</f>
        <v>11797605.433880715</v>
      </c>
      <c r="T6" s="1">
        <f>Assumptions!U113</f>
        <v>11797605.433880715</v>
      </c>
      <c r="U6" s="1">
        <f>Assumptions!V113</f>
        <v>11797605.433880715</v>
      </c>
      <c r="V6" s="1">
        <f>Assumptions!W113</f>
        <v>11797605.433880715</v>
      </c>
      <c r="W6" s="1">
        <f>Assumptions!X113</f>
        <v>11797605.433880715</v>
      </c>
      <c r="X6" s="1">
        <f>Assumptions!Y113</f>
        <v>11797605.433880715</v>
      </c>
      <c r="Y6" s="1">
        <f>Assumptions!Z113</f>
        <v>11797605.433880715</v>
      </c>
      <c r="Z6" s="1">
        <f>Assumptions!AA113</f>
        <v>11797605.433880715</v>
      </c>
      <c r="AA6" s="1">
        <f>Assumptions!AB113</f>
        <v>11797605.433880715</v>
      </c>
      <c r="AB6" s="1">
        <f>Assumptions!AC113</f>
        <v>11797605.433880715</v>
      </c>
      <c r="AC6" s="1">
        <f>Assumptions!AD113</f>
        <v>11797605.433880715</v>
      </c>
      <c r="AD6" s="1">
        <f>Assumptions!AE113</f>
        <v>11797605.433880715</v>
      </c>
      <c r="AE6" s="1">
        <f>Assumptions!AF113</f>
        <v>11797605.433880715</v>
      </c>
      <c r="AF6" s="1">
        <f>Assumptions!AG113</f>
        <v>11797605.433880715</v>
      </c>
    </row>
    <row r="7" spans="1:32" x14ac:dyDescent="0.35">
      <c r="A7" t="s">
        <v>73</v>
      </c>
      <c r="C7" s="1">
        <f>Assumptions!D120</f>
        <v>283142.53041313717</v>
      </c>
      <c r="D7" s="1">
        <f>Assumptions!E120</f>
        <v>566285.06082627433</v>
      </c>
      <c r="E7" s="1">
        <f>Assumptions!F120</f>
        <v>849427.59123941138</v>
      </c>
      <c r="F7" s="1">
        <f>Assumptions!G120</f>
        <v>1132570.1216525487</v>
      </c>
      <c r="G7" s="1">
        <f>Assumptions!H120</f>
        <v>1415712.6520656857</v>
      </c>
      <c r="H7" s="1">
        <f>Assumptions!I120</f>
        <v>1698855.1824788228</v>
      </c>
      <c r="I7" s="1">
        <f>Assumptions!J120</f>
        <v>1981997.7128919601</v>
      </c>
      <c r="J7" s="1">
        <f>Assumptions!K120</f>
        <v>2265140.2433050973</v>
      </c>
      <c r="K7" s="1">
        <f>Assumptions!L120</f>
        <v>2548282.7737182342</v>
      </c>
      <c r="L7" s="1">
        <f>Assumptions!M120</f>
        <v>2831425.3041313714</v>
      </c>
      <c r="M7" s="1">
        <f>Assumptions!N120</f>
        <v>3114567.8345445083</v>
      </c>
      <c r="N7" s="1">
        <f>Assumptions!O120</f>
        <v>3397710.3649576455</v>
      </c>
      <c r="O7" s="1">
        <f>Assumptions!P120</f>
        <v>3680852.8953707828</v>
      </c>
      <c r="P7" s="1">
        <f>Assumptions!Q120</f>
        <v>3963995.4257839201</v>
      </c>
      <c r="Q7" s="1">
        <f>Assumptions!R120</f>
        <v>4247137.9561970569</v>
      </c>
      <c r="R7" s="1">
        <f>Assumptions!S120</f>
        <v>4530280.4866101947</v>
      </c>
      <c r="S7" s="1">
        <f>Assumptions!T120</f>
        <v>4813423.0170233315</v>
      </c>
      <c r="T7" s="1">
        <f>Assumptions!U120</f>
        <v>5096565.5474364683</v>
      </c>
      <c r="U7" s="1">
        <f>Assumptions!V120</f>
        <v>5379708.077849607</v>
      </c>
      <c r="V7" s="1">
        <f>Assumptions!W120</f>
        <v>5662850.6082627429</v>
      </c>
      <c r="W7" s="1">
        <f>Assumptions!X120</f>
        <v>5945993.1386758806</v>
      </c>
      <c r="X7" s="1">
        <f>Assumptions!Y120</f>
        <v>6229135.6690890165</v>
      </c>
      <c r="Y7" s="1">
        <f>Assumptions!Z120</f>
        <v>6512278.1995021543</v>
      </c>
      <c r="Z7" s="1">
        <f>Assumptions!AA120</f>
        <v>6795420.7299152911</v>
      </c>
      <c r="AA7" s="1">
        <f>Assumptions!AB120</f>
        <v>7078563.2603284279</v>
      </c>
      <c r="AB7" s="1">
        <f>Assumptions!AC120</f>
        <v>7361705.7907415638</v>
      </c>
      <c r="AC7" s="1">
        <f>Assumptions!AD120</f>
        <v>7644848.3211547006</v>
      </c>
      <c r="AD7" s="1">
        <f>Assumptions!AE120</f>
        <v>7927990.8515678365</v>
      </c>
      <c r="AE7" s="1">
        <f>Assumptions!AF120</f>
        <v>8211133.3819809742</v>
      </c>
      <c r="AF7" s="1">
        <f>Assumptions!AG120</f>
        <v>8494275.9123941101</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2684103.8712948258</v>
      </c>
      <c r="D11" s="1">
        <f>D5*D$9</f>
        <v>2769995.1951762601</v>
      </c>
      <c r="E11" s="1">
        <f t="shared" ref="D11:AF13" si="1">E5*E$9</f>
        <v>2858635.0414219</v>
      </c>
      <c r="F11" s="1">
        <f t="shared" si="1"/>
        <v>2950111.362747401</v>
      </c>
      <c r="G11" s="1">
        <f t="shared" si="1"/>
        <v>3044514.9263553182</v>
      </c>
      <c r="H11" s="1">
        <f t="shared" si="1"/>
        <v>3141939.4039986879</v>
      </c>
      <c r="I11" s="1">
        <f t="shared" si="1"/>
        <v>3242481.4649266456</v>
      </c>
      <c r="J11" s="1">
        <f t="shared" si="1"/>
        <v>3346240.8718042988</v>
      </c>
      <c r="K11" s="1">
        <f t="shared" si="1"/>
        <v>3453320.5797020365</v>
      </c>
      <c r="L11" s="1">
        <f t="shared" si="1"/>
        <v>3563826.8382525011</v>
      </c>
      <c r="M11" s="1">
        <f t="shared" si="1"/>
        <v>3677869.297076581</v>
      </c>
      <c r="N11" s="1">
        <f t="shared" si="1"/>
        <v>3795561.1145830317</v>
      </c>
      <c r="O11" s="1">
        <f t="shared" si="1"/>
        <v>3917019.0702496893</v>
      </c>
      <c r="P11" s="1">
        <f t="shared" si="1"/>
        <v>4042363.6804976785</v>
      </c>
      <c r="Q11" s="1">
        <f t="shared" si="1"/>
        <v>4171719.3182736035</v>
      </c>
      <c r="R11" s="1">
        <f t="shared" si="1"/>
        <v>4305214.3364583598</v>
      </c>
      <c r="S11" s="1">
        <f t="shared" si="1"/>
        <v>4442981.1952250283</v>
      </c>
      <c r="T11" s="1">
        <f t="shared" si="1"/>
        <v>4585156.5934722284</v>
      </c>
      <c r="U11" s="1">
        <f t="shared" si="1"/>
        <v>4731881.6044633389</v>
      </c>
      <c r="V11" s="1">
        <f t="shared" si="1"/>
        <v>4883301.8158061663</v>
      </c>
      <c r="W11" s="1">
        <f t="shared" si="1"/>
        <v>5039567.4739119643</v>
      </c>
      <c r="X11" s="1">
        <f t="shared" si="1"/>
        <v>5200833.6330771465</v>
      </c>
      <c r="Y11" s="1">
        <f t="shared" si="1"/>
        <v>5367260.3093356146</v>
      </c>
      <c r="Z11" s="1">
        <f t="shared" si="1"/>
        <v>5539012.6392343538</v>
      </c>
      <c r="AA11" s="1">
        <f t="shared" si="1"/>
        <v>5716261.0436898554</v>
      </c>
      <c r="AB11" s="1">
        <f t="shared" si="1"/>
        <v>5899181.3970879288</v>
      </c>
      <c r="AC11" s="1">
        <f t="shared" si="1"/>
        <v>6087955.2017947426</v>
      </c>
      <c r="AD11" s="1">
        <f t="shared" si="1"/>
        <v>6282769.7682521753</v>
      </c>
      <c r="AE11" s="1">
        <f t="shared" si="1"/>
        <v>6483818.4008362442</v>
      </c>
      <c r="AF11" s="1">
        <f t="shared" si="1"/>
        <v>6691300.5896630036</v>
      </c>
    </row>
    <row r="12" spans="1:32" x14ac:dyDescent="0.35">
      <c r="A12" t="s">
        <v>71</v>
      </c>
      <c r="C12" s="1">
        <f t="shared" ref="C12:R12" si="2">C6*C$9</f>
        <v>12175128.807764897</v>
      </c>
      <c r="D12" s="1">
        <f t="shared" si="2"/>
        <v>12564732.929613374</v>
      </c>
      <c r="E12" s="1">
        <f t="shared" si="2"/>
        <v>12966804.383361001</v>
      </c>
      <c r="F12" s="1">
        <f t="shared" si="2"/>
        <v>13381742.123628553</v>
      </c>
      <c r="G12" s="1">
        <f t="shared" si="2"/>
        <v>13809957.871584669</v>
      </c>
      <c r="H12" s="1">
        <f t="shared" si="2"/>
        <v>14251876.523475375</v>
      </c>
      <c r="I12" s="1">
        <f t="shared" si="2"/>
        <v>14707936.572226586</v>
      </c>
      <c r="J12" s="1">
        <f t="shared" si="2"/>
        <v>15178590.542537838</v>
      </c>
      <c r="K12" s="1">
        <f t="shared" si="2"/>
        <v>15664305.439899052</v>
      </c>
      <c r="L12" s="1">
        <f t="shared" si="2"/>
        <v>16165563.213975819</v>
      </c>
      <c r="M12" s="1">
        <f t="shared" si="2"/>
        <v>16682861.236823045</v>
      </c>
      <c r="N12" s="1">
        <f t="shared" si="2"/>
        <v>17216712.796401381</v>
      </c>
      <c r="O12" s="1">
        <f t="shared" si="2"/>
        <v>17767647.605886228</v>
      </c>
      <c r="P12" s="1">
        <f t="shared" si="2"/>
        <v>18336212.329274584</v>
      </c>
      <c r="Q12" s="1">
        <f t="shared" si="2"/>
        <v>18922971.123811368</v>
      </c>
      <c r="R12" s="1">
        <f t="shared" si="2"/>
        <v>19528506.199773338</v>
      </c>
      <c r="S12" s="1">
        <f t="shared" si="1"/>
        <v>20153418.398166087</v>
      </c>
      <c r="T12" s="1">
        <f t="shared" si="1"/>
        <v>20798327.786907397</v>
      </c>
      <c r="U12" s="1">
        <f t="shared" si="1"/>
        <v>21463874.276088431</v>
      </c>
      <c r="V12" s="1">
        <f t="shared" si="1"/>
        <v>22150718.252923265</v>
      </c>
      <c r="W12" s="1">
        <f t="shared" si="1"/>
        <v>22859541.237016812</v>
      </c>
      <c r="X12" s="1">
        <f t="shared" si="1"/>
        <v>23591046.556601346</v>
      </c>
      <c r="Y12" s="1">
        <f t="shared" si="1"/>
        <v>24345960.046412583</v>
      </c>
      <c r="Z12" s="1">
        <f t="shared" si="1"/>
        <v>25125030.767897788</v>
      </c>
      <c r="AA12" s="1">
        <f t="shared" si="1"/>
        <v>25929031.752470523</v>
      </c>
      <c r="AB12" s="1">
        <f t="shared" si="1"/>
        <v>26758760.768549576</v>
      </c>
      <c r="AC12" s="1">
        <f t="shared" si="1"/>
        <v>27615041.113143161</v>
      </c>
      <c r="AD12" s="1">
        <f t="shared" si="1"/>
        <v>28498722.428763747</v>
      </c>
      <c r="AE12" s="1">
        <f t="shared" si="1"/>
        <v>29410681.546484184</v>
      </c>
      <c r="AF12" s="1">
        <f t="shared" si="1"/>
        <v>30351823.355971675</v>
      </c>
    </row>
    <row r="13" spans="1:32" x14ac:dyDescent="0.35">
      <c r="A13" t="s">
        <v>74</v>
      </c>
      <c r="C13" s="1">
        <f>C7*C$9</f>
        <v>292203.09138635756</v>
      </c>
      <c r="D13" s="1">
        <f t="shared" si="1"/>
        <v>603107.18062144204</v>
      </c>
      <c r="E13" s="1">
        <f t="shared" si="1"/>
        <v>933609.91560199205</v>
      </c>
      <c r="F13" s="1">
        <f t="shared" si="1"/>
        <v>1284647.2438683412</v>
      </c>
      <c r="G13" s="1">
        <f t="shared" si="1"/>
        <v>1657194.9445901602</v>
      </c>
      <c r="H13" s="1">
        <f t="shared" si="1"/>
        <v>2052270.2193804539</v>
      </c>
      <c r="I13" s="1">
        <f t="shared" si="1"/>
        <v>2470933.3441340663</v>
      </c>
      <c r="J13" s="1">
        <f t="shared" si="1"/>
        <v>2914289.3841672651</v>
      </c>
      <c r="K13" s="1">
        <f t="shared" si="1"/>
        <v>3383489.9750181949</v>
      </c>
      <c r="L13" s="1">
        <f t="shared" si="1"/>
        <v>3879735.1713541965</v>
      </c>
      <c r="M13" s="1">
        <f t="shared" si="1"/>
        <v>4404275.3665212831</v>
      </c>
      <c r="N13" s="1">
        <f t="shared" si="1"/>
        <v>4958413.2853635978</v>
      </c>
      <c r="O13" s="1">
        <f t="shared" si="1"/>
        <v>5543506.0530365035</v>
      </c>
      <c r="P13" s="1">
        <f t="shared" si="1"/>
        <v>6160967.3426362602</v>
      </c>
      <c r="Q13" s="1">
        <f t="shared" si="1"/>
        <v>6812269.6045720922</v>
      </c>
      <c r="R13" s="1">
        <f t="shared" si="1"/>
        <v>7498946.3807129618</v>
      </c>
      <c r="S13" s="1">
        <f t="shared" si="1"/>
        <v>8222594.7064517625</v>
      </c>
      <c r="T13" s="1">
        <f t="shared" si="1"/>
        <v>8984877.6039439943</v>
      </c>
      <c r="U13" s="1">
        <f t="shared" si="1"/>
        <v>9787526.669896327</v>
      </c>
      <c r="V13" s="1">
        <f t="shared" si="1"/>
        <v>10632344.761403166</v>
      </c>
      <c r="W13" s="1">
        <f t="shared" si="1"/>
        <v>11521208.783456473</v>
      </c>
      <c r="X13" s="1">
        <f t="shared" si="1"/>
        <v>12456072.581885509</v>
      </c>
      <c r="Y13" s="1">
        <f t="shared" si="1"/>
        <v>13438969.945619747</v>
      </c>
      <c r="Z13" s="1">
        <f t="shared" si="1"/>
        <v>14472017.722309126</v>
      </c>
      <c r="AA13" s="1">
        <f t="shared" si="1"/>
        <v>15557419.051482312</v>
      </c>
      <c r="AB13" s="1">
        <f t="shared" si="1"/>
        <v>16697466.71957493</v>
      </c>
      <c r="AC13" s="1">
        <f t="shared" si="1"/>
        <v>17894546.64131676</v>
      </c>
      <c r="AD13" s="1">
        <f t="shared" si="1"/>
        <v>19151141.472129229</v>
      </c>
      <c r="AE13" s="1">
        <f t="shared" si="1"/>
        <v>20469834.356352985</v>
      </c>
      <c r="AF13" s="1">
        <f t="shared" si="1"/>
        <v>21853312.816299595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15151435.770446081</v>
      </c>
      <c r="D25" s="40">
        <f>SUM(D11:D13,D18:D23)</f>
        <v>15937835.305411076</v>
      </c>
      <c r="E25" s="40">
        <f t="shared" ref="E25:AF25" si="7">SUM(E11:E13,E18:E23)</f>
        <v>16759049.340384893</v>
      </c>
      <c r="F25" s="40">
        <f t="shared" si="7"/>
        <v>17616500.730244294</v>
      </c>
      <c r="G25" s="40">
        <f t="shared" si="7"/>
        <v>18511667.742530145</v>
      </c>
      <c r="H25" s="40">
        <f t="shared" si="7"/>
        <v>19446086.146854516</v>
      </c>
      <c r="I25" s="40">
        <f t="shared" si="7"/>
        <v>20421351.381287299</v>
      </c>
      <c r="J25" s="40">
        <f t="shared" si="7"/>
        <v>21439120.7985094</v>
      </c>
      <c r="K25" s="40">
        <f t="shared" si="7"/>
        <v>22501115.994619284</v>
      </c>
      <c r="L25" s="40">
        <f t="shared" si="7"/>
        <v>23609125.223582517</v>
      </c>
      <c r="M25" s="40">
        <f t="shared" si="7"/>
        <v>24765005.900420912</v>
      </c>
      <c r="N25" s="40">
        <f t="shared" si="7"/>
        <v>25970687.196348011</v>
      </c>
      <c r="O25" s="40">
        <f t="shared" si="7"/>
        <v>27228172.72917242</v>
      </c>
      <c r="P25" s="40">
        <f t="shared" si="7"/>
        <v>28539543.352408525</v>
      </c>
      <c r="Q25" s="40">
        <f t="shared" si="7"/>
        <v>29906960.046657063</v>
      </c>
      <c r="R25" s="40">
        <f t="shared" si="7"/>
        <v>31332666.91694466</v>
      </c>
      <c r="S25" s="40">
        <f t="shared" si="7"/>
        <v>32818994.299842875</v>
      </c>
      <c r="T25" s="40">
        <f t="shared" si="7"/>
        <v>34368361.984323621</v>
      </c>
      <c r="U25" s="40">
        <f t="shared" si="7"/>
        <v>35983282.550448097</v>
      </c>
      <c r="V25" s="40">
        <f t="shared" si="7"/>
        <v>37666364.830132596</v>
      </c>
      <c r="W25" s="40">
        <f t="shared" si="7"/>
        <v>39420317.49438525</v>
      </c>
      <c r="X25" s="40">
        <f t="shared" si="7"/>
        <v>41247952.771563999</v>
      </c>
      <c r="Y25" s="40">
        <f t="shared" si="7"/>
        <v>43152190.301367946</v>
      </c>
      <c r="Z25" s="40">
        <f t="shared" si="7"/>
        <v>45136061.129441269</v>
      </c>
      <c r="AA25" s="40">
        <f t="shared" si="7"/>
        <v>47202711.84764269</v>
      </c>
      <c r="AB25" s="40">
        <f t="shared" si="7"/>
        <v>49355408.885212436</v>
      </c>
      <c r="AC25" s="40">
        <f t="shared" si="7"/>
        <v>51597542.956254661</v>
      </c>
      <c r="AD25" s="40">
        <f t="shared" si="7"/>
        <v>53932633.669145152</v>
      </c>
      <c r="AE25" s="40">
        <f t="shared" si="7"/>
        <v>56364334.303673416</v>
      </c>
      <c r="AF25" s="40">
        <f t="shared" si="7"/>
        <v>58896436.761934273</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3394665.1602742826</v>
      </c>
      <c r="D5" s="59">
        <f>C5*('Price and Financial ratios'!F4+1)*(1+Assumptions!$C$13)</f>
        <v>8283019.9823036985</v>
      </c>
      <c r="E5" s="59">
        <f>D5*('Price and Financial ratios'!G4+1)*(1+Assumptions!$C$13)</f>
        <v>13473772.677224113</v>
      </c>
      <c r="F5" s="59">
        <f>E5*('Price and Financial ratios'!H4+1)*(1+Assumptions!$C$13)</f>
        <v>17807915.750307489</v>
      </c>
      <c r="G5" s="59">
        <f>F5*('Price and Financial ratios'!I4+1)*(1+Assumptions!$C$13)</f>
        <v>20458418.576632343</v>
      </c>
      <c r="H5" s="59">
        <f>G5*('Price and Financial ratios'!J4+1)*(1+Assumptions!$C$13)</f>
        <v>22879433.619060259</v>
      </c>
      <c r="I5" s="59">
        <f>H5*('Price and Financial ratios'!K4+1)*(1+Assumptions!$C$13)</f>
        <v>25121730.30515321</v>
      </c>
      <c r="J5" s="59">
        <f>I5*('Price and Financial ratios'!L4+1)*(1+Assumptions!$C$13)</f>
        <v>27328377.663072761</v>
      </c>
      <c r="K5" s="59">
        <f>J5*('Price and Financial ratios'!M4+1)*(1+Assumptions!$C$13)</f>
        <v>29173173.440141831</v>
      </c>
      <c r="L5" s="59">
        <f>K5*('Price and Financial ratios'!N4+1)*(1+Assumptions!$C$13)</f>
        <v>31142501.727008965</v>
      </c>
      <c r="M5" s="59">
        <f>L5*('Price and Financial ratios'!O4+1)*(1+Assumptions!$C$13)</f>
        <v>33244769.061779562</v>
      </c>
      <c r="N5" s="59">
        <f>M5*('Price and Financial ratios'!P4+1)*(1+Assumptions!$C$13)</f>
        <v>35488949.463958316</v>
      </c>
      <c r="O5" s="59">
        <f>N5*('Price and Financial ratios'!Q4+1)*(1+Assumptions!$C$13)</f>
        <v>37884622.742149048</v>
      </c>
      <c r="P5" s="59">
        <f>O5*('Price and Financial ratios'!R4+1)*(1+Assumptions!$C$13)</f>
        <v>40442015.387706958</v>
      </c>
      <c r="Q5" s="59">
        <f>P5*('Price and Financial ratios'!S4+1)*(1+Assumptions!$C$13)</f>
        <v>42760881.90291772</v>
      </c>
      <c r="R5" s="59">
        <f>Q5*('Price and Financial ratios'!T4+1)*(1+Assumptions!$C$13)</f>
        <v>45212707.714637734</v>
      </c>
      <c r="S5" s="59">
        <f>R5*('Price and Financial ratios'!U4+1)*(1+Assumptions!$C$13)</f>
        <v>47805116.450364418</v>
      </c>
      <c r="T5" s="59">
        <f>S5*('Price and Financial ratios'!V4+1)*(1+Assumptions!$C$13)</f>
        <v>50546168.861570343</v>
      </c>
      <c r="U5" s="59">
        <f>T5*('Price and Financial ratios'!W4+1)*(1+Assumptions!$C$13)</f>
        <v>52930499.542469323</v>
      </c>
      <c r="V5" s="59">
        <f>U5*('Price and Financial ratios'!X4+1)*(1+Assumptions!$C$13)</f>
        <v>55427302.304317608</v>
      </c>
      <c r="W5" s="59">
        <f>V5*('Price and Financial ratios'!Y4+1)*(1+Assumptions!$C$13)</f>
        <v>58041882.606250726</v>
      </c>
      <c r="X5" s="59">
        <f>W5*('Price and Financial ratios'!Z4+1)*(1+Assumptions!$C$13)</f>
        <v>60307720.086257242</v>
      </c>
      <c r="Y5" s="59">
        <f>X5*('Price and Financial ratios'!AA4+1)*(1+Assumptions!$C$13)</f>
        <v>62662011.269956157</v>
      </c>
      <c r="Z5" s="59">
        <f>Y5*('Price and Financial ratios'!AB4+1)*(1+Assumptions!$C$13)</f>
        <v>65108209.210695714</v>
      </c>
      <c r="AA5" s="59">
        <f>Z5*('Price and Financial ratios'!AC4+1)*(1+Assumptions!$C$13)</f>
        <v>67649901.762029544</v>
      </c>
      <c r="AB5" s="59">
        <f>AA5*('Price and Financial ratios'!AD4+1)*(1+Assumptions!$C$13)</f>
        <v>70290816.84004353</v>
      </c>
      <c r="AC5" s="59">
        <f>AB5*('Price and Financial ratios'!AE4+1)*(1+Assumptions!$C$13)</f>
        <v>73034827.891113266</v>
      </c>
      <c r="AD5" s="59">
        <f>AC5*('Price and Financial ratios'!AF4+1)*(1+Assumptions!$C$13)</f>
        <v>75885959.573111609</v>
      </c>
      <c r="AE5" s="59">
        <f>AD5*('Price and Financial ratios'!AG4+1)*(1+Assumptions!$C$13)</f>
        <v>78848393.658399165</v>
      </c>
      <c r="AF5" s="59">
        <f>AE5*('Price and Financial ratios'!AH4+1)*(1+Assumptions!$C$13)</f>
        <v>81926475.167255476</v>
      </c>
    </row>
    <row r="6" spans="1:32" s="11" customFormat="1" x14ac:dyDescent="0.35">
      <c r="A6" s="11" t="s">
        <v>20</v>
      </c>
      <c r="C6" s="59">
        <f>C27</f>
        <v>3804047.3890898894</v>
      </c>
      <c r="D6" s="59">
        <f t="shared" ref="D6:AF6" si="1">D27</f>
        <v>4316059.110497619</v>
      </c>
      <c r="E6" s="59">
        <f>E27</f>
        <v>4849757.4722582567</v>
      </c>
      <c r="F6" s="59">
        <f t="shared" si="1"/>
        <v>5405887.8828788921</v>
      </c>
      <c r="G6" s="59">
        <f t="shared" si="1"/>
        <v>5985219.5753785297</v>
      </c>
      <c r="H6" s="59">
        <f t="shared" si="1"/>
        <v>6588546.354238715</v>
      </c>
      <c r="I6" s="59">
        <f t="shared" si="1"/>
        <v>7216687.3660097253</v>
      </c>
      <c r="J6" s="59">
        <f t="shared" si="1"/>
        <v>7870487.8943422381</v>
      </c>
      <c r="K6" s="59">
        <f t="shared" si="1"/>
        <v>8550820.1802403796</v>
      </c>
      <c r="L6" s="59">
        <f t="shared" si="1"/>
        <v>9258584.2683588918</v>
      </c>
      <c r="M6" s="59">
        <f t="shared" si="1"/>
        <v>9994708.8801949881</v>
      </c>
      <c r="N6" s="59">
        <f t="shared" si="1"/>
        <v>10760152.31505426</v>
      </c>
      <c r="O6" s="59">
        <f t="shared" si="1"/>
        <v>11555903.379699789</v>
      </c>
      <c r="P6" s="59">
        <f t="shared" si="1"/>
        <v>12382982.347624447</v>
      </c>
      <c r="Q6" s="59">
        <f t="shared" si="1"/>
        <v>13242441.948918331</v>
      </c>
      <c r="R6" s="59">
        <f t="shared" si="1"/>
        <v>14135368.39173625</v>
      </c>
      <c r="S6" s="59">
        <f t="shared" si="1"/>
        <v>15062882.416404566</v>
      </c>
      <c r="T6" s="59">
        <f t="shared" si="1"/>
        <v>16026140.383241847</v>
      </c>
      <c r="U6" s="59">
        <f t="shared" si="1"/>
        <v>17026335.395204794</v>
      </c>
      <c r="V6" s="59">
        <f t="shared" si="1"/>
        <v>18064698.456508487</v>
      </c>
      <c r="W6" s="59">
        <f t="shared" si="1"/>
        <v>19142499.668409742</v>
      </c>
      <c r="X6" s="59">
        <f t="shared" si="1"/>
        <v>20261049.463382665</v>
      </c>
      <c r="Y6" s="59">
        <f t="shared" si="1"/>
        <v>21421699.878957905</v>
      </c>
      <c r="Z6" s="59">
        <f t="shared" si="1"/>
        <v>22625845.872540664</v>
      </c>
      <c r="AA6" s="59">
        <f t="shared" si="1"/>
        <v>23874926.678567663</v>
      </c>
      <c r="AB6" s="59">
        <f t="shared" si="1"/>
        <v>25170427.209410191</v>
      </c>
      <c r="AC6" s="59">
        <f t="shared" si="1"/>
        <v>26513879.501478665</v>
      </c>
      <c r="AD6" s="59">
        <f t="shared" si="1"/>
        <v>27906864.208034493</v>
      </c>
      <c r="AE6" s="59">
        <f t="shared" si="1"/>
        <v>29351012.140266836</v>
      </c>
      <c r="AF6" s="59">
        <f t="shared" si="1"/>
        <v>30848005.858245857</v>
      </c>
    </row>
    <row r="7" spans="1:32" x14ac:dyDescent="0.35">
      <c r="A7" t="s">
        <v>21</v>
      </c>
      <c r="C7" s="4">
        <f>Depreciation!C8+Depreciation!C9</f>
        <v>2976306.9626811836</v>
      </c>
      <c r="D7" s="4">
        <f>Depreciation!D8+Depreciation!D9</f>
        <v>3373102.375797702</v>
      </c>
      <c r="E7" s="4">
        <f>Depreciation!E8+Depreciation!E9</f>
        <v>3792244.9570238921</v>
      </c>
      <c r="F7" s="4">
        <f>Depreciation!F8+Depreciation!F9</f>
        <v>4234758.6066157427</v>
      </c>
      <c r="G7" s="4">
        <f>Depreciation!G8+Depreciation!G9</f>
        <v>4701709.8709454779</v>
      </c>
      <c r="H7" s="4">
        <f>Depreciation!H8+Depreciation!H9</f>
        <v>5194209.623379142</v>
      </c>
      <c r="I7" s="4">
        <f>Depreciation!I8+Depreciation!I9</f>
        <v>5713414.8090607114</v>
      </c>
      <c r="J7" s="4">
        <f>Depreciation!J8+Depreciation!J9</f>
        <v>6260530.255971564</v>
      </c>
      <c r="K7" s="4">
        <f>Depreciation!K8+Depreciation!K9</f>
        <v>6836810.5547202313</v>
      </c>
      <c r="L7" s="4">
        <f>Depreciation!L8+Depreciation!L9</f>
        <v>7443562.0096066976</v>
      </c>
      <c r="M7" s="4">
        <f>Depreciation!M8+Depreciation!M9</f>
        <v>8082144.6635978641</v>
      </c>
      <c r="N7" s="4">
        <f>Depreciation!N8+Depreciation!N9</f>
        <v>8753974.39994663</v>
      </c>
      <c r="O7" s="4">
        <f>Depreciation!O8+Depreciation!O9</f>
        <v>9460525.1232861932</v>
      </c>
      <c r="P7" s="4">
        <f>Depreciation!P8+Depreciation!P9</f>
        <v>10203331.023133939</v>
      </c>
      <c r="Q7" s="4">
        <f>Depreciation!Q8+Depreciation!Q9</f>
        <v>10983988.922845695</v>
      </c>
      <c r="R7" s="4">
        <f>Depreciation!R8+Depreciation!R9</f>
        <v>11804160.717171323</v>
      </c>
      <c r="S7" s="4">
        <f>Depreciation!S8+Depreciation!S9</f>
        <v>12665575.901676791</v>
      </c>
      <c r="T7" s="4">
        <f>Depreciation!T8+Depreciation!T9</f>
        <v>13570034.197416224</v>
      </c>
      <c r="U7" s="4">
        <f>Depreciation!U8+Depreciation!U9</f>
        <v>14519408.274359666</v>
      </c>
      <c r="V7" s="4">
        <f>Depreciation!V8+Depreciation!V9</f>
        <v>15515646.577209331</v>
      </c>
      <c r="W7" s="4">
        <f>Depreciation!W8+Depreciation!W9</f>
        <v>16560776.257368438</v>
      </c>
      <c r="X7" s="4">
        <f>Depreciation!X8+Depreciation!X9</f>
        <v>17656906.214962654</v>
      </c>
      <c r="Y7" s="4">
        <f>Depreciation!Y8+Depreciation!Y9</f>
        <v>18806230.254955363</v>
      </c>
      <c r="Z7" s="4">
        <f>Depreciation!Z8+Depreciation!Z9</f>
        <v>20011030.36154348</v>
      </c>
      <c r="AA7" s="4">
        <f>Depreciation!AA8+Depreciation!AA9</f>
        <v>21273680.095172167</v>
      </c>
      <c r="AB7" s="4">
        <f>Depreciation!AB8+Depreciation!AB9</f>
        <v>22596648.11666286</v>
      </c>
      <c r="AC7" s="4">
        <f>Depreciation!AC8+Depreciation!AC9</f>
        <v>23982501.843111504</v>
      </c>
      <c r="AD7" s="4">
        <f>Depreciation!AD8+Depreciation!AD9</f>
        <v>25433911.240381405</v>
      </c>
      <c r="AE7" s="4">
        <f>Depreciation!AE8+Depreciation!AE9</f>
        <v>26953652.757189229</v>
      </c>
      <c r="AF7" s="4">
        <f>Depreciation!AF8+Depreciation!AF9</f>
        <v>28544613.405962598</v>
      </c>
    </row>
    <row r="8" spans="1:32" x14ac:dyDescent="0.35">
      <c r="A8" t="s">
        <v>6</v>
      </c>
      <c r="C8" s="4">
        <f ca="1">'Debt worksheet'!C8</f>
        <v>717293.9170716675</v>
      </c>
      <c r="D8" s="4">
        <f ca="1">'Debt worksheet'!D8</f>
        <v>1177486.5515521686</v>
      </c>
      <c r="E8" s="4">
        <f ca="1">'Debt worksheet'!E8</f>
        <v>1515246.3692143366</v>
      </c>
      <c r="F8" s="4">
        <f ca="1">'Debt worksheet'!F8</f>
        <v>1759329.4501687938</v>
      </c>
      <c r="G8" s="4">
        <f ca="1">'Debt worksheet'!G8</f>
        <v>1969612.2861279435</v>
      </c>
      <c r="H8" s="4">
        <f ca="1">'Debt worksheet'!H8</f>
        <v>2155486.2663203082</v>
      </c>
      <c r="I8" s="4">
        <f ca="1">'Debt worksheet'!I8</f>
        <v>2324929.5977153801</v>
      </c>
      <c r="J8" s="4">
        <f ca="1">'Debt worksheet'!J8</f>
        <v>2481111.5893861563</v>
      </c>
      <c r="K8" s="4">
        <f ca="1">'Debt worksheet'!K8</f>
        <v>2639241.7462189435</v>
      </c>
      <c r="L8" s="4">
        <f ca="1">'Debt worksheet'!L8</f>
        <v>2797537.84247832</v>
      </c>
      <c r="M8" s="4">
        <f ca="1">'Debt worksheet'!M8</f>
        <v>2953949.1633550171</v>
      </c>
      <c r="N8" s="4">
        <f ca="1">'Debt worksheet'!N8</f>
        <v>3106129.8601197465</v>
      </c>
      <c r="O8" s="4">
        <f ca="1">'Debt worksheet'!O8</f>
        <v>3251410.0807824428</v>
      </c>
      <c r="P8" s="4">
        <f ca="1">'Debt worksheet'!P8</f>
        <v>3386764.7064392264</v>
      </c>
      <c r="Q8" s="4">
        <f ca="1">'Debt worksheet'!Q8</f>
        <v>3523692.134385746</v>
      </c>
      <c r="R8" s="4">
        <f ca="1">'Debt worksheet'!R8</f>
        <v>3660755.0260904226</v>
      </c>
      <c r="S8" s="4">
        <f ca="1">'Debt worksheet'!S8</f>
        <v>3796312.5755402367</v>
      </c>
      <c r="T8" s="4">
        <f ca="1">'Debt worksheet'!T8</f>
        <v>3928501.8116580993</v>
      </c>
      <c r="U8" s="4">
        <f ca="1">'Debt worksheet'!U8</f>
        <v>4073855.912714533</v>
      </c>
      <c r="V8" s="4">
        <f ca="1">'Debt worksheet'!V8</f>
        <v>4232629.5824827505</v>
      </c>
      <c r="W8" s="4">
        <f ca="1">'Debt worksheet'!W8</f>
        <v>4405038.6445200006</v>
      </c>
      <c r="X8" s="4">
        <f ca="1">'Debt worksheet'!X8</f>
        <v>4608376.7043773374</v>
      </c>
      <c r="Y8" s="4">
        <f ca="1">'Debt worksheet'!Y8</f>
        <v>4844862.6593163498</v>
      </c>
      <c r="Z8" s="4">
        <f ca="1">'Debt worksheet'!Z8</f>
        <v>5116831.1730687739</v>
      </c>
      <c r="AA8" s="4">
        <f ca="1">'Debt worksheet'!AA8</f>
        <v>5426737.7821918158</v>
      </c>
      <c r="AB8" s="4">
        <f ca="1">'Debt worksheet'!AB8</f>
        <v>5777164.2032145951</v>
      </c>
      <c r="AC8" s="4">
        <f ca="1">'Debt worksheet'!AC8</f>
        <v>6170823.8477163706</v>
      </c>
      <c r="AD8" s="4">
        <f ca="1">'Debt worksheet'!AD8</f>
        <v>6610567.5527033703</v>
      </c>
      <c r="AE8" s="4">
        <f ca="1">'Debt worksheet'!AE8</f>
        <v>7099389.5338832205</v>
      </c>
      <c r="AF8" s="4">
        <f ca="1">'Debt worksheet'!AF8</f>
        <v>7640433.5696741799</v>
      </c>
    </row>
    <row r="9" spans="1:32" x14ac:dyDescent="0.35">
      <c r="A9" t="s">
        <v>22</v>
      </c>
      <c r="C9" s="4">
        <f ca="1">C5-C6-C7-C8</f>
        <v>-4102983.1085684579</v>
      </c>
      <c r="D9" s="4">
        <f t="shared" ref="D9:AF9" ca="1" si="2">D5-D6-D7-D8</f>
        <v>-583628.05554379104</v>
      </c>
      <c r="E9" s="4">
        <f t="shared" ca="1" si="2"/>
        <v>3316523.878727627</v>
      </c>
      <c r="F9" s="4">
        <f t="shared" ca="1" si="2"/>
        <v>6407939.8106440604</v>
      </c>
      <c r="G9" s="4">
        <f t="shared" ca="1" si="2"/>
        <v>7801876.8441803921</v>
      </c>
      <c r="H9" s="4">
        <f t="shared" ca="1" si="2"/>
        <v>8941191.3751220945</v>
      </c>
      <c r="I9" s="4">
        <f t="shared" ca="1" si="2"/>
        <v>9866698.5323673952</v>
      </c>
      <c r="J9" s="4">
        <f t="shared" ca="1" si="2"/>
        <v>10716247.923372801</v>
      </c>
      <c r="K9" s="4">
        <f t="shared" ca="1" si="2"/>
        <v>11146300.958962275</v>
      </c>
      <c r="L9" s="4">
        <f t="shared" ca="1" si="2"/>
        <v>11642817.606565058</v>
      </c>
      <c r="M9" s="4">
        <f t="shared" ca="1" si="2"/>
        <v>12213966.354631694</v>
      </c>
      <c r="N9" s="4">
        <f t="shared" ca="1" si="2"/>
        <v>12868692.888837678</v>
      </c>
      <c r="O9" s="4">
        <f t="shared" ca="1" si="2"/>
        <v>13616784.15838062</v>
      </c>
      <c r="P9" s="4">
        <f t="shared" ca="1" si="2"/>
        <v>14468937.310509346</v>
      </c>
      <c r="Q9" s="4">
        <f t="shared" ca="1" si="2"/>
        <v>15010758.896767948</v>
      </c>
      <c r="R9" s="4">
        <f t="shared" ca="1" si="2"/>
        <v>15612423.579639738</v>
      </c>
      <c r="S9" s="4">
        <f t="shared" ca="1" si="2"/>
        <v>16280345.556742825</v>
      </c>
      <c r="T9" s="4">
        <f t="shared" ca="1" si="2"/>
        <v>17021492.469254173</v>
      </c>
      <c r="U9" s="4">
        <f t="shared" ca="1" si="2"/>
        <v>17310899.960190326</v>
      </c>
      <c r="V9" s="4">
        <f t="shared" ca="1" si="2"/>
        <v>17614327.688117038</v>
      </c>
      <c r="W9" s="4">
        <f t="shared" ca="1" si="2"/>
        <v>17933568.035952546</v>
      </c>
      <c r="X9" s="4">
        <f t="shared" ca="1" si="2"/>
        <v>17781387.703534581</v>
      </c>
      <c r="Y9" s="4">
        <f t="shared" ca="1" si="2"/>
        <v>17589218.476726539</v>
      </c>
      <c r="Z9" s="4">
        <f t="shared" ca="1" si="2"/>
        <v>17354501.803542793</v>
      </c>
      <c r="AA9" s="4">
        <f t="shared" ca="1" si="2"/>
        <v>17074557.206097897</v>
      </c>
      <c r="AB9" s="4">
        <f t="shared" ca="1" si="2"/>
        <v>16746577.310755884</v>
      </c>
      <c r="AC9" s="4">
        <f t="shared" ca="1" si="2"/>
        <v>16367622.698806727</v>
      </c>
      <c r="AD9" s="4">
        <f t="shared" ca="1" si="2"/>
        <v>15934616.571992341</v>
      </c>
      <c r="AE9" s="4">
        <f t="shared" ca="1" si="2"/>
        <v>15444339.227059878</v>
      </c>
      <c r="AF9" s="4">
        <f t="shared" ca="1" si="2"/>
        <v>14893422.333372843</v>
      </c>
    </row>
    <row r="12" spans="1:32" x14ac:dyDescent="0.35">
      <c r="A12" t="s">
        <v>79</v>
      </c>
      <c r="C12" s="2">
        <f>Assumptions!$C$25*Assumptions!D9*Assumptions!D13</f>
        <v>3442332.8064871067</v>
      </c>
      <c r="D12" s="2">
        <f>Assumptions!$C$25*Assumptions!E9*Assumptions!E13</f>
        <v>3576714.503657531</v>
      </c>
      <c r="E12" s="2">
        <f>Assumptions!$C$25*Assumptions!F9*Assumptions!F13</f>
        <v>3716342.1899724016</v>
      </c>
      <c r="F12" s="2">
        <f>Assumptions!$C$25*Assumptions!G9*Assumptions!G13</f>
        <v>3861420.6582173677</v>
      </c>
      <c r="G12" s="2">
        <f>Assumptions!$C$25*Assumptions!H9*Assumptions!H13</f>
        <v>4012162.6958734323</v>
      </c>
      <c r="H12" s="2">
        <f>Assumptions!$C$25*Assumptions!I9*Assumptions!I13</f>
        <v>4168789.3972136639</v>
      </c>
      <c r="I12" s="2">
        <f>Assumptions!$C$25*Assumptions!J9*Assumptions!J13</f>
        <v>4331530.4875835218</v>
      </c>
      <c r="J12" s="2">
        <f>Assumptions!$C$25*Assumptions!K9*Assumptions!K13</f>
        <v>4500624.6603404321</v>
      </c>
      <c r="K12" s="2">
        <f>Assumptions!$C$25*Assumptions!L9*Assumptions!L13</f>
        <v>4676319.9269468039</v>
      </c>
      <c r="L12" s="2">
        <f>Assumptions!$C$25*Assumptions!M9*Assumptions!M13</f>
        <v>4858873.9807299636</v>
      </c>
      <c r="M12" s="2">
        <f>Assumptions!$C$25*Assumptions!N9*Assumptions!N13</f>
        <v>5048554.5748425461</v>
      </c>
      <c r="N12" s="2">
        <f>Assumptions!$C$25*Assumptions!O9*Assumptions!O13</f>
        <v>5245639.9149776846</v>
      </c>
      <c r="O12" s="2">
        <f>Assumptions!$C$25*Assumptions!P9*Assumptions!P13</f>
        <v>5450419.0674150074</v>
      </c>
      <c r="P12" s="2">
        <f>Assumptions!$C$25*Assumptions!Q9*Assumptions!Q13</f>
        <v>5663192.382995937</v>
      </c>
      <c r="Q12" s="2">
        <f>Assumptions!$C$25*Assumptions!R9*Assumptions!R13</f>
        <v>5884271.9376501096</v>
      </c>
      <c r="R12" s="2">
        <f>Assumptions!$C$25*Assumptions!S9*Assumptions!S13</f>
        <v>6113981.990119054</v>
      </c>
      <c r="S12" s="2">
        <f>Assumptions!$C$25*Assumptions!T9*Assumptions!T13</f>
        <v>6352659.4575484917</v>
      </c>
      <c r="T12" s="2">
        <f>Assumptions!$C$25*Assumptions!U9*Assumptions!U13</f>
        <v>6600654.4096467709</v>
      </c>
      <c r="U12" s="2">
        <f>Assumptions!$C$25*Assumptions!V9*Assumptions!V13</f>
        <v>6858330.5821342804</v>
      </c>
      <c r="V12" s="2">
        <f>Assumptions!$C$25*Assumptions!W9*Assumptions!W13</f>
        <v>7126065.9102368411</v>
      </c>
      <c r="W12" s="2">
        <f>Assumptions!$C$25*Assumptions!X9*Assumptions!X13</f>
        <v>7404253.0830056388</v>
      </c>
      <c r="X12" s="2">
        <f>Assumptions!$C$25*Assumptions!Y9*Assumptions!Y13</f>
        <v>7693300.1192766707</v>
      </c>
      <c r="Y12" s="2">
        <f>Assumptions!$C$25*Assumptions!Z9*Assumptions!Z13</f>
        <v>7993630.9661144745</v>
      </c>
      <c r="Z12" s="2">
        <f>Assumptions!$C$25*Assumptions!AA9*Assumptions!AA13</f>
        <v>8305686.1206178945</v>
      </c>
      <c r="AA12" s="2">
        <f>Assumptions!$C$25*Assumptions!AB9*Assumptions!AB13</f>
        <v>8629923.2759998832</v>
      </c>
      <c r="AB12" s="2">
        <f>Assumptions!$C$25*Assumptions!AC9*Assumptions!AC13</f>
        <v>8966817.9928889461</v>
      </c>
      <c r="AC12" s="2">
        <f>Assumptions!$C$25*Assumptions!AD9*Assumptions!AD13</f>
        <v>9316864.3968368508</v>
      </c>
      <c r="AD12" s="2">
        <f>Assumptions!$C$25*Assumptions!AE9*Assumptions!AE13</f>
        <v>9680575.9030556008</v>
      </c>
      <c r="AE12" s="2">
        <f>Assumptions!$C$25*Assumptions!AF9*Assumptions!AF13</f>
        <v>10058485.96944668</v>
      </c>
      <c r="AF12" s="2">
        <f>Assumptions!$C$25*Assumptions!AG9*Assumptions!AG13</f>
        <v>10451148.879027035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361714.5826027827</v>
      </c>
      <c r="D14" s="5">
        <f>Assumptions!E122*Assumptions!E9</f>
        <v>739344.6068400878</v>
      </c>
      <c r="E14" s="5">
        <f>Assumptions!F122*Assumptions!F9</f>
        <v>1133415.2822858547</v>
      </c>
      <c r="F14" s="5">
        <f>Assumptions!G122*Assumptions!G9</f>
        <v>1544467.2246615246</v>
      </c>
      <c r="G14" s="5">
        <f>Assumptions!H122*Assumptions!H9</f>
        <v>1973056.8795050979</v>
      </c>
      <c r="H14" s="5">
        <f>Assumptions!I122*Assumptions!I9</f>
        <v>2419756.9570250516</v>
      </c>
      <c r="I14" s="5">
        <f>Assumptions!J122*Assumptions!J9</f>
        <v>2885156.878426203</v>
      </c>
      <c r="J14" s="5">
        <f>Assumptions!K122*Assumptions!K9</f>
        <v>3369863.234001806</v>
      </c>
      <c r="K14" s="5">
        <f>Assumptions!L122*Assumptions!L9</f>
        <v>3874500.2532935762</v>
      </c>
      <c r="L14" s="5">
        <f>Assumptions!M122*Assumptions!M9</f>
        <v>4399710.2876289282</v>
      </c>
      <c r="M14" s="5">
        <f>Assumptions!N122*Assumptions!N9</f>
        <v>4946154.305352441</v>
      </c>
      <c r="N14" s="5">
        <f>Assumptions!O122*Assumptions!O9</f>
        <v>5514512.4000765756</v>
      </c>
      <c r="O14" s="5">
        <f>Assumptions!P122*Assumptions!P9</f>
        <v>6105484.3122847825</v>
      </c>
      <c r="P14" s="5">
        <f>Assumptions!Q122*Assumptions!Q9</f>
        <v>6719789.9646285111</v>
      </c>
      <c r="Q14" s="5">
        <f>Assumptions!R122*Assumptions!R9</f>
        <v>7358170.0112682208</v>
      </c>
      <c r="R14" s="5">
        <f>Assumptions!S122*Assumptions!S9</f>
        <v>8021386.4016171973</v>
      </c>
      <c r="S14" s="5">
        <f>Assumptions!T122*Assumptions!T9</f>
        <v>8710222.9588560741</v>
      </c>
      <c r="T14" s="5">
        <f>Assumptions!U122*Assumptions!U9</f>
        <v>9425485.9735950772</v>
      </c>
      <c r="U14" s="5">
        <f>Assumptions!V122*Assumptions!V9</f>
        <v>10168004.813070513</v>
      </c>
      <c r="V14" s="5">
        <f>Assumptions!W122*Assumptions!W9</f>
        <v>10938632.546271648</v>
      </c>
      <c r="W14" s="5">
        <f>Assumptions!X122*Assumptions!X9</f>
        <v>11738246.585404105</v>
      </c>
      <c r="X14" s="5">
        <f>Assumptions!Y122*Assumptions!Y9</f>
        <v>12567749.344105994</v>
      </c>
      <c r="Y14" s="5">
        <f>Assumptions!Z122*Assumptions!Z9</f>
        <v>13428068.912843432</v>
      </c>
      <c r="Z14" s="5">
        <f>Assumptions!AA122*Assumptions!AA9</f>
        <v>14320159.751922769</v>
      </c>
      <c r="AA14" s="5">
        <f>Assumptions!AB122*Assumptions!AB9</f>
        <v>15245003.40256778</v>
      </c>
      <c r="AB14" s="5">
        <f>Assumptions!AC122*Assumptions!AC9</f>
        <v>16203609.216521243</v>
      </c>
      <c r="AC14" s="5">
        <f>Assumptions!AD122*Assumptions!AD9</f>
        <v>17197015.104641814</v>
      </c>
      <c r="AD14" s="5">
        <f>Assumptions!AE122*Assumptions!AE9</f>
        <v>18226288.304978892</v>
      </c>
      <c r="AE14" s="5">
        <f>Assumptions!AF122*Assumptions!AF9</f>
        <v>19292526.170820158</v>
      </c>
      <c r="AF14" s="5">
        <f>Assumptions!AG122*Assumptions!AG9</f>
        <v>20396856.979218822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3804047.3890898894</v>
      </c>
      <c r="D27" s="2">
        <f t="shared" ref="D27:AF27" si="8">D12+D13+D14+D19+D20+D22+D24+D25</f>
        <v>4316059.110497619</v>
      </c>
      <c r="E27" s="2">
        <f t="shared" si="8"/>
        <v>4849757.4722582567</v>
      </c>
      <c r="F27" s="2">
        <f t="shared" si="8"/>
        <v>5405887.8828788921</v>
      </c>
      <c r="G27" s="2">
        <f t="shared" si="8"/>
        <v>5985219.5753785297</v>
      </c>
      <c r="H27" s="2">
        <f t="shared" si="8"/>
        <v>6588546.354238715</v>
      </c>
      <c r="I27" s="2">
        <f t="shared" si="8"/>
        <v>7216687.3660097253</v>
      </c>
      <c r="J27" s="2">
        <f t="shared" si="8"/>
        <v>7870487.8943422381</v>
      </c>
      <c r="K27" s="2">
        <f t="shared" si="8"/>
        <v>8550820.1802403796</v>
      </c>
      <c r="L27" s="2">
        <f t="shared" si="8"/>
        <v>9258584.2683588918</v>
      </c>
      <c r="M27" s="2">
        <f t="shared" si="8"/>
        <v>9994708.8801949881</v>
      </c>
      <c r="N27" s="2">
        <f t="shared" si="8"/>
        <v>10760152.31505426</v>
      </c>
      <c r="O27" s="2">
        <f t="shared" si="8"/>
        <v>11555903.379699789</v>
      </c>
      <c r="P27" s="2">
        <f t="shared" si="8"/>
        <v>12382982.347624447</v>
      </c>
      <c r="Q27" s="2">
        <f t="shared" si="8"/>
        <v>13242441.948918331</v>
      </c>
      <c r="R27" s="2">
        <f t="shared" si="8"/>
        <v>14135368.39173625</v>
      </c>
      <c r="S27" s="2">
        <f t="shared" si="8"/>
        <v>15062882.416404566</v>
      </c>
      <c r="T27" s="2">
        <f t="shared" si="8"/>
        <v>16026140.383241847</v>
      </c>
      <c r="U27" s="2">
        <f t="shared" si="8"/>
        <v>17026335.395204794</v>
      </c>
      <c r="V27" s="2">
        <f t="shared" si="8"/>
        <v>18064698.456508487</v>
      </c>
      <c r="W27" s="2">
        <f t="shared" si="8"/>
        <v>19142499.668409742</v>
      </c>
      <c r="X27" s="2">
        <f t="shared" si="8"/>
        <v>20261049.463382665</v>
      </c>
      <c r="Y27" s="2">
        <f t="shared" si="8"/>
        <v>21421699.878957905</v>
      </c>
      <c r="Z27" s="2">
        <f t="shared" si="8"/>
        <v>22625845.872540664</v>
      </c>
      <c r="AA27" s="2">
        <f t="shared" si="8"/>
        <v>23874926.678567663</v>
      </c>
      <c r="AB27" s="2">
        <f t="shared" si="8"/>
        <v>25170427.209410191</v>
      </c>
      <c r="AC27" s="2">
        <f t="shared" si="8"/>
        <v>26513879.501478665</v>
      </c>
      <c r="AD27" s="2">
        <f t="shared" si="8"/>
        <v>27906864.208034493</v>
      </c>
      <c r="AE27" s="2">
        <f t="shared" si="8"/>
        <v>29351012.140266836</v>
      </c>
      <c r="AF27" s="2">
        <f t="shared" si="8"/>
        <v>30848005.858245857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3W2DU3RAJ5R2-1900874439-760</_dlc_DocId>
    <_dlc_DocIdUrl xmlns="f54e2983-00ce-40fc-8108-18f351fc47bf">
      <Url>https://dia.cohesion.net.nz/Sites/LGV/TWRP/CAE/_layouts/15/DocIdRedir.aspx?ID=3W2DU3RAJ5R2-1900874439-760</Url>
      <Description>3W2DU3RAJ5R2-1900874439-760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0D25D5A-8340-4764-B1A0-7F0E098F248A}"/>
</file>

<file path=customXml/itemProps2.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2006/metadata/properties"/>
    <ds:schemaRef ds:uri="http://schemas.microsoft.com/sharepoint/v3"/>
    <ds:schemaRef ds:uri="http://purl.org/dc/dcmitype/"/>
    <ds:schemaRef ds:uri="http://purl.org/dc/elements/1.1/"/>
    <ds:schemaRef ds:uri="http://schemas.microsoft.com/office/infopath/2007/PartnerControls"/>
    <ds:schemaRef ds:uri="08a23fc5-e034-477c-ac83-93bc1440f322"/>
    <ds:schemaRef ds:uri="http://purl.org/dc/terms/"/>
    <ds:schemaRef ds:uri="http://schemas.openxmlformats.org/package/2006/metadata/core-properties"/>
    <ds:schemaRef ds:uri="65b6d800-2dda-48d6-88d8-9e2b35e6f7ea"/>
    <ds:schemaRef ds:uri="http://www.w3.org/XML/1998/namespace"/>
  </ds:schemaRefs>
</ds:datastoreItem>
</file>

<file path=customXml/itemProps3.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4.xml><?xml version="1.0" encoding="utf-8"?>
<ds:datastoreItem xmlns:ds="http://schemas.openxmlformats.org/officeDocument/2006/customXml" ds:itemID="{421A6131-AD7D-4A0D-B2B9-4EA337260F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2021-07-01T15:03:14Z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a2ecb72f-60d4-497f-be30-44dc45cf980b</vt:lpwstr>
  </property>
</Properties>
</file>