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302" documentId="8_{691D38E6-9B31-4D29-997C-A41114B0D41C}" xr6:coauthVersionLast="47" xr6:coauthVersionMax="47" xr10:uidLastSave="{3D320A87-4655-4303-878A-132F4965DAAA}"/>
  <bookViews>
    <workbookView xWindow="0" yWindow="38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l="1"/>
  <c r="A9" i="19"/>
  <c r="B40" i="21"/>
  <c r="B27" i="21"/>
  <c r="A21" i="21"/>
  <c r="A34" i="21"/>
  <c r="B8" i="21"/>
  <c r="B21" i="21"/>
  <c r="B34" i="21"/>
  <c r="C87" i="2"/>
  <c r="C82" i="2"/>
  <c r="C58" i="2"/>
  <c r="C106" i="2"/>
  <c r="C63" i="2"/>
  <c r="C107" i="2"/>
  <c r="D11" i="2"/>
  <c r="C40" i="2"/>
  <c r="C41" i="2"/>
  <c r="C39" i="2"/>
  <c r="C36" i="2"/>
  <c r="C37" i="2"/>
  <c r="C35" i="2"/>
  <c r="F9" i="2"/>
  <c r="E9" i="2"/>
  <c r="D9" i="2"/>
  <c r="G11" i="2"/>
  <c r="V9" i="2"/>
  <c r="E11" i="2"/>
  <c r="F11" i="2"/>
  <c r="H11" i="2"/>
  <c r="I11" i="2"/>
  <c r="C72" i="2"/>
  <c r="B11" i="5"/>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C129" i="2"/>
  <c r="C135" i="2" s="1"/>
  <c r="G22" i="8"/>
  <c r="F22" i="8"/>
  <c r="C22" i="8"/>
  <c r="E22" i="8"/>
  <c r="D22" i="8"/>
  <c r="H44" i="2"/>
  <c r="H43" i="2"/>
  <c r="I44" i="2"/>
  <c r="J44" i="2"/>
  <c r="G15" i="9"/>
  <c r="I43" i="2"/>
  <c r="G16" i="8"/>
  <c r="H15" i="9"/>
  <c r="J43" i="2"/>
  <c r="H16" i="8"/>
  <c r="I15" i="9"/>
  <c r="K44" i="2"/>
  <c r="J15" i="9"/>
  <c r="L44" i="2"/>
  <c r="K43" i="2"/>
  <c r="I16" i="8"/>
  <c r="L43" i="2"/>
  <c r="J16" i="8"/>
  <c r="K15" i="9"/>
  <c r="M44" i="2"/>
  <c r="L15" i="9"/>
  <c r="N44" i="2"/>
  <c r="K16" i="8"/>
  <c r="M43" i="2"/>
  <c r="M15" i="9"/>
  <c r="O44" i="2"/>
  <c r="N43" i="2"/>
  <c r="L16" i="8"/>
  <c r="N15" i="9"/>
  <c r="P44" i="2"/>
  <c r="O43" i="2"/>
  <c r="M16" i="8"/>
  <c r="O15" i="9"/>
  <c r="Q44" i="2"/>
  <c r="P43" i="2"/>
  <c r="N16" i="8"/>
  <c r="Q43" i="2"/>
  <c r="O16" i="8"/>
  <c r="P15" i="9"/>
  <c r="R44" i="2"/>
  <c r="Q15" i="9"/>
  <c r="S44" i="2"/>
  <c r="P16" i="8"/>
  <c r="R43" i="2"/>
  <c r="R15" i="9"/>
  <c r="T44" i="2"/>
  <c r="S43" i="2"/>
  <c r="Q16" i="8"/>
  <c r="S15" i="9"/>
  <c r="U44" i="2"/>
  <c r="T43" i="2"/>
  <c r="R16" i="8"/>
  <c r="U43" i="2"/>
  <c r="S16" i="8"/>
  <c r="T15" i="9"/>
  <c r="V44" i="2"/>
  <c r="T16" i="8"/>
  <c r="V43" i="2"/>
  <c r="U15" i="9"/>
  <c r="W44" i="2"/>
  <c r="V15" i="9"/>
  <c r="X44" i="2"/>
  <c r="W43" i="2"/>
  <c r="U16" i="8"/>
  <c r="W15" i="9"/>
  <c r="Y44" i="2"/>
  <c r="X43" i="2"/>
  <c r="V16" i="8"/>
  <c r="Y43" i="2"/>
  <c r="W16" i="8"/>
  <c r="X15" i="9"/>
  <c r="Z44" i="2"/>
  <c r="Y15" i="9"/>
  <c r="AA44" i="2"/>
  <c r="Z43" i="2"/>
  <c r="X16" i="8"/>
  <c r="Z15" i="9"/>
  <c r="AB44" i="2"/>
  <c r="AA43" i="2"/>
  <c r="Y16" i="8"/>
  <c r="Z16" i="8"/>
  <c r="AB43" i="2"/>
  <c r="AA15" i="9"/>
  <c r="AC44" i="2"/>
  <c r="AC43" i="2"/>
  <c r="AA16" i="8"/>
  <c r="AB15" i="9"/>
  <c r="AD44" i="2"/>
  <c r="AD43" i="2"/>
  <c r="AB16" i="8"/>
  <c r="AC15" i="9"/>
  <c r="AE44" i="2"/>
  <c r="AD15" i="9"/>
  <c r="AF44" i="2"/>
  <c r="AE43" i="2"/>
  <c r="AC16" i="8"/>
  <c r="AE15" i="9"/>
  <c r="AG44" i="2"/>
  <c r="AD16" i="8"/>
  <c r="AF43" i="2"/>
  <c r="AF15" i="9"/>
  <c r="AG43" i="2"/>
  <c r="AE16" i="8"/>
  <c r="AF16" i="8"/>
  <c r="C83" i="2" l="1"/>
  <c r="C22" i="6"/>
  <c r="B10" i="21"/>
  <c r="C66" i="2"/>
  <c r="C17" i="2"/>
  <c r="C90" i="2"/>
  <c r="C95" i="2" s="1"/>
  <c r="B7" i="21"/>
  <c r="C71" i="2"/>
  <c r="C73" i="2" s="1"/>
  <c r="C5" i="3"/>
  <c r="C67" i="2"/>
  <c r="C89" i="2"/>
  <c r="C94" i="2" s="1"/>
  <c r="B12" i="21" l="1"/>
  <c r="B16" i="21" s="1"/>
  <c r="C75" i="2"/>
  <c r="B6" i="5"/>
  <c r="C18" i="2"/>
  <c r="C7" i="6" s="1"/>
  <c r="C6" i="6"/>
  <c r="C96" i="2"/>
  <c r="C68" i="2"/>
  <c r="C102" i="2" l="1"/>
  <c r="AG111" i="2"/>
  <c r="Z111" i="2"/>
  <c r="F111" i="2"/>
  <c r="AA111" i="2"/>
  <c r="D111" i="2"/>
  <c r="AE111" i="2"/>
  <c r="T111" i="2"/>
  <c r="W111" i="2"/>
  <c r="E111" i="2"/>
  <c r="M111" i="2"/>
  <c r="AF111" i="2"/>
  <c r="Q111" i="2"/>
  <c r="V111" i="2"/>
  <c r="I111" i="2"/>
  <c r="G111" i="2"/>
  <c r="AC111" i="2"/>
  <c r="O111" i="2"/>
  <c r="N111" i="2"/>
  <c r="Y111" i="2"/>
  <c r="AD111" i="2"/>
  <c r="J111" i="2"/>
  <c r="P111" i="2"/>
  <c r="K111" i="2"/>
  <c r="S111" i="2"/>
  <c r="H111" i="2"/>
  <c r="L111" i="2"/>
  <c r="AB111" i="2"/>
  <c r="X111" i="2"/>
  <c r="U111" i="2"/>
  <c r="R111" i="2"/>
  <c r="S13" i="2"/>
  <c r="AA13" i="2"/>
  <c r="W13" i="2"/>
  <c r="L13" i="2"/>
  <c r="AD13" i="2"/>
  <c r="D13" i="2"/>
  <c r="AE13" i="2"/>
  <c r="AF13" i="2"/>
  <c r="Z13" i="2"/>
  <c r="Q13" i="2"/>
  <c r="T13" i="2"/>
  <c r="R13" i="2"/>
  <c r="K13" i="2"/>
  <c r="E13" i="2"/>
  <c r="V13" i="2"/>
  <c r="U13" i="2"/>
  <c r="G13" i="2"/>
  <c r="AB13" i="2"/>
  <c r="AC13" i="2"/>
  <c r="N13" i="2"/>
  <c r="X13" i="2"/>
  <c r="H13" i="2"/>
  <c r="P13" i="2"/>
  <c r="Y13" i="2"/>
  <c r="J13" i="2"/>
  <c r="AG13" i="2"/>
  <c r="M13" i="2"/>
  <c r="F13" i="2"/>
  <c r="O13" i="2"/>
  <c r="I13" i="2"/>
  <c r="C5" i="8"/>
  <c r="AB12" i="8" l="1"/>
  <c r="AC135" i="2"/>
  <c r="Y8" i="6"/>
  <c r="Y5" i="9"/>
  <c r="Y11" i="9" s="1"/>
  <c r="M135" i="2"/>
  <c r="B23" i="21" s="1"/>
  <c r="L12" i="8"/>
  <c r="M12" i="8"/>
  <c r="N135" i="2"/>
  <c r="Q12" i="8"/>
  <c r="R135" i="2"/>
  <c r="L135" i="2"/>
  <c r="K12" i="8"/>
  <c r="AA5" i="9"/>
  <c r="AA11" i="9" s="1"/>
  <c r="AA8" i="6"/>
  <c r="X8" i="6"/>
  <c r="X5" i="9"/>
  <c r="X11" i="9" s="1"/>
  <c r="AE5" i="9"/>
  <c r="AE11" i="9" s="1"/>
  <c r="AE8" i="6"/>
  <c r="E5" i="9"/>
  <c r="E11" i="9" s="1"/>
  <c r="E8" i="6"/>
  <c r="M8" i="6"/>
  <c r="M5" i="9"/>
  <c r="M11" i="9" s="1"/>
  <c r="Y12" i="8"/>
  <c r="Z135" i="2"/>
  <c r="V5" i="9"/>
  <c r="V11" i="9" s="1"/>
  <c r="V8" i="6"/>
  <c r="AA12" i="8"/>
  <c r="AB135" i="2"/>
  <c r="I12" i="8"/>
  <c r="J135" i="2"/>
  <c r="AB5" i="9"/>
  <c r="AB11" i="9" s="1"/>
  <c r="AB8" i="6"/>
  <c r="AE12" i="8"/>
  <c r="AF135" i="2"/>
  <c r="J5" i="9"/>
  <c r="J11" i="9" s="1"/>
  <c r="J8" i="6"/>
  <c r="F8" i="6"/>
  <c r="F5" i="9"/>
  <c r="F11" i="9" s="1"/>
  <c r="S5" i="9"/>
  <c r="S11" i="9" s="1"/>
  <c r="S8" i="6"/>
  <c r="AF12" i="8"/>
  <c r="AG135" i="2"/>
  <c r="B36" i="21" s="1"/>
  <c r="K5" i="9"/>
  <c r="K11" i="9" s="1"/>
  <c r="K8" i="6"/>
  <c r="Q135" i="2"/>
  <c r="P12" i="8"/>
  <c r="G5" i="9"/>
  <c r="G11" i="9" s="1"/>
  <c r="G8" i="6"/>
  <c r="F12" i="8"/>
  <c r="G135" i="2"/>
  <c r="R8" i="6"/>
  <c r="R5" i="9"/>
  <c r="R11" i="9" s="1"/>
  <c r="Y135" i="2"/>
  <c r="X12" i="8"/>
  <c r="P135" i="2"/>
  <c r="O12" i="8"/>
  <c r="AE135" i="2"/>
  <c r="AD12" i="8"/>
  <c r="Q8" i="6"/>
  <c r="Q5" i="9"/>
  <c r="Q11" i="9" s="1"/>
  <c r="O5" i="9"/>
  <c r="O11" i="9" s="1"/>
  <c r="O8" i="6"/>
  <c r="H5" i="9"/>
  <c r="H11" i="9" s="1"/>
  <c r="H8" i="6"/>
  <c r="AD8" i="6"/>
  <c r="AD5" i="9"/>
  <c r="AD11" i="9" s="1"/>
  <c r="S12" i="8"/>
  <c r="T135" i="2"/>
  <c r="D5" i="9"/>
  <c r="D11" i="9" s="1"/>
  <c r="D8" i="6"/>
  <c r="D5" i="8"/>
  <c r="E5" i="8" s="1"/>
  <c r="F5" i="8" s="1"/>
  <c r="G5" i="8" s="1"/>
  <c r="H5" i="8" s="1"/>
  <c r="I5" i="8" s="1"/>
  <c r="J5" i="8" s="1"/>
  <c r="K5" i="8" s="1"/>
  <c r="L5" i="8" s="1"/>
  <c r="E6" i="7"/>
  <c r="T12" i="8"/>
  <c r="U135" i="2"/>
  <c r="I135" i="2"/>
  <c r="H12" i="8"/>
  <c r="U12" i="8"/>
  <c r="V135" i="2"/>
  <c r="O135" i="2"/>
  <c r="N12" i="8"/>
  <c r="G12" i="8"/>
  <c r="H135" i="2"/>
  <c r="D12" i="8"/>
  <c r="E135" i="2"/>
  <c r="C12" i="8"/>
  <c r="D135" i="2"/>
  <c r="T5" i="9"/>
  <c r="T11" i="9" s="1"/>
  <c r="T8" i="6"/>
  <c r="I8" i="6"/>
  <c r="I5" i="9"/>
  <c r="I11" i="9" s="1"/>
  <c r="U8" i="6"/>
  <c r="U5" i="9"/>
  <c r="U11" i="9" s="1"/>
  <c r="C8" i="6"/>
  <c r="C5" i="9"/>
  <c r="C11" i="9" s="1"/>
  <c r="U113" i="2"/>
  <c r="Q113" i="2"/>
  <c r="X113" i="2"/>
  <c r="S113" i="2"/>
  <c r="AC113" i="2"/>
  <c r="AB113" i="2"/>
  <c r="AF113" i="2"/>
  <c r="AA113" i="2"/>
  <c r="Y113" i="2"/>
  <c r="G113" i="2"/>
  <c r="I113" i="2"/>
  <c r="L113" i="2"/>
  <c r="D113" i="2"/>
  <c r="T113" i="2"/>
  <c r="O113" i="2"/>
  <c r="AG113" i="2"/>
  <c r="N113" i="2"/>
  <c r="AE113" i="2"/>
  <c r="R113" i="2"/>
  <c r="E113" i="2"/>
  <c r="V113" i="2"/>
  <c r="H113" i="2"/>
  <c r="Z113" i="2"/>
  <c r="K113" i="2"/>
  <c r="M113" i="2"/>
  <c r="F113" i="2"/>
  <c r="AD113" i="2"/>
  <c r="P113" i="2"/>
  <c r="W113" i="2"/>
  <c r="J113" i="2"/>
  <c r="W135" i="2"/>
  <c r="V12" i="8"/>
  <c r="L8" i="6"/>
  <c r="L5" i="9"/>
  <c r="L11" i="9" s="1"/>
  <c r="Z12" i="8"/>
  <c r="AA135" i="2"/>
  <c r="N8" i="6"/>
  <c r="N5" i="9"/>
  <c r="N11" i="9" s="1"/>
  <c r="AF5" i="9"/>
  <c r="AF11" i="9" s="1"/>
  <c r="AF8" i="6"/>
  <c r="R12" i="8"/>
  <c r="S135" i="2"/>
  <c r="E12" i="8"/>
  <c r="F135" i="2"/>
  <c r="W12" i="8"/>
  <c r="X135" i="2"/>
  <c r="J12" i="8"/>
  <c r="K135" i="2"/>
  <c r="AD135" i="2"/>
  <c r="AC12" i="8"/>
  <c r="W5" i="9"/>
  <c r="W11" i="9" s="1"/>
  <c r="W8" i="6"/>
  <c r="AC5" i="9"/>
  <c r="AC11" i="9" s="1"/>
  <c r="AC8" i="6"/>
  <c r="P8" i="6"/>
  <c r="P5" i="9"/>
  <c r="P11" i="9" s="1"/>
  <c r="Z5" i="9"/>
  <c r="Z11" i="9" s="1"/>
  <c r="Z8" i="6"/>
  <c r="L18" i="9" l="1"/>
  <c r="F6" i="9"/>
  <c r="F12" i="9" s="1"/>
  <c r="G116" i="2"/>
  <c r="G115" i="2"/>
  <c r="G118" i="2" s="1"/>
  <c r="Z18" i="9"/>
  <c r="M6" i="9"/>
  <c r="M12" i="9" s="1"/>
  <c r="N115" i="2"/>
  <c r="N116" i="2"/>
  <c r="N118" i="2" s="1"/>
  <c r="T18" i="9"/>
  <c r="M20" i="8"/>
  <c r="M19" i="8"/>
  <c r="P18" i="9"/>
  <c r="V20" i="8"/>
  <c r="V19" i="8"/>
  <c r="J6" i="9"/>
  <c r="J12" i="9" s="1"/>
  <c r="K116" i="2"/>
  <c r="K115" i="2"/>
  <c r="AG116" i="2"/>
  <c r="AF6" i="9"/>
  <c r="AF12" i="9" s="1"/>
  <c r="AG115" i="2"/>
  <c r="AG118" i="2" s="1"/>
  <c r="Z6" i="9"/>
  <c r="Z12" i="9" s="1"/>
  <c r="AA116" i="2"/>
  <c r="AA115" i="2"/>
  <c r="AA118" i="2" s="1"/>
  <c r="C18" i="9"/>
  <c r="X20" i="8"/>
  <c r="X19" i="8"/>
  <c r="P20" i="8"/>
  <c r="P19" i="8"/>
  <c r="F18" i="9"/>
  <c r="M18" i="9"/>
  <c r="L20" i="8"/>
  <c r="L19" i="8"/>
  <c r="E6" i="9"/>
  <c r="E12" i="9" s="1"/>
  <c r="F116" i="2"/>
  <c r="F115" i="2"/>
  <c r="F118" i="2" s="1"/>
  <c r="N20" i="8"/>
  <c r="N19" i="8"/>
  <c r="L6" i="9"/>
  <c r="L12" i="9" s="1"/>
  <c r="M116" i="2"/>
  <c r="M115" i="2"/>
  <c r="M118" i="2" s="1"/>
  <c r="G18" i="9"/>
  <c r="C20" i="8"/>
  <c r="C19" i="8"/>
  <c r="I19" i="8"/>
  <c r="I20" i="8"/>
  <c r="U18" i="9"/>
  <c r="Q18" i="9"/>
  <c r="R18" i="9"/>
  <c r="K19" i="8"/>
  <c r="K20" i="8"/>
  <c r="Y18" i="9"/>
  <c r="P6" i="9"/>
  <c r="P12" i="9" s="1"/>
  <c r="Q116" i="2"/>
  <c r="Q115" i="2"/>
  <c r="O19" i="8"/>
  <c r="O20" i="8"/>
  <c r="X18" i="9"/>
  <c r="X6" i="9"/>
  <c r="X12" i="9" s="1"/>
  <c r="Y116" i="2"/>
  <c r="Y115" i="2"/>
  <c r="Y118" i="2"/>
  <c r="AB18" i="9"/>
  <c r="J20" i="8"/>
  <c r="J19" i="8"/>
  <c r="Y6" i="9"/>
  <c r="Y12" i="9" s="1"/>
  <c r="Z116" i="2"/>
  <c r="Z115" i="2"/>
  <c r="Z118" i="2" s="1"/>
  <c r="AF116" i="2"/>
  <c r="AE6" i="9"/>
  <c r="AE12" i="9" s="1"/>
  <c r="AF115" i="2"/>
  <c r="D18" i="9"/>
  <c r="AA18" i="9"/>
  <c r="H116" i="2"/>
  <c r="G6" i="9"/>
  <c r="G12" i="9" s="1"/>
  <c r="H115" i="2"/>
  <c r="H19" i="8"/>
  <c r="H20" i="8"/>
  <c r="AC18" i="9"/>
  <c r="W20" i="8"/>
  <c r="W19" i="8"/>
  <c r="W116" i="2"/>
  <c r="V6" i="9"/>
  <c r="V12" i="9" s="1"/>
  <c r="W115" i="2"/>
  <c r="U6" i="9"/>
  <c r="U12" i="9" s="1"/>
  <c r="V116" i="2"/>
  <c r="V115" i="2"/>
  <c r="D116" i="2"/>
  <c r="D115" i="2"/>
  <c r="C6" i="9"/>
  <c r="C12" i="9" s="1"/>
  <c r="C113" i="2"/>
  <c r="C114" i="2" s="1"/>
  <c r="AC115" i="2"/>
  <c r="AC116" i="2"/>
  <c r="AB6" i="9"/>
  <c r="AB12" i="9" s="1"/>
  <c r="D20" i="8"/>
  <c r="D19" i="8"/>
  <c r="S20" i="8"/>
  <c r="S19" i="8"/>
  <c r="K18" i="9"/>
  <c r="J18" i="9"/>
  <c r="AA20" i="8"/>
  <c r="AA19" i="8"/>
  <c r="E18" i="9"/>
  <c r="AC20" i="8"/>
  <c r="AC19" i="8"/>
  <c r="AE116" i="2"/>
  <c r="AD6" i="9"/>
  <c r="AD12" i="9" s="1"/>
  <c r="AE115" i="2"/>
  <c r="R19" i="8"/>
  <c r="R20" i="8"/>
  <c r="T6" i="9"/>
  <c r="T12" i="9" s="1"/>
  <c r="U116" i="2"/>
  <c r="U115" i="2"/>
  <c r="U118" i="2" s="1"/>
  <c r="H18" i="9"/>
  <c r="Y19" i="8"/>
  <c r="Y20" i="8"/>
  <c r="AF18" i="9"/>
  <c r="N6" i="9"/>
  <c r="N12" i="9" s="1"/>
  <c r="O116" i="2"/>
  <c r="O115" i="2"/>
  <c r="O118" i="2"/>
  <c r="U20" i="8"/>
  <c r="U19" i="8"/>
  <c r="N18" i="9"/>
  <c r="T116" i="2"/>
  <c r="S6" i="9"/>
  <c r="S12" i="9" s="1"/>
  <c r="T115" i="2"/>
  <c r="P116" i="2"/>
  <c r="O6" i="9"/>
  <c r="O12" i="9" s="1"/>
  <c r="P115" i="2"/>
  <c r="E116" i="2"/>
  <c r="D6" i="9"/>
  <c r="D12" i="9" s="1"/>
  <c r="E115" i="2"/>
  <c r="K6" i="9"/>
  <c r="K12" i="9" s="1"/>
  <c r="L116" i="2"/>
  <c r="L115" i="2"/>
  <c r="L118" i="2"/>
  <c r="S116" i="2"/>
  <c r="R6" i="9"/>
  <c r="R12" i="9" s="1"/>
  <c r="S115" i="2"/>
  <c r="I18" i="9"/>
  <c r="AD18" i="9"/>
  <c r="AD20" i="8"/>
  <c r="AD19" i="8"/>
  <c r="B20" i="21"/>
  <c r="B25" i="21" s="1"/>
  <c r="B29" i="21"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S18" i="9"/>
  <c r="O18" i="9"/>
  <c r="J115" i="2"/>
  <c r="J116" i="2"/>
  <c r="I6" i="9"/>
  <c r="I12" i="9" s="1"/>
  <c r="AA6" i="9"/>
  <c r="AA12" i="9" s="1"/>
  <c r="AB116" i="2"/>
  <c r="AB115" i="2"/>
  <c r="W18" i="9"/>
  <c r="E19" i="8"/>
  <c r="E20" i="8"/>
  <c r="Z20" i="8"/>
  <c r="Z19" i="8"/>
  <c r="AD116" i="2"/>
  <c r="AC6" i="9"/>
  <c r="AC12" i="9" s="1"/>
  <c r="AD115" i="2"/>
  <c r="R116" i="2"/>
  <c r="Q6" i="9"/>
  <c r="Q12" i="9" s="1"/>
  <c r="R115" i="2"/>
  <c r="I116" i="2"/>
  <c r="I115" i="2"/>
  <c r="I118" i="2" s="1"/>
  <c r="H6" i="9"/>
  <c r="H12" i="9" s="1"/>
  <c r="W6" i="9"/>
  <c r="W12" i="9" s="1"/>
  <c r="X116" i="2"/>
  <c r="X115" i="2"/>
  <c r="G19" i="8"/>
  <c r="G20" i="8"/>
  <c r="T20" i="8"/>
  <c r="T19" i="8"/>
  <c r="F19" i="8"/>
  <c r="F20" i="8"/>
  <c r="AF20" i="8"/>
  <c r="AF19" i="8"/>
  <c r="AE20" i="8"/>
  <c r="AE19" i="8"/>
  <c r="V18" i="9"/>
  <c r="AE18" i="9"/>
  <c r="Q20" i="8"/>
  <c r="Q19" i="8"/>
  <c r="AB20" i="8"/>
  <c r="AB19" i="8"/>
  <c r="R118" i="2" l="1"/>
  <c r="J118" i="2"/>
  <c r="T118" i="2"/>
  <c r="S118" i="2"/>
  <c r="H118" i="2"/>
  <c r="K118" i="2"/>
  <c r="V118" i="2"/>
  <c r="AF118" i="2"/>
  <c r="Q118" i="2"/>
  <c r="AC118" i="2"/>
  <c r="AB118" i="2"/>
  <c r="X118" i="2"/>
  <c r="D118" i="2"/>
  <c r="AD118" i="2"/>
  <c r="E118" i="2"/>
  <c r="H122" i="2" s="1"/>
  <c r="G14" i="8" s="1"/>
  <c r="AE118" i="2"/>
  <c r="P118" i="2"/>
  <c r="W118" i="2"/>
  <c r="Z122" i="2"/>
  <c r="Y14" i="8" s="1"/>
  <c r="D21" i="9"/>
  <c r="D20" i="9"/>
  <c r="AD21" i="9"/>
  <c r="AD20" i="9"/>
  <c r="U21" i="9"/>
  <c r="U20" i="9"/>
  <c r="AF21" i="9"/>
  <c r="AF20" i="9"/>
  <c r="R21" i="9"/>
  <c r="R20" i="9"/>
  <c r="S21" i="9"/>
  <c r="S20" i="9"/>
  <c r="C21" i="9"/>
  <c r="C20" i="9"/>
  <c r="Y21" i="9"/>
  <c r="Y20" i="9"/>
  <c r="F20" i="9"/>
  <c r="F21" i="9"/>
  <c r="Q21" i="9"/>
  <c r="Q20" i="9"/>
  <c r="V21" i="9"/>
  <c r="V20" i="9"/>
  <c r="X21" i="9"/>
  <c r="X20" i="9"/>
  <c r="L20" i="9"/>
  <c r="L21" i="9"/>
  <c r="W21" i="9"/>
  <c r="W20" i="9"/>
  <c r="AB21" i="9"/>
  <c r="AB20" i="9"/>
  <c r="E20" i="9"/>
  <c r="E21" i="9"/>
  <c r="T21" i="9"/>
  <c r="T20" i="9"/>
  <c r="H21" i="9"/>
  <c r="H20" i="9"/>
  <c r="O21" i="9"/>
  <c r="O20" i="9"/>
  <c r="N21" i="9"/>
  <c r="N20" i="9"/>
  <c r="AE21" i="9"/>
  <c r="AE20" i="9"/>
  <c r="Z21" i="9"/>
  <c r="Z20" i="9"/>
  <c r="J20" i="9"/>
  <c r="J21" i="9"/>
  <c r="AA21" i="9"/>
  <c r="AA20" i="9"/>
  <c r="K21" i="9"/>
  <c r="K20" i="9"/>
  <c r="P21" i="9"/>
  <c r="P20" i="9"/>
  <c r="G21" i="9"/>
  <c r="G20" i="9"/>
  <c r="AC21" i="9"/>
  <c r="AC20" i="9"/>
  <c r="I21" i="9"/>
  <c r="I20" i="9"/>
  <c r="M21" i="9"/>
  <c r="M20" i="9"/>
  <c r="L122" i="2" l="1"/>
  <c r="K14" i="8" s="1"/>
  <c r="R120" i="2"/>
  <c r="I122" i="2"/>
  <c r="H14" i="8" s="1"/>
  <c r="J122" i="2"/>
  <c r="I14" i="8" s="1"/>
  <c r="E122" i="2"/>
  <c r="D14" i="8" s="1"/>
  <c r="D120" i="2"/>
  <c r="V120" i="2"/>
  <c r="I120" i="2"/>
  <c r="H9" i="6" s="1"/>
  <c r="R122" i="2"/>
  <c r="Q14" i="8" s="1"/>
  <c r="U122" i="2"/>
  <c r="T14" i="8" s="1"/>
  <c r="S122" i="2"/>
  <c r="R14" i="8" s="1"/>
  <c r="P120" i="2"/>
  <c r="H120" i="2"/>
  <c r="D122" i="2"/>
  <c r="C14" i="8" s="1"/>
  <c r="F122" i="2"/>
  <c r="E14" i="8" s="1"/>
  <c r="J120" i="2"/>
  <c r="I9" i="6" s="1"/>
  <c r="T120" i="2"/>
  <c r="K122" i="2"/>
  <c r="J14" i="8" s="1"/>
  <c r="J25" i="8" s="1"/>
  <c r="L120" i="2"/>
  <c r="AC120" i="2"/>
  <c r="P122" i="2"/>
  <c r="O14" i="8" s="1"/>
  <c r="Q120" i="2"/>
  <c r="O120" i="2"/>
  <c r="G122" i="2"/>
  <c r="F14" i="8" s="1"/>
  <c r="F24" i="8" s="1"/>
  <c r="E120" i="2"/>
  <c r="N122" i="2"/>
  <c r="M14" i="8" s="1"/>
  <c r="M24" i="8" s="1"/>
  <c r="M27" i="8" s="1"/>
  <c r="M6" i="8" s="1"/>
  <c r="X122" i="2"/>
  <c r="W14" i="8" s="1"/>
  <c r="W122" i="2"/>
  <c r="V14" i="8" s="1"/>
  <c r="W120" i="2"/>
  <c r="T122" i="2"/>
  <c r="S14" i="8" s="1"/>
  <c r="V122" i="2"/>
  <c r="U14" i="8" s="1"/>
  <c r="AA120" i="2"/>
  <c r="Z7" i="9" s="1"/>
  <c r="Z13" i="9" s="1"/>
  <c r="S120" i="2"/>
  <c r="O122" i="2"/>
  <c r="N14" i="8" s="1"/>
  <c r="N25" i="8" s="1"/>
  <c r="G120" i="2"/>
  <c r="X120" i="2"/>
  <c r="AB120" i="2"/>
  <c r="Q122" i="2"/>
  <c r="P14" i="8" s="1"/>
  <c r="F120" i="2"/>
  <c r="N120" i="2"/>
  <c r="M7" i="9" s="1"/>
  <c r="M13" i="9" s="1"/>
  <c r="K120" i="2"/>
  <c r="U120" i="2"/>
  <c r="T7" i="9" s="1"/>
  <c r="T13" i="9" s="1"/>
  <c r="M120" i="2"/>
  <c r="M122" i="2"/>
  <c r="L14" i="8" s="1"/>
  <c r="AD120" i="2"/>
  <c r="AG120" i="2"/>
  <c r="Z120" i="2"/>
  <c r="AC122" i="2"/>
  <c r="AB14" i="8" s="1"/>
  <c r="AB24" i="8" s="1"/>
  <c r="AD122" i="2"/>
  <c r="AC14" i="8" s="1"/>
  <c r="AC24" i="8" s="1"/>
  <c r="Y122" i="2"/>
  <c r="X14" i="8" s="1"/>
  <c r="X24" i="8" s="1"/>
  <c r="AE120" i="2"/>
  <c r="AD9" i="6" s="1"/>
  <c r="AE122" i="2"/>
  <c r="AD14" i="8" s="1"/>
  <c r="AA122" i="2"/>
  <c r="Z14" i="8" s="1"/>
  <c r="AG122" i="2"/>
  <c r="AF14" i="8" s="1"/>
  <c r="AF24" i="8" s="1"/>
  <c r="AF122" i="2"/>
  <c r="AE14" i="8" s="1"/>
  <c r="Y120" i="2"/>
  <c r="X9" i="6" s="1"/>
  <c r="AB122" i="2"/>
  <c r="AA14" i="8" s="1"/>
  <c r="AF120" i="2"/>
  <c r="AE7" i="9" s="1"/>
  <c r="AE13" i="9" s="1"/>
  <c r="R24" i="8"/>
  <c r="R25" i="8"/>
  <c r="R27" i="8" s="1"/>
  <c r="R6" i="8" s="1"/>
  <c r="U7" i="9"/>
  <c r="U13" i="9" s="1"/>
  <c r="U9" i="6"/>
  <c r="R9" i="6"/>
  <c r="R7" i="9"/>
  <c r="R13" i="9" s="1"/>
  <c r="F9" i="6"/>
  <c r="F7" i="9"/>
  <c r="F13" i="9" s="1"/>
  <c r="L24" i="8"/>
  <c r="L25" i="8"/>
  <c r="Q25" i="8"/>
  <c r="Q24" i="8"/>
  <c r="D25" i="8"/>
  <c r="D27" i="8" s="1"/>
  <c r="D6" i="8" s="1"/>
  <c r="D24" i="8"/>
  <c r="AE24" i="8"/>
  <c r="AE25" i="8"/>
  <c r="O24" i="8"/>
  <c r="O25" i="8"/>
  <c r="J24" i="8"/>
  <c r="K9" i="6"/>
  <c r="K7" i="9"/>
  <c r="K13" i="9" s="1"/>
  <c r="G24" i="8"/>
  <c r="G25" i="8"/>
  <c r="C9" i="6"/>
  <c r="C7" i="9"/>
  <c r="C13" i="9" s="1"/>
  <c r="H24" i="8"/>
  <c r="H25" i="8"/>
  <c r="O7" i="9"/>
  <c r="O13" i="9" s="1"/>
  <c r="O9" i="6"/>
  <c r="K25" i="8"/>
  <c r="K24" i="8"/>
  <c r="H7" i="9"/>
  <c r="H13" i="9" s="1"/>
  <c r="AA25" i="8"/>
  <c r="AA24" i="8"/>
  <c r="W24" i="8"/>
  <c r="W25" i="8"/>
  <c r="M25" i="8"/>
  <c r="G7" i="9"/>
  <c r="G13" i="9" s="1"/>
  <c r="G9" i="6"/>
  <c r="C24" i="8"/>
  <c r="C25" i="8"/>
  <c r="E24" i="8"/>
  <c r="E25" i="8"/>
  <c r="T25" i="8"/>
  <c r="T24" i="8"/>
  <c r="Y25" i="8"/>
  <c r="Y24" i="8"/>
  <c r="AB9" i="6"/>
  <c r="AB7" i="9"/>
  <c r="AB13" i="9" s="1"/>
  <c r="V9" i="6"/>
  <c r="V7" i="9"/>
  <c r="V13" i="9" s="1"/>
  <c r="AA9" i="6"/>
  <c r="AA7" i="9"/>
  <c r="AA13" i="9" s="1"/>
  <c r="P9" i="6"/>
  <c r="P7" i="9"/>
  <c r="P13" i="9" s="1"/>
  <c r="N9" i="6"/>
  <c r="N7" i="9"/>
  <c r="N13" i="9" s="1"/>
  <c r="D9" i="6"/>
  <c r="D7" i="9"/>
  <c r="D13" i="9" s="1"/>
  <c r="AD25" i="8"/>
  <c r="AD24" i="8"/>
  <c r="AD27" i="8" s="1"/>
  <c r="AD6" i="8" s="1"/>
  <c r="S9" i="6"/>
  <c r="S7" i="9"/>
  <c r="S13" i="9" s="1"/>
  <c r="W7" i="9"/>
  <c r="W13" i="9" s="1"/>
  <c r="W9" i="6"/>
  <c r="U24" i="8"/>
  <c r="U25" i="8"/>
  <c r="V24" i="8"/>
  <c r="V27" i="8" s="1"/>
  <c r="V6" i="8" s="1"/>
  <c r="V25" i="8"/>
  <c r="Q7" i="9"/>
  <c r="Q13" i="9" s="1"/>
  <c r="Q9" i="6"/>
  <c r="I24" i="8"/>
  <c r="I25" i="8"/>
  <c r="AD7" i="9"/>
  <c r="AD13" i="9" s="1"/>
  <c r="L9" i="6"/>
  <c r="L7" i="9"/>
  <c r="L13" i="9" s="1"/>
  <c r="Z24" i="8"/>
  <c r="Z27" i="8" s="1"/>
  <c r="Z6" i="8" s="1"/>
  <c r="Z25" i="8"/>
  <c r="AC9" i="6"/>
  <c r="AC7" i="9"/>
  <c r="AC13" i="9" s="1"/>
  <c r="AF7" i="9"/>
  <c r="AF13" i="9" s="1"/>
  <c r="AF9" i="6"/>
  <c r="J9" i="6"/>
  <c r="J7" i="9"/>
  <c r="J13" i="9" s="1"/>
  <c r="Y9" i="6"/>
  <c r="Y7" i="9"/>
  <c r="Y13" i="9" s="1"/>
  <c r="S25" i="8"/>
  <c r="S24" i="8"/>
  <c r="P25" i="8"/>
  <c r="P24" i="8"/>
  <c r="E9" i="6"/>
  <c r="E7" i="9"/>
  <c r="E13" i="9" s="1"/>
  <c r="O27" i="8" l="1"/>
  <c r="O6" i="8" s="1"/>
  <c r="Z9" i="6"/>
  <c r="K27" i="8"/>
  <c r="K6" i="8" s="1"/>
  <c r="G27" i="8"/>
  <c r="G6" i="8" s="1"/>
  <c r="U27" i="8"/>
  <c r="U6" i="8" s="1"/>
  <c r="N24" i="8"/>
  <c r="N27" i="8" s="1"/>
  <c r="N6" i="8" s="1"/>
  <c r="T9" i="6"/>
  <c r="T10" i="6" s="1"/>
  <c r="S27" i="8"/>
  <c r="S6" i="8" s="1"/>
  <c r="X7" i="9"/>
  <c r="X13" i="9" s="1"/>
  <c r="Q27" i="8"/>
  <c r="Q6" i="8" s="1"/>
  <c r="AB25" i="8"/>
  <c r="C27" i="8"/>
  <c r="C6" i="8" s="1"/>
  <c r="M9" i="6"/>
  <c r="I27" i="8"/>
  <c r="I6" i="8" s="1"/>
  <c r="AF25" i="8"/>
  <c r="AF27" i="8" s="1"/>
  <c r="AF6" i="8" s="1"/>
  <c r="F25" i="8"/>
  <c r="F27" i="8" s="1"/>
  <c r="F6" i="8" s="1"/>
  <c r="I7" i="9"/>
  <c r="I13" i="9" s="1"/>
  <c r="AC25" i="8"/>
  <c r="AC27" i="8" s="1"/>
  <c r="AC6" i="8" s="1"/>
  <c r="P27" i="8"/>
  <c r="P6" i="8" s="1"/>
  <c r="H27" i="8"/>
  <c r="H6" i="8" s="1"/>
  <c r="J27" i="8"/>
  <c r="J6" i="8" s="1"/>
  <c r="AE27" i="8"/>
  <c r="AE6" i="8" s="1"/>
  <c r="E27" i="8"/>
  <c r="E6" i="8" s="1"/>
  <c r="W27" i="8"/>
  <c r="W6" i="8" s="1"/>
  <c r="Y27" i="8"/>
  <c r="Y6" i="8" s="1"/>
  <c r="AE9" i="6"/>
  <c r="L27" i="8"/>
  <c r="L6" i="8" s="1"/>
  <c r="X25" i="8"/>
  <c r="X27" i="8" s="1"/>
  <c r="X6" i="8" s="1"/>
  <c r="AB27" i="8"/>
  <c r="AB6" i="8" s="1"/>
  <c r="T27" i="8"/>
  <c r="T6" i="8" s="1"/>
  <c r="AA27" i="8"/>
  <c r="AA6" i="8" s="1"/>
  <c r="S6" i="4"/>
  <c r="S7" i="8"/>
  <c r="C23" i="9"/>
  <c r="C25" i="9"/>
  <c r="Y23" i="9"/>
  <c r="Y25" i="9" s="1"/>
  <c r="N23" i="9"/>
  <c r="N25" i="9" s="1"/>
  <c r="Y7" i="8"/>
  <c r="Y6" i="4"/>
  <c r="AC23" i="9"/>
  <c r="AC25" i="9" s="1"/>
  <c r="AD7" i="8"/>
  <c r="AD6" i="4"/>
  <c r="S23" i="9"/>
  <c r="S25" i="9" s="1"/>
  <c r="V23" i="9"/>
  <c r="V25" i="9" s="1"/>
  <c r="H6" i="4"/>
  <c r="H7" i="8"/>
  <c r="AE6" i="4"/>
  <c r="AE7" i="8"/>
  <c r="E6" i="4"/>
  <c r="E7" i="8"/>
  <c r="G23" i="9"/>
  <c r="G25" i="9" s="1"/>
  <c r="U6" i="4"/>
  <c r="U7" i="8"/>
  <c r="V7" i="8"/>
  <c r="V6" i="4"/>
  <c r="Z23" i="9"/>
  <c r="Z25" i="9" s="1"/>
  <c r="G7" i="8"/>
  <c r="G6" i="4"/>
  <c r="F7" i="8"/>
  <c r="F6" i="4"/>
  <c r="N6" i="4"/>
  <c r="N7" i="8"/>
  <c r="AE23" i="9"/>
  <c r="AE25" i="9" s="1"/>
  <c r="J23" i="9"/>
  <c r="J25" i="9" s="1"/>
  <c r="Q6" i="4"/>
  <c r="Q7" i="8"/>
  <c r="P23" i="9"/>
  <c r="P25" i="9" s="1"/>
  <c r="O7" i="8"/>
  <c r="O6" i="4"/>
  <c r="M7" i="8"/>
  <c r="M6" i="4"/>
  <c r="U23" i="9"/>
  <c r="U25" i="9" s="1"/>
  <c r="E23" i="9"/>
  <c r="E25" i="9"/>
  <c r="AB23" i="9"/>
  <c r="AB25" i="9" s="1"/>
  <c r="Q23" i="9"/>
  <c r="Q25" i="9" s="1"/>
  <c r="P7" i="8"/>
  <c r="P6" i="4"/>
  <c r="O23" i="9"/>
  <c r="O25" i="9" s="1"/>
  <c r="M23" i="9"/>
  <c r="M25" i="9" s="1"/>
  <c r="Z7" i="8"/>
  <c r="Z6" i="4"/>
  <c r="F23" i="9"/>
  <c r="F25" i="9" s="1"/>
  <c r="I7" i="8"/>
  <c r="I6" i="4"/>
  <c r="J6" i="4"/>
  <c r="J7" i="8"/>
  <c r="AF6" i="4"/>
  <c r="AF7" i="8"/>
  <c r="D6" i="4"/>
  <c r="D7" i="8"/>
  <c r="AA23" i="9"/>
  <c r="AA25" i="9" s="1"/>
  <c r="K23" i="9"/>
  <c r="K25" i="9" s="1"/>
  <c r="X6" i="4"/>
  <c r="X7" i="8"/>
  <c r="R23" i="9"/>
  <c r="R25" i="9" s="1"/>
  <c r="AC7" i="8"/>
  <c r="AC6" i="4"/>
  <c r="I23" i="9"/>
  <c r="I25" i="9" s="1"/>
  <c r="S10" i="6"/>
  <c r="P10" i="6"/>
  <c r="J10" i="6"/>
  <c r="E10" i="6"/>
  <c r="Z10" i="6"/>
  <c r="H10" i="6"/>
  <c r="I10" i="6"/>
  <c r="K10" i="6"/>
  <c r="C12" i="6"/>
  <c r="D10" i="6"/>
  <c r="AE10" i="6"/>
  <c r="C10" i="6"/>
  <c r="C7" i="8"/>
  <c r="F10" i="6"/>
  <c r="N10" i="6"/>
  <c r="G10" i="6"/>
  <c r="C6" i="4"/>
  <c r="R10" i="6"/>
  <c r="L10" i="6"/>
  <c r="M10" i="6"/>
  <c r="O10" i="6"/>
  <c r="AF10" i="6"/>
  <c r="Q10" i="6"/>
  <c r="AB6" i="4"/>
  <c r="AB7" i="8"/>
  <c r="L23" i="9"/>
  <c r="L25" i="9" s="1"/>
  <c r="D23" i="9"/>
  <c r="D25" i="9" s="1"/>
  <c r="L7" i="8"/>
  <c r="L6" i="4"/>
  <c r="W6" i="4"/>
  <c r="W7" i="8"/>
  <c r="AF23" i="9"/>
  <c r="AF25" i="9"/>
  <c r="AD23" i="9"/>
  <c r="AD25" i="9" s="1"/>
  <c r="W23" i="9"/>
  <c r="W25" i="9" s="1"/>
  <c r="AA6" i="4"/>
  <c r="AA7" i="8"/>
  <c r="H23" i="9"/>
  <c r="H25" i="9" s="1"/>
  <c r="K7" i="8"/>
  <c r="K6" i="4"/>
  <c r="X23" i="9"/>
  <c r="X25" i="9" s="1"/>
  <c r="R7" i="8"/>
  <c r="R6" i="4"/>
  <c r="T23" i="9"/>
  <c r="T25" i="9"/>
  <c r="AB10" i="6" l="1"/>
  <c r="X10" i="6"/>
  <c r="AC10" i="6"/>
  <c r="U10" i="6"/>
  <c r="W10" i="6"/>
  <c r="T7" i="8"/>
  <c r="V10" i="6"/>
  <c r="AA10" i="6"/>
  <c r="T6" i="4"/>
  <c r="Y10" i="6"/>
  <c r="AD10" i="6"/>
  <c r="N10" i="4"/>
  <c r="N18" i="6"/>
  <c r="S18" i="6"/>
  <c r="S10" i="4"/>
  <c r="Z18" i="6"/>
  <c r="Z10" i="4"/>
  <c r="AB10" i="4"/>
  <c r="AB18" i="6"/>
  <c r="X18" i="6"/>
  <c r="X10" i="4"/>
  <c r="M18" i="6"/>
  <c r="M10" i="4"/>
  <c r="AD18" i="6"/>
  <c r="AD10" i="4"/>
  <c r="AE10" i="4"/>
  <c r="AE18" i="6"/>
  <c r="W18" i="6"/>
  <c r="W10" i="4"/>
  <c r="D18" i="6"/>
  <c r="D10" i="4"/>
  <c r="K18" i="6"/>
  <c r="K10" i="4"/>
  <c r="H18" i="6"/>
  <c r="H10" i="4"/>
  <c r="L18" i="6"/>
  <c r="L10" i="4"/>
  <c r="AA18" i="6"/>
  <c r="AA10" i="4"/>
  <c r="T10" i="4"/>
  <c r="T18" i="6"/>
  <c r="E18" i="6"/>
  <c r="E10" i="4"/>
  <c r="Y18" i="6"/>
  <c r="Y10" i="4"/>
  <c r="R18" i="6"/>
  <c r="R10" i="4"/>
  <c r="F10" i="4"/>
  <c r="F18" i="6"/>
  <c r="U18" i="6"/>
  <c r="U10" i="4"/>
  <c r="AC18" i="6"/>
  <c r="AC10" i="4"/>
  <c r="C10" i="4"/>
  <c r="C18" i="6"/>
  <c r="C19" i="6" s="1"/>
  <c r="C20" i="6" s="1"/>
  <c r="C23" i="6" s="1"/>
  <c r="AF10" i="4"/>
  <c r="AF18" i="6"/>
  <c r="O18" i="6"/>
  <c r="O10" i="4"/>
  <c r="I10" i="4"/>
  <c r="I18" i="6"/>
  <c r="Q18" i="6"/>
  <c r="Q10" i="4"/>
  <c r="J18" i="6"/>
  <c r="J10" i="4"/>
  <c r="G18" i="6"/>
  <c r="G10" i="4"/>
  <c r="V10" i="4"/>
  <c r="V18" i="6"/>
  <c r="P10" i="4"/>
  <c r="P18" i="6"/>
  <c r="B7" i="5"/>
  <c r="B8" i="5" s="1"/>
  <c r="D7" i="6"/>
  <c r="D12" i="6" s="1"/>
  <c r="B10" i="5" l="1"/>
  <c r="E8" i="7"/>
  <c r="C7" i="5"/>
  <c r="E7" i="6"/>
  <c r="E12" i="6" s="1"/>
  <c r="D19" i="6"/>
  <c r="D20" i="6" s="1"/>
  <c r="E19" i="6" s="1"/>
  <c r="E20" i="6" s="1"/>
  <c r="F19" i="6" s="1"/>
  <c r="F20" i="6" s="1"/>
  <c r="G19" i="6" s="1"/>
  <c r="G20" i="6" s="1"/>
  <c r="H19" i="6" s="1"/>
  <c r="H20" i="6" s="1"/>
  <c r="I19" i="6" s="1"/>
  <c r="I20" i="6" s="1"/>
  <c r="J19" i="6" s="1"/>
  <c r="J20" i="6" s="1"/>
  <c r="K19" i="6" s="1"/>
  <c r="K20" i="6" s="1"/>
  <c r="L19" i="6" s="1"/>
  <c r="L20" i="6" s="1"/>
  <c r="M19" i="6" s="1"/>
  <c r="M20" i="6" s="1"/>
  <c r="N19" i="6" s="1"/>
  <c r="N20" i="6" s="1"/>
  <c r="O19" i="6" s="1"/>
  <c r="O20" i="6" s="1"/>
  <c r="P19" i="6" s="1"/>
  <c r="P20" i="6" s="1"/>
  <c r="Q19" i="6" s="1"/>
  <c r="Q20" i="6" s="1"/>
  <c r="R19" i="6" s="1"/>
  <c r="R20" i="6" s="1"/>
  <c r="S19" i="6" s="1"/>
  <c r="S20" i="6" s="1"/>
  <c r="T19" i="6" s="1"/>
  <c r="T20" i="6" s="1"/>
  <c r="U19" i="6" s="1"/>
  <c r="U20" i="6" s="1"/>
  <c r="V19" i="6" s="1"/>
  <c r="V20" i="6" s="1"/>
  <c r="W19" i="6" s="1"/>
  <c r="W20" i="6" s="1"/>
  <c r="X19" i="6" s="1"/>
  <c r="X20" i="6" s="1"/>
  <c r="Y19" i="6" s="1"/>
  <c r="Y20" i="6" s="1"/>
  <c r="Z19" i="6" s="1"/>
  <c r="Z20" i="6" s="1"/>
  <c r="AA19" i="6" s="1"/>
  <c r="AA20" i="6" s="1"/>
  <c r="AB19" i="6" s="1"/>
  <c r="AB20" i="6" s="1"/>
  <c r="AC19" i="6" s="1"/>
  <c r="AC20" i="6" s="1"/>
  <c r="AD19" i="6" s="1"/>
  <c r="AD20" i="6" s="1"/>
  <c r="AE19" i="6" s="1"/>
  <c r="AE20" i="6" s="1"/>
  <c r="AF19" i="6" s="1"/>
  <c r="AF20" i="6" s="1"/>
  <c r="D7" i="5" l="1"/>
  <c r="F7" i="6"/>
  <c r="F12" i="6" s="1"/>
  <c r="E7" i="5" l="1"/>
  <c r="G7" i="6"/>
  <c r="G12" i="6" s="1"/>
  <c r="H7" i="6" l="1"/>
  <c r="H12" i="6" s="1"/>
  <c r="F7" i="5"/>
  <c r="G7" i="5" l="1"/>
  <c r="I7" i="6"/>
  <c r="I12" i="6" s="1"/>
  <c r="J7" i="6" l="1"/>
  <c r="J12" i="6" s="1"/>
  <c r="H7" i="5"/>
  <c r="I7" i="5" l="1"/>
  <c r="K7" i="6"/>
  <c r="K12" i="6" s="1"/>
  <c r="J7" i="5" l="1"/>
  <c r="L7" i="6"/>
  <c r="L12" i="6" s="1"/>
  <c r="K7" i="5" l="1"/>
  <c r="M7" i="6"/>
  <c r="M12" i="6" s="1"/>
  <c r="N7" i="6" l="1"/>
  <c r="N12" i="6" s="1"/>
  <c r="L7" i="5"/>
  <c r="M7" i="5" l="1"/>
  <c r="O7" i="6"/>
  <c r="O12" i="6" s="1"/>
  <c r="P7" i="6" l="1"/>
  <c r="P12" i="6" s="1"/>
  <c r="N7" i="5"/>
  <c r="O7" i="5" l="1"/>
  <c r="Q7" i="6"/>
  <c r="Q12" i="6" s="1"/>
  <c r="P7" i="5" l="1"/>
  <c r="R7" i="6"/>
  <c r="R12" i="6" s="1"/>
  <c r="Q7" i="5" l="1"/>
  <c r="S7" i="6"/>
  <c r="S12" i="6" s="1"/>
  <c r="T7" i="6" l="1"/>
  <c r="T12" i="6" s="1"/>
  <c r="R7" i="5"/>
  <c r="U7" i="6" l="1"/>
  <c r="U12" i="6" s="1"/>
  <c r="S7" i="5"/>
  <c r="T7" i="5" l="1"/>
  <c r="V7" i="6"/>
  <c r="V12" i="6" s="1"/>
  <c r="U7" i="5" l="1"/>
  <c r="W7" i="6"/>
  <c r="W12" i="6" s="1"/>
  <c r="X7" i="6" l="1"/>
  <c r="X12" i="6" s="1"/>
  <c r="V7" i="5"/>
  <c r="W7" i="5" l="1"/>
  <c r="Y7" i="6"/>
  <c r="Y12" i="6" s="1"/>
  <c r="X7" i="5" l="1"/>
  <c r="Z7" i="6"/>
  <c r="Z12" i="6" s="1"/>
  <c r="AA7" i="6" l="1"/>
  <c r="AA12" i="6" s="1"/>
  <c r="Y7" i="5"/>
  <c r="AB7" i="6" l="1"/>
  <c r="AB12" i="6" s="1"/>
  <c r="Z7" i="5"/>
  <c r="AA7" i="5" l="1"/>
  <c r="AC7" i="6"/>
  <c r="AC12" i="6" s="1"/>
  <c r="AD7" i="6" l="1"/>
  <c r="AD12" i="6" s="1"/>
  <c r="AB7" i="5"/>
  <c r="AC7" i="5" l="1"/>
  <c r="AE7" i="6"/>
  <c r="AE12" i="6" s="1"/>
  <c r="AD7" i="5" l="1"/>
  <c r="AF7" i="6"/>
  <c r="AF12" i="6" s="1"/>
  <c r="AE7" i="5" s="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<sst xmlns="http://schemas.openxmlformats.org/spreadsheetml/2006/main" count="276" uniqueCount="204">
  <si>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</si>
  <si>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</si>
  <si>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</si>
  <si>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</si>
  <si>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</si>
  <si>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</si>
  <si>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</si>
  <si>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</si>
  <si>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</si>
  <si>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</si>
  <si>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</si>
  <si>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</si>
  <si>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</si>
  <si>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</si>
  <si>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</si>
  <si>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</si>
  <si>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</si>
  <si>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</si>
  <si>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</si>
  <si>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</si>
  <si>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</si>
  <si>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</si>
  <si>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</si>
  <si>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</si>
  <si>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</si>
  <si>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</si>
  <si>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</si>
  <si>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</si>
  <si>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</si>
  <si>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</si>
  <si>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</si>
  <si>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</si>
  <si>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</si>
  <si>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</si>
  <si>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</si>
  <si>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</si>
  <si>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</si>
  <si>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</si>
  <si>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</si>
  <si>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</si>
  <si>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</si>
  <si>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</si>
  <si>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</si>
  <si>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</si>
  <si>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</si>
  <si>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</si>
  <si>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</si>
  <si>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</si>
  <si>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</si>
  <si>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</si>
  <si>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</si>
  <si>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</si>
  <si>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</si>
  <si>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</si>
  <si>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</si>
  <si>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</si>
  <si>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</si>
  <si>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</si>
  <si>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</si>
  <si>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</si>
  <si>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</si>
  <si>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</si>
  <si>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</si>
  <si>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</si>
  <si>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</si>
  <si>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</si>
  <si>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</si>
  <si>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</si>
  <si>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</si>
  <si>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</si>
  <si>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</si>
  <si>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</si>
  <si>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</si>
  <si>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</si>
  <si>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</si>
  <si>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</si>
  <si>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</si>
  <si>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</si>
  <si>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</si>
  <si>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</si>
  <si>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</si>
  <si>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</si>
  <si>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</si>
  <si>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</si>
  <si>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</si>
  <si>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</si>
  <si>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</si>
  <si>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</si>
  <si>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</si>
  <si>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</si>
  <si>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</si>
  <si>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</si>
  <si>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</si>
  <si>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</si>
  <si>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</si>
  <si>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</si>
  <si>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</si>
  <si>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</si>
  <si>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</si>
  <si>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</si>
  <si>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</si>
  <si>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</si>
  <si>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</si>
  <si>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</si>
  <si>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</si>
  <si>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</si>
  <si>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</si>
  <si>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</si>
  <si>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</si>
  <si>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</si>
  <si>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</si>
  <si>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</si>
  <si>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</si>
  <si>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</si>
  <si>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</si>
  <si>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</si>
  <si>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</si>
  <si>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</si>
  <si>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</si>
  <si>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</si>
  <si>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</si>
  <si>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</si>
  <si>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</si>
  <si>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</si>
  <si>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</si>
  <si>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</si>
  <si>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</si>
  <si>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</si>
  <si>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</si>
  <si>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</si>
  <si>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</si>
  <si>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</si>
  <si>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</si>
  <si>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</si>
  <si>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</si>
  <si>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</si>
  <si>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</si>
  <si>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</si>
  <si>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</si>
  <si>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</si>
  <si>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</si>
  <si>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</si>
  <si>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</si>
  <si>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</si>
  <si>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</si>
  <si>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</si>
  <si>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</si>
  <si>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</si>
  <si>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</si>
  <si>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</si>
  <si>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</si>
  <si>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</si>
  <si>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</si>
  <si>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</si>
  <si>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</si>
  <si>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</si>
  <si>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</si>
  <si>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</si>
  <si>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</si>
  <si>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</si>
  <si>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</si>
  <si>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</si>
  <si>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</si>
  <si>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</si>
  <si>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</si>
  <si>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</si>
  <si>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</si>
  <si>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</si>
  <si>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</si>
  <si>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</si>
  <si>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</si>
  <si>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</si>
  <si>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</si>
  <si>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</si>
  <si>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</si>
  <si>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</si>
  <si>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</si>
  <si>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</si>
  <si>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</si>
  <si>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</si>
  <si>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</si>
  <si>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</si>
  <si>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</si>
  <si>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</si>
  <si>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</si>
  <si>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</si>
  <si>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</si>
  <si>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</si>
  <si>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</si>
  <si>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</si>
  <si>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</si>
  <si>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</si>
  <si>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</si>
  <si>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</si>
  <si>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</si>
  <si>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</si>
  <si>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Buller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</si>
  <si>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</si>
  <si>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</si>
  <si>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</si>
  <si>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</si>
  <si>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</si>
  <si>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Council reported growth investment expenditure, but did not provide new properties connected. In this case, the average growth rate across the councils in New Zealand was used.</t>
  </si>
  <si>
    <t>RFI Table A1; Line A1.43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</si>
</sst>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166" fontId="16" fillId="0" borderId="0" xfId="2" applyNumberFormat="1" applyFont="1" applyFill="1" applyAlignment="1">
      <alignment horizontal="right" vertical="center"/>
    </xf>
    <xf numFmtId="9" fontId="16" fillId="0" borderId="0" xfId="3" applyFont="1" applyFill="1" applyAlignment="1">
      <alignment horizontal="right" vertical="center"/>
    </xf>
    <xf numFmtId="167" fontId="16" fillId="0" borderId="0" xfId="0" applyNumberFormat="1" applyFont="1" applyAlignment="1">
      <alignment horizontal="right" vertical="center"/>
    </xf>
    <xf numFmtId="3" fontId="16" fillId="0" borderId="0" xfId="1" applyNumberFormat="1" applyFont="1" applyFill="1" applyAlignment="1">
      <alignment horizontal="right" vertical="center"/>
    </xf>
    <xf numFmtId="0" fontId="16" fillId="0" borderId="0" xfId="0" applyFont="1" applyFill="1" applyAlignment="1">
      <alignment horizontal="right" vertical="center"/>
    </xf>
    <xf numFmtId="166" fontId="17" fillId="0" borderId="0" xfId="2" applyNumberFormat="1" applyFont="1" applyFill="1" applyAlignment="1">
      <alignment horizontal="right" vertical="center"/>
    </xf>
    <xf numFmtId="2" fontId="16" fillId="0" borderId="0" xfId="2" applyNumberFormat="1" applyFont="1" applyFill="1" applyAlignment="1">
      <alignment horizontal="right" vertical="center"/>
    </xf>
    <xf numFmtId="1" fontId="17" fillId="0" borderId="0" xfId="2" applyNumberFormat="1" applyFont="1" applyFill="1" applyAlignment="1">
      <alignment horizontal="right" vertical="center"/>
    </xf>
    <xf numFmtId="173" fontId="16" fillId="0" borderId="0" xfId="0" applyNumberFormat="1" applyFont="1" applyFill="1" applyAlignment="1">
      <alignment horizontal="right" vertical="center"/>
    </xf>
    <xf numFmtId="167" fontId="16" fillId="0" borderId="0" xfId="0" applyNumberFormat="1" applyFont="1" applyFill="1" applyAlignment="1">
      <alignment horizontal="right" vertical="center"/>
    </xf>
    <xf numFmtId="0" fontId="17" fillId="0" borderId="0" xfId="0" applyFont="1" applyFill="1" applyAlignment="1">
      <alignment horizontal="right" vertical="center"/>
    </xf>
    <xf numFmtId="0" fontId="0" fillId="0" borderId="0" xfId="0" applyAlignment="1">
      <alignment horizontal="left" vertical="center"/>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activeCell="A10"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196</v>
      </c>
      <c r="C2" s="171"/>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7">
        <v>1</v>
      </c>
      <c r="B7" s="104" t="s">
        <v>167</v>
      </c>
    </row>
    <row r="8" spans="1:6" ht="408" customHeight="1" x14ac:dyDescent="0.35">
      <c r="A8" s="107">
        <v>2</v>
      </c>
      <c r="B8" s="104" t="s">
        <v>188</v>
      </c>
    </row>
    <row r="9" spans="1:6" ht="195.5" customHeight="1" x14ac:dyDescent="0.35">
      <c r="A9" s="107">
        <f>A8+1</f>
        <v>3</v>
      </c>
      <c r="B9" s="105" t="s">
        <v>171</v>
      </c>
    </row>
    <row r="10" spans="1:6" ht="236" customHeight="1" x14ac:dyDescent="0.35">
      <c r="A10" s="107">
        <v>4</v>
      </c>
      <c r="B10" s="105" t="s">
        <v>172</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150" zoomScaleNormal="15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164537750</v>
      </c>
      <c r="C6" s="12">
        <f ca="1">B6+Depreciation!C18+'Cash Flow'!C13</f>
        <v>168295166.86471847</v>
      </c>
      <c r="D6" s="1">
        <f ca="1">C6+Depreciation!D18</f>
        <v>188163457.65832072</v>
      </c>
      <c r="E6" s="1">
        <f ca="1">D6+Depreciation!E18</f>
        <v>209076378.74891889</v>
      </c>
      <c r="F6" s="1">
        <f ca="1">E6+Depreciation!F18</f>
        <v>231080441.34574804</v>
      </c>
      <c r="G6" s="1">
        <f ca="1">F6+Depreciation!G18</f>
        <v>254224063.67401022</v>
      </c>
      <c r="H6" s="1">
        <f ca="1">G6+Depreciation!H18</f>
        <v>278557645.39641798</v>
      </c>
      <c r="I6" s="1">
        <f ca="1">H6+Depreciation!I18</f>
        <v>304133644.84493244</v>
      </c>
      <c r="J6" s="1">
        <f ca="1">I6+Depreciation!J18</f>
        <v>331006659.16634077</v>
      </c>
      <c r="K6" s="1">
        <f ca="1">J6+Depreciation!K18</f>
        <v>359233507.48907286</v>
      </c>
      <c r="L6" s="1">
        <f ca="1">K6+Depreciation!L18</f>
        <v>388873317.22254831</v>
      </c>
      <c r="M6" s="1">
        <f ca="1">L6+Depreciation!M18</f>
        <v>419987613.6043722</v>
      </c>
      <c r="N6" s="1">
        <f ca="1">M6+Depreciation!N18</f>
        <v>452640412.6148718</v>
      </c>
      <c r="O6" s="1">
        <f ca="1">N6+Depreciation!O18</f>
        <v>486898317.38278735</v>
      </c>
      <c r="P6" s="1">
        <f ca="1">O6+Depreciation!P18</f>
        <v>522830618.21040666</v>
      </c>
      <c r="Q6" s="1">
        <f ca="1">P6+Depreciation!Q18</f>
        <v>560509396.3510685</v>
      </c>
      <c r="R6" s="1">
        <f ca="1">Q6+Depreciation!R18</f>
        <v>600009631.67676008</v>
      </c>
      <c r="S6" s="1">
        <f ca="1">R6+Depreciation!S18</f>
        <v>641409314.37850726</v>
      </c>
      <c r="T6" s="1">
        <f ca="1">S6+Depreciation!T18</f>
        <v>684789560.84740412</v>
      </c>
      <c r="U6" s="1">
        <f ca="1">T6+Depreciation!U18</f>
        <v>730234733.88946164</v>
      </c>
      <c r="V6" s="1">
        <f ca="1">U6+Depreciation!V18</f>
        <v>777832567.43297791</v>
      </c>
      <c r="W6" s="1">
        <f ca="1">V6+Depreciation!W18</f>
        <v>827674295.89285123</v>
      </c>
      <c r="X6" s="1">
        <f ca="1">W6+Depreciation!X18</f>
        <v>879854788.36217988</v>
      </c>
      <c r="Y6" s="1">
        <f ca="1">X6+Depreciation!Y18</f>
        <v>934472687.80762613</v>
      </c>
      <c r="Z6" s="1">
        <f ca="1">Y6+Depreciation!Z18</f>
        <v>991630555.45137298</v>
      </c>
      <c r="AA6" s="1">
        <f ca="1">Z6+Depreciation!AA18</f>
        <v>1051435020.5290794</v>
      </c>
      <c r="AB6" s="1">
        <f ca="1">AA6+Depreciation!AB18</f>
        <v>1113996935.6200516</v>
      </c>
      <c r="AC6" s="1">
        <f ca="1">AB6+Depreciation!AC18</f>
        <v>1179431537.7528992</v>
      </c>
      <c r="AD6" s="1">
        <f ca="1">AC6+Depreciation!AD18</f>
        <v>1247858615.4972489</v>
      </c>
      <c r="AE6" s="1">
        <f ca="1">AD6+Depreciation!AE18</f>
        <v>1319402682.2596529</v>
      </c>
      <c r="AF6" s="1"/>
      <c r="AG6" s="1"/>
      <c r="AH6" s="1"/>
      <c r="AI6" s="1"/>
      <c r="AJ6" s="1"/>
      <c r="AK6" s="1"/>
      <c r="AL6" s="1"/>
      <c r="AM6" s="1"/>
      <c r="AN6" s="1"/>
      <c r="AO6" s="1"/>
      <c r="AP6" s="1"/>
    </row>
    <row r="7" spans="1:42" x14ac:dyDescent="0.35">
      <c r="A7" t="s">
        <v>12</v>
      </c>
      <c r="B7" s="1">
        <f>Depreciation!C12</f>
        <v>85142071.40124248</v>
      </c>
      <c r="C7" s="1">
        <f>Depreciation!D12</f>
        <v>88503377.714844733</v>
      </c>
      <c r="D7" s="1">
        <f>Depreciation!E12</f>
        <v>92381090.822082877</v>
      </c>
      <c r="E7" s="1">
        <f>Depreciation!F12</f>
        <v>96804818.780084506</v>
      </c>
      <c r="F7" s="1">
        <f>Depreciation!G12</f>
        <v>101805535.76107667</v>
      </c>
      <c r="G7" s="1">
        <f>Depreciation!H12</f>
        <v>107415639.16510178</v>
      </c>
      <c r="H7" s="1">
        <f>Depreciation!I12</f>
        <v>113669008.98904538</v>
      </c>
      <c r="I7" s="1">
        <f>Depreciation!J12</f>
        <v>120601069.53789654</v>
      </c>
      <c r="J7" s="1">
        <f>Depreciation!K12</f>
        <v>128248853.56734966</v>
      </c>
      <c r="K7" s="1">
        <f>Depreciation!L12</f>
        <v>136651068.95016119</v>
      </c>
      <c r="L7" s="1">
        <f>Depreciation!M12</f>
        <v>145848167.96209994</v>
      </c>
      <c r="M7" s="1">
        <f>Depreciation!N12</f>
        <v>155882419.28687805</v>
      </c>
      <c r="N7" s="1">
        <f>Depreciation!O12</f>
        <v>166797982.84312901</v>
      </c>
      <c r="O7" s="1">
        <f>Depreciation!P12</f>
        <v>178640987.5403105</v>
      </c>
      <c r="P7" s="1">
        <f>Depreciation!Q12</f>
        <v>191459612.07436049</v>
      </c>
      <c r="Q7" s="1">
        <f>Depreciation!R12</f>
        <v>205304168.87802863</v>
      </c>
      <c r="R7" s="1">
        <f>Depreciation!S12</f>
        <v>220227191.34504762</v>
      </c>
      <c r="S7" s="1">
        <f>Depreciation!T12</f>
        <v>236283524.45170498</v>
      </c>
      <c r="T7" s="1">
        <f>Depreciation!U12</f>
        <v>253530418.90393132</v>
      </c>
      <c r="U7" s="1">
        <f>Depreciation!V12</f>
        <v>272027628.94274187</v>
      </c>
      <c r="V7" s="1">
        <f>Depreciation!W12</f>
        <v>291837513.94575888</v>
      </c>
      <c r="W7" s="1">
        <f>Depreciation!X12</f>
        <v>313025143.96761185</v>
      </c>
      <c r="X7" s="1">
        <f>Depreciation!Y12</f>
        <v>335658409.3672632</v>
      </c>
      <c r="Y7" s="1">
        <f>Depreciation!Z12</f>
        <v>359808134.67574966</v>
      </c>
      <c r="Z7" s="1">
        <f>Depreciation!AA12</f>
        <v>385548196.8634674</v>
      </c>
      <c r="AA7" s="1">
        <f>Depreciation!AB12</f>
        <v>412955648.17197138</v>
      </c>
      <c r="AB7" s="1">
        <f>Depreciation!AC12</f>
        <v>442110843.68131167</v>
      </c>
      <c r="AC7" s="1">
        <f>Depreciation!AD12</f>
        <v>473097573.79020184</v>
      </c>
      <c r="AD7" s="1">
        <f>Depreciation!AE12</f>
        <v>506003201.79281157</v>
      </c>
      <c r="AE7" s="1">
        <f>Depreciation!AF12</f>
        <v>540918806.74270737</v>
      </c>
      <c r="AF7" s="1"/>
      <c r="AG7" s="1"/>
      <c r="AH7" s="1"/>
      <c r="AI7" s="1"/>
      <c r="AJ7" s="1"/>
      <c r="AK7" s="1"/>
      <c r="AL7" s="1"/>
      <c r="AM7" s="1"/>
      <c r="AN7" s="1"/>
      <c r="AO7" s="1"/>
      <c r="AP7" s="1"/>
    </row>
    <row r="8" spans="1:42" x14ac:dyDescent="0.35">
      <c r="A8" t="s">
        <v>190</v>
      </c>
      <c r="B8" s="1">
        <f t="shared" ref="B8:AE8" si="1">B6-B7</f>
        <v>79395678.59875752</v>
      </c>
      <c r="C8" s="1">
        <f t="shared" ca="1" si="1"/>
        <v>79791789.149873734</v>
      </c>
      <c r="D8" s="1">
        <f ca="1">D6-D7</f>
        <v>95782366.836237848</v>
      </c>
      <c r="E8" s="1">
        <f t="shared" ca="1" si="1"/>
        <v>112271559.96883439</v>
      </c>
      <c r="F8" s="1">
        <f t="shared" ca="1" si="1"/>
        <v>129274905.58467136</v>
      </c>
      <c r="G8" s="1">
        <f t="shared" ca="1" si="1"/>
        <v>146808424.50890845</v>
      </c>
      <c r="H8" s="1">
        <f t="shared" ca="1" si="1"/>
        <v>164888636.40737259</v>
      </c>
      <c r="I8" s="1">
        <f t="shared" ca="1" si="1"/>
        <v>183532575.30703589</v>
      </c>
      <c r="J8" s="1">
        <f t="shared" ca="1" si="1"/>
        <v>202757805.5989911</v>
      </c>
      <c r="K8" s="1">
        <f t="shared" ca="1" si="1"/>
        <v>222582438.53891167</v>
      </c>
      <c r="L8" s="1">
        <f t="shared" ca="1" si="1"/>
        <v>243025149.26044837</v>
      </c>
      <c r="M8" s="1">
        <f t="shared" ca="1" si="1"/>
        <v>264105194.31749415</v>
      </c>
      <c r="N8" s="1">
        <f t="shared" ca="1" si="1"/>
        <v>285842429.77174282</v>
      </c>
      <c r="O8" s="1">
        <f t="shared" ca="1" si="1"/>
        <v>308257329.84247684</v>
      </c>
      <c r="P8" s="1">
        <f t="shared" ca="1" si="1"/>
        <v>331371006.13604617</v>
      </c>
      <c r="Q8" s="1">
        <f t="shared" ca="1" si="1"/>
        <v>355205227.47303987</v>
      </c>
      <c r="R8" s="1">
        <f t="shared" ca="1" si="1"/>
        <v>379782440.33171248</v>
      </c>
      <c r="S8" s="1">
        <f t="shared" ca="1" si="1"/>
        <v>405125789.92680228</v>
      </c>
      <c r="T8" s="1">
        <f t="shared" ca="1" si="1"/>
        <v>431259141.9434728</v>
      </c>
      <c r="U8" s="1">
        <f t="shared" ca="1" si="1"/>
        <v>458207104.94671977</v>
      </c>
      <c r="V8" s="1">
        <f t="shared" ca="1" si="1"/>
        <v>485995053.48721904</v>
      </c>
      <c r="W8" s="1">
        <f t="shared" ca="1" si="1"/>
        <v>514649151.92523938</v>
      </c>
      <c r="X8" s="1">
        <f t="shared" ca="1" si="1"/>
        <v>544196378.99491668</v>
      </c>
      <c r="Y8" s="1">
        <f t="shared" ca="1" si="1"/>
        <v>574664553.13187647</v>
      </c>
      <c r="Z8" s="1">
        <f t="shared" ca="1" si="1"/>
        <v>606082358.58790565</v>
      </c>
      <c r="AA8" s="1">
        <f t="shared" ca="1" si="1"/>
        <v>638479372.35710812</v>
      </c>
      <c r="AB8" s="1">
        <f t="shared" ca="1" si="1"/>
        <v>671886091.93874002</v>
      </c>
      <c r="AC8" s="1">
        <f t="shared" ca="1" si="1"/>
        <v>706333963.96269727</v>
      </c>
      <c r="AD8" s="1">
        <f t="shared" ca="1" si="1"/>
        <v>741855413.70443726</v>
      </c>
      <c r="AE8" s="1">
        <f t="shared" ca="1" si="1"/>
        <v>778483875.51694548</v>
      </c>
      <c r="AF8" s="1"/>
      <c r="AG8" s="1"/>
      <c r="AH8" s="1"/>
      <c r="AI8" s="1"/>
      <c r="AJ8" s="1"/>
      <c r="AK8" s="1"/>
      <c r="AL8" s="1"/>
      <c r="AM8" s="1"/>
      <c r="AN8" s="1"/>
      <c r="AO8" s="1"/>
      <c r="AP8" s="1"/>
    </row>
    <row r="10" spans="1:42" x14ac:dyDescent="0.35">
      <c r="A10" t="s">
        <v>17</v>
      </c>
      <c r="B10" s="1">
        <f>B8-B11</f>
        <v>63779678.59875752</v>
      </c>
      <c r="C10" s="1">
        <f ca="1">C8-C11</f>
        <v>49064869.613349706</v>
      </c>
      <c r="D10" s="1">
        <f ca="1">D8-D11</f>
        <v>51680505.00051371</v>
      </c>
      <c r="E10" s="1">
        <f t="shared" ref="E10:AE10" ca="1" si="2">E8-E11</f>
        <v>58008464.130178057</v>
      </c>
      <c r="F10" s="1">
        <f t="shared" ca="1" si="2"/>
        <v>66853611.006058976</v>
      </c>
      <c r="G10" s="1">
        <f ca="1">G8-G11</f>
        <v>77349876.205039322</v>
      </c>
      <c r="H10" s="1">
        <f t="shared" ca="1" si="2"/>
        <v>89172281.425319433</v>
      </c>
      <c r="I10" s="1">
        <f t="shared" ca="1" si="2"/>
        <v>102046233.53183174</v>
      </c>
      <c r="J10" s="1">
        <f t="shared" ca="1" si="2"/>
        <v>115543043.14600012</v>
      </c>
      <c r="K10" s="1">
        <f t="shared" ca="1" si="2"/>
        <v>129427479.97122544</v>
      </c>
      <c r="L10" s="1">
        <f t="shared" ca="1" si="2"/>
        <v>143763757.03476703</v>
      </c>
      <c r="M10" s="1">
        <f t="shared" ca="1" si="2"/>
        <v>158624522.63840032</v>
      </c>
      <c r="N10" s="1">
        <f t="shared" ca="1" si="2"/>
        <v>174091680.58427811</v>
      </c>
      <c r="O10" s="1">
        <f t="shared" ca="1" si="2"/>
        <v>190257278.20276621</v>
      </c>
      <c r="P10" s="1">
        <f t="shared" ca="1" si="2"/>
        <v>207224467.30014279</v>
      </c>
      <c r="Q10" s="1">
        <f t="shared" ca="1" si="2"/>
        <v>225108543.51035985</v>
      </c>
      <c r="R10" s="1">
        <f t="shared" ca="1" si="2"/>
        <v>244038069.92677224</v>
      </c>
      <c r="S10" s="1">
        <f t="shared" ca="1" si="2"/>
        <v>264156091.30856553</v>
      </c>
      <c r="T10" s="1">
        <f t="shared" ca="1" si="2"/>
        <v>285621445.60440624</v>
      </c>
      <c r="U10" s="1">
        <f t="shared" ca="1" si="2"/>
        <v>308610180.014557</v>
      </c>
      <c r="V10" s="1">
        <f t="shared" ca="1" si="2"/>
        <v>332266081.68303055</v>
      </c>
      <c r="W10" s="1">
        <f t="shared" ca="1" si="2"/>
        <v>355686340.9629128</v>
      </c>
      <c r="X10" s="1">
        <f t="shared" ca="1" si="2"/>
        <v>378811498.30618811</v>
      </c>
      <c r="Y10" s="1">
        <f t="shared" ca="1" si="2"/>
        <v>401578101.71387279</v>
      </c>
      <c r="Z10" s="1">
        <f t="shared" ca="1" si="2"/>
        <v>423918502.74967414</v>
      </c>
      <c r="AA10" s="1">
        <f t="shared" ca="1" si="2"/>
        <v>445760643.391482</v>
      </c>
      <c r="AB10" s="1">
        <f t="shared" ca="1" si="2"/>
        <v>467027833.34016091</v>
      </c>
      <c r="AC10" s="1">
        <f t="shared" ca="1" si="2"/>
        <v>487638517.39015925</v>
      </c>
      <c r="AD10" s="1">
        <f t="shared" ca="1" si="2"/>
        <v>507506032.45094454</v>
      </c>
      <c r="AE10" s="1">
        <f t="shared" ca="1" si="2"/>
        <v>526538353.79218483</v>
      </c>
      <c r="AF10" s="1"/>
      <c r="AG10" s="1"/>
      <c r="AH10" s="1"/>
      <c r="AI10" s="1"/>
      <c r="AJ10" s="1"/>
      <c r="AK10" s="1"/>
      <c r="AL10" s="1"/>
      <c r="AM10" s="1"/>
      <c r="AN10" s="1"/>
      <c r="AO10" s="1"/>
    </row>
    <row r="11" spans="1:42" x14ac:dyDescent="0.35">
      <c r="A11" t="s">
        <v>9</v>
      </c>
      <c r="B11" s="1">
        <f>Assumptions!$C$20</f>
        <v>15616000</v>
      </c>
      <c r="C11" s="1">
        <f ca="1">'Debt worksheet'!D5</f>
        <v>30726919.536524031</v>
      </c>
      <c r="D11" s="1">
        <f ca="1">'Debt worksheet'!E5</f>
        <v>44101861.835724138</v>
      </c>
      <c r="E11" s="1">
        <f ca="1">'Debt worksheet'!F5</f>
        <v>54263095.838656329</v>
      </c>
      <c r="F11" s="1">
        <f ca="1">'Debt worksheet'!G5</f>
        <v>62421294.578612387</v>
      </c>
      <c r="G11" s="1">
        <f ca="1">'Debt worksheet'!H5</f>
        <v>69458548.303869128</v>
      </c>
      <c r="H11" s="1">
        <f ca="1">'Debt worksheet'!I5</f>
        <v>75716354.982053161</v>
      </c>
      <c r="I11" s="1">
        <f ca="1">'Debt worksheet'!J5</f>
        <v>81486341.775204152</v>
      </c>
      <c r="J11" s="1">
        <f ca="1">'Debt worksheet'!K5</f>
        <v>87214762.452990979</v>
      </c>
      <c r="K11" s="1">
        <f ca="1">'Debt worksheet'!L5</f>
        <v>93154958.56768623</v>
      </c>
      <c r="L11" s="1">
        <f ca="1">'Debt worksheet'!M5</f>
        <v>99261392.22568132</v>
      </c>
      <c r="M11" s="1">
        <f ca="1">'Debt worksheet'!N5</f>
        <v>105480671.67909382</v>
      </c>
      <c r="N11" s="1">
        <f ca="1">'Debt worksheet'!O5</f>
        <v>111750749.18746471</v>
      </c>
      <c r="O11" s="1">
        <f ca="1">'Debt worksheet'!P5</f>
        <v>118000051.63971063</v>
      </c>
      <c r="P11" s="1">
        <f ca="1">'Debt worksheet'!Q5</f>
        <v>124146538.83590338</v>
      </c>
      <c r="Q11" s="1">
        <f ca="1">'Debt worksheet'!R5</f>
        <v>130096683.96268001</v>
      </c>
      <c r="R11" s="1">
        <f ca="1">'Debt worksheet'!S5</f>
        <v>135744370.40494025</v>
      </c>
      <c r="S11" s="1">
        <f ca="1">'Debt worksheet'!T5</f>
        <v>140969698.61823675</v>
      </c>
      <c r="T11" s="1">
        <f ca="1">'Debt worksheet'!U5</f>
        <v>145637696.33906659</v>
      </c>
      <c r="U11" s="1">
        <f ca="1">'Debt worksheet'!V5</f>
        <v>149596924.93216279</v>
      </c>
      <c r="V11" s="1">
        <f ca="1">'Debt worksheet'!W5</f>
        <v>153728971.80418849</v>
      </c>
      <c r="W11" s="1">
        <f ca="1">'Debt worksheet'!X5</f>
        <v>158962810.96232656</v>
      </c>
      <c r="X11" s="1">
        <f ca="1">'Debt worksheet'!Y5</f>
        <v>165384880.6887286</v>
      </c>
      <c r="Y11" s="1">
        <f ca="1">'Debt worksheet'!Z5</f>
        <v>173086451.41800371</v>
      </c>
      <c r="Z11" s="1">
        <f ca="1">'Debt worksheet'!AA5</f>
        <v>182163855.8382315</v>
      </c>
      <c r="AA11" s="1">
        <f ca="1">'Debt worksheet'!AB5</f>
        <v>192718728.96562612</v>
      </c>
      <c r="AB11" s="1">
        <f ca="1">'Debt worksheet'!AC5</f>
        <v>204858258.59857911</v>
      </c>
      <c r="AC11" s="1">
        <f ca="1">'Debt worksheet'!AD5</f>
        <v>218695446.57253805</v>
      </c>
      <c r="AD11" s="1">
        <f ca="1">'Debt worksheet'!AE5</f>
        <v>234349381.25349271</v>
      </c>
      <c r="AE11" s="1">
        <f ca="1">'Debt worksheet'!AF5</f>
        <v>251945521.72476065</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150" zoomScaleNormal="15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884220.46347597078</v>
      </c>
      <c r="D5" s="4">
        <f ca="1">'Profit and Loss'!D9</f>
        <v>3132042.1807998931</v>
      </c>
      <c r="E5" s="4">
        <f ca="1">'Profit and Loss'!E9</f>
        <v>6873973.9804278053</v>
      </c>
      <c r="F5" s="4">
        <f ca="1">'Profit and Loss'!F9</f>
        <v>9422135.8988714572</v>
      </c>
      <c r="G5" s="4">
        <f ca="1">'Profit and Loss'!G9</f>
        <v>11105651.622013263</v>
      </c>
      <c r="H5" s="4">
        <f ca="1">'Profit and Loss'!H9</f>
        <v>12465671.6401986</v>
      </c>
      <c r="I5" s="4">
        <f ca="1">'Profit and Loss'!I9</f>
        <v>13552642.831419896</v>
      </c>
      <c r="J5" s="4">
        <f ca="1">'Profit and Loss'!J9</f>
        <v>14212533.094770331</v>
      </c>
      <c r="K5" s="4">
        <f ca="1">'Profit and Loss'!K9</f>
        <v>14638868.178583724</v>
      </c>
      <c r="L5" s="4">
        <f ca="1">'Profit and Loss'!L9</f>
        <v>15131160.692668814</v>
      </c>
      <c r="M5" s="4">
        <f ca="1">'Profit and Loss'!M9</f>
        <v>15697917.916472649</v>
      </c>
      <c r="N5" s="4">
        <f ca="1">'Profit and Loss'!N9</f>
        <v>16348470.177350592</v>
      </c>
      <c r="O5" s="4">
        <f ca="1">'Profit and Loss'!O9</f>
        <v>17093038.759418648</v>
      </c>
      <c r="P5" s="4">
        <f ca="1">'Profit and Loss'!P9</f>
        <v>17942808.934245102</v>
      </c>
      <c r="Q5" s="4">
        <f ca="1">'Profit and Loss'!Q9</f>
        <v>18910008.479835205</v>
      </c>
      <c r="R5" s="4">
        <f ca="1">'Profit and Loss'!R9</f>
        <v>20007992.079763174</v>
      </c>
      <c r="S5" s="4">
        <f ca="1">'Profit and Loss'!S9</f>
        <v>21251332.021431677</v>
      </c>
      <c r="T5" s="4">
        <f ca="1">'Profit and Loss'!T9</f>
        <v>22655915.641409624</v>
      </c>
      <c r="U5" s="4">
        <f ca="1">'Profit and Loss'!U9</f>
        <v>24239049.996734928</v>
      </c>
      <c r="V5" s="4">
        <f ca="1">'Profit and Loss'!V9</f>
        <v>24968576.632680036</v>
      </c>
      <c r="W5" s="4">
        <f ca="1">'Profit and Loss'!W9</f>
        <v>24798004.298718259</v>
      </c>
      <c r="X5" s="4">
        <f ca="1">'Profit and Loss'!X9</f>
        <v>24570792.72107368</v>
      </c>
      <c r="Y5" s="4">
        <f ca="1">'Profit and Loss'!Y9</f>
        <v>24283063.31651983</v>
      </c>
      <c r="Z5" s="4">
        <f ca="1">'Profit and Loss'!Z9</f>
        <v>23930737.915032584</v>
      </c>
      <c r="AA5" s="4">
        <f ca="1">'Profit and Loss'!AA9</f>
        <v>23509529.762594089</v>
      </c>
      <c r="AB5" s="4">
        <f ca="1">'Profit and Loss'!AB9</f>
        <v>23014934.149515372</v>
      </c>
      <c r="AC5" s="4">
        <f ca="1">'Profit and Loss'!AC9</f>
        <v>22442218.649548385</v>
      </c>
      <c r="AD5" s="4">
        <f ca="1">'Profit and Loss'!AD9</f>
        <v>21786412.954504881</v>
      </c>
      <c r="AE5" s="4">
        <f ca="1">'Profit and Loss'!AE9</f>
        <v>21042298.288526356</v>
      </c>
      <c r="AF5" s="4">
        <f ca="1">'Profit and Loss'!AF9</f>
        <v>20204396.385555096</v>
      </c>
      <c r="AG5" s="4"/>
      <c r="AH5" s="4"/>
      <c r="AI5" s="4"/>
      <c r="AJ5" s="4"/>
      <c r="AK5" s="4"/>
      <c r="AL5" s="4"/>
      <c r="AM5" s="4"/>
      <c r="AN5" s="4"/>
      <c r="AO5" s="4"/>
      <c r="AP5" s="4"/>
    </row>
    <row r="6" spans="1:42" x14ac:dyDescent="0.35">
      <c r="A6" t="s">
        <v>21</v>
      </c>
      <c r="C6" s="4">
        <f>Depreciation!C8+Depreciation!C9</f>
        <v>2873196.4012424857</v>
      </c>
      <c r="D6" s="4">
        <f>Depreciation!D8+Depreciation!D9</f>
        <v>3361306.3136022454</v>
      </c>
      <c r="E6" s="4">
        <f>Depreciation!E8+Depreciation!E9</f>
        <v>3877713.1072381567</v>
      </c>
      <c r="F6" s="4">
        <f>Depreciation!F8+Depreciation!F9</f>
        <v>4423727.9580016378</v>
      </c>
      <c r="G6" s="4">
        <f>Depreciation!G8+Depreciation!G9</f>
        <v>5000716.980992171</v>
      </c>
      <c r="H6" s="4">
        <f>Depreciation!H8+Depreciation!H9</f>
        <v>5610103.4040251039</v>
      </c>
      <c r="I6" s="4">
        <f>Depreciation!I8+Depreciation!I9</f>
        <v>6253369.8239436075</v>
      </c>
      <c r="J6" s="4">
        <f>Depreciation!J8+Depreciation!J9</f>
        <v>6932060.5488511752</v>
      </c>
      <c r="K6" s="4">
        <f>Depreciation!K8+Depreciation!K9</f>
        <v>7647784.0294531081</v>
      </c>
      <c r="L6" s="4">
        <f>Depreciation!L8+Depreciation!L9</f>
        <v>8402215.3828115407</v>
      </c>
      <c r="M6" s="4">
        <f>Depreciation!M8+Depreciation!M9</f>
        <v>9197099.0119387526</v>
      </c>
      <c r="N6" s="4">
        <f>Depreciation!N8+Depreciation!N9</f>
        <v>10034251.324778108</v>
      </c>
      <c r="O6" s="4">
        <f>Depreciation!O8+Depreciation!O9</f>
        <v>10915563.55625096</v>
      </c>
      <c r="P6" s="4">
        <f>Depreciation!P8+Depreciation!P9</f>
        <v>11843004.697181495</v>
      </c>
      <c r="Q6" s="4">
        <f>Depreciation!Q8+Depreciation!Q9</f>
        <v>12818624.534049986</v>
      </c>
      <c r="R6" s="4">
        <f>Depreciation!R8+Depreciation!R9</f>
        <v>13844556.803668145</v>
      </c>
      <c r="S6" s="4">
        <f>Depreciation!S8+Depreciation!S9</f>
        <v>14923022.467019007</v>
      </c>
      <c r="T6" s="4">
        <f>Depreciation!T8+Depreciation!T9</f>
        <v>16056333.106657362</v>
      </c>
      <c r="U6" s="4">
        <f>Depreciation!U8+Depreciation!U9</f>
        <v>17246894.452226341</v>
      </c>
      <c r="V6" s="4">
        <f>Depreciation!V8+Depreciation!V9</f>
        <v>18497210.038810525</v>
      </c>
      <c r="W6" s="4">
        <f>Depreciation!W8+Depreciation!W9</f>
        <v>19809885.003017016</v>
      </c>
      <c r="X6" s="4">
        <f>Depreciation!X8+Depreciation!X9</f>
        <v>21187630.021852978</v>
      </c>
      <c r="Y6" s="4">
        <f>Depreciation!Y8+Depreciation!Y9</f>
        <v>22633265.399651349</v>
      </c>
      <c r="Z6" s="4">
        <f>Depreciation!Z8+Depreciation!Z9</f>
        <v>24149725.308486443</v>
      </c>
      <c r="AA6" s="4">
        <f>Depreciation!AA8+Depreciation!AA9</f>
        <v>25740062.187717747</v>
      </c>
      <c r="AB6" s="4">
        <f>Depreciation!AB8+Depreciation!AB9</f>
        <v>27407451.308503948</v>
      </c>
      <c r="AC6" s="4">
        <f>Depreciation!AC8+Depreciation!AC9</f>
        <v>29155195.509340249</v>
      </c>
      <c r="AD6" s="4">
        <f>Depreciation!AD8+Depreciation!AD9</f>
        <v>30986730.108890176</v>
      </c>
      <c r="AE6" s="4">
        <f>Depreciation!AE8+Depreciation!AE9</f>
        <v>32905628.002609715</v>
      </c>
      <c r="AF6" s="4">
        <f>Depreciation!AF8+Depreciation!AF9</f>
        <v>34915604.949895814</v>
      </c>
      <c r="AG6" s="4"/>
      <c r="AH6" s="4"/>
      <c r="AI6" s="4"/>
      <c r="AJ6" s="4"/>
      <c r="AK6" s="4"/>
      <c r="AL6" s="4"/>
      <c r="AM6" s="4"/>
      <c r="AN6" s="4"/>
      <c r="AO6" s="4"/>
      <c r="AP6" s="4"/>
    </row>
    <row r="7" spans="1:42" x14ac:dyDescent="0.35">
      <c r="A7" t="s">
        <v>23</v>
      </c>
      <c r="C7" s="4">
        <f ca="1">C6+C5</f>
        <v>3757416.8647184568</v>
      </c>
      <c r="D7" s="4">
        <f ca="1">D6+D5</f>
        <v>6493348.4944021385</v>
      </c>
      <c r="E7" s="4">
        <f t="shared" ref="E7:AF7" ca="1" si="1">E6+E5</f>
        <v>10751687.087665962</v>
      </c>
      <c r="F7" s="4">
        <f t="shared" ca="1" si="1"/>
        <v>13845863.856873095</v>
      </c>
      <c r="G7" s="4">
        <f ca="1">G6+G5</f>
        <v>16106368.603005435</v>
      </c>
      <c r="H7" s="4">
        <f t="shared" ca="1" si="1"/>
        <v>18075775.044223703</v>
      </c>
      <c r="I7" s="4">
        <f t="shared" ca="1" si="1"/>
        <v>19806012.655363504</v>
      </c>
      <c r="J7" s="4">
        <f t="shared" ca="1" si="1"/>
        <v>21144593.643621504</v>
      </c>
      <c r="K7" s="4">
        <f t="shared" ca="1" si="1"/>
        <v>22286652.208036833</v>
      </c>
      <c r="L7" s="4">
        <f t="shared" ca="1" si="1"/>
        <v>23533376.075480357</v>
      </c>
      <c r="M7" s="4">
        <f t="shared" ca="1" si="1"/>
        <v>24895016.928411402</v>
      </c>
      <c r="N7" s="4">
        <f t="shared" ca="1" si="1"/>
        <v>26382721.502128698</v>
      </c>
      <c r="O7" s="4">
        <f t="shared" ca="1" si="1"/>
        <v>28008602.315669607</v>
      </c>
      <c r="P7" s="4">
        <f t="shared" ca="1" si="1"/>
        <v>29785813.631426595</v>
      </c>
      <c r="Q7" s="4">
        <f t="shared" ca="1" si="1"/>
        <v>31728633.013885193</v>
      </c>
      <c r="R7" s="4">
        <f t="shared" ca="1" si="1"/>
        <v>33852548.883431315</v>
      </c>
      <c r="S7" s="4">
        <f t="shared" ca="1" si="1"/>
        <v>36174354.488450684</v>
      </c>
      <c r="T7" s="4">
        <f t="shared" ca="1" si="1"/>
        <v>38712248.748066984</v>
      </c>
      <c r="U7" s="4">
        <f t="shared" ca="1" si="1"/>
        <v>41485944.448961273</v>
      </c>
      <c r="V7" s="4">
        <f t="shared" ca="1" si="1"/>
        <v>43465786.671490565</v>
      </c>
      <c r="W7" s="4">
        <f t="shared" ca="1" si="1"/>
        <v>44607889.301735274</v>
      </c>
      <c r="X7" s="4">
        <f t="shared" ca="1" si="1"/>
        <v>45758422.742926657</v>
      </c>
      <c r="Y7" s="4">
        <f t="shared" ca="1" si="1"/>
        <v>46916328.716171175</v>
      </c>
      <c r="Z7" s="4">
        <f t="shared" ca="1" si="1"/>
        <v>48080463.223519027</v>
      </c>
      <c r="AA7" s="4">
        <f t="shared" ca="1" si="1"/>
        <v>49249591.95031184</v>
      </c>
      <c r="AB7" s="4">
        <f t="shared" ca="1" si="1"/>
        <v>50422385.458019316</v>
      </c>
      <c r="AC7" s="4">
        <f t="shared" ca="1" si="1"/>
        <v>51597414.158888638</v>
      </c>
      <c r="AD7" s="4">
        <f t="shared" ca="1" si="1"/>
        <v>52773143.063395053</v>
      </c>
      <c r="AE7" s="4">
        <f t="shared" ca="1" si="1"/>
        <v>53947926.291136071</v>
      </c>
      <c r="AF7" s="4">
        <f t="shared" ca="1" si="1"/>
        <v>55120001.33545091</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18868336.401242487</v>
      </c>
      <c r="D10" s="9">
        <f>Investment!D25</f>
        <v>19868290.793602247</v>
      </c>
      <c r="E10" s="9">
        <f>Investment!E25</f>
        <v>20912921.090598155</v>
      </c>
      <c r="F10" s="9">
        <f>Investment!F25</f>
        <v>22004062.596829157</v>
      </c>
      <c r="G10" s="9">
        <f>Investment!G25</f>
        <v>23143622.328262169</v>
      </c>
      <c r="H10" s="9">
        <f>Investment!H25</f>
        <v>24333581.722407743</v>
      </c>
      <c r="I10" s="9">
        <f>Investment!I25</f>
        <v>25575999.448514488</v>
      </c>
      <c r="J10" s="9">
        <f>Investment!J25</f>
        <v>26873014.321408324</v>
      </c>
      <c r="K10" s="9">
        <f>Investment!K25</f>
        <v>28226848.322732091</v>
      </c>
      <c r="L10" s="9">
        <f>Investment!L25</f>
        <v>29639809.733475447</v>
      </c>
      <c r="M10" s="9">
        <f>Investment!M25</f>
        <v>31114296.381823905</v>
      </c>
      <c r="N10" s="9">
        <f>Investment!N25</f>
        <v>32652799.010499585</v>
      </c>
      <c r="O10" s="9">
        <f>Investment!O25</f>
        <v>34257904.767915525</v>
      </c>
      <c r="P10" s="9">
        <f>Investment!P25</f>
        <v>35932300.827619329</v>
      </c>
      <c r="Q10" s="9">
        <f>Investment!Q25</f>
        <v>37678778.140661821</v>
      </c>
      <c r="R10" s="9">
        <f>Investment!R25</f>
        <v>39500235.325691566</v>
      </c>
      <c r="S10" s="9">
        <f>Investment!S25</f>
        <v>41399682.701747179</v>
      </c>
      <c r="T10" s="9">
        <f>Investment!T25</f>
        <v>43380246.468896829</v>
      </c>
      <c r="U10" s="9">
        <f>Investment!U25</f>
        <v>45445173.042057469</v>
      </c>
      <c r="V10" s="9">
        <f>Investment!V25</f>
        <v>47597833.543516256</v>
      </c>
      <c r="W10" s="9">
        <f>Investment!W25</f>
        <v>49841728.459873334</v>
      </c>
      <c r="X10" s="9">
        <f>Investment!X25</f>
        <v>52180492.469328694</v>
      </c>
      <c r="Y10" s="9">
        <f>Investment!Y25</f>
        <v>54617899.445446283</v>
      </c>
      <c r="Z10" s="9">
        <f>Investment!Z25</f>
        <v>57157867.643746816</v>
      </c>
      <c r="AA10" s="9">
        <f>Investment!AA25</f>
        <v>59804465.077706456</v>
      </c>
      <c r="AB10" s="9">
        <f>Investment!AB25</f>
        <v>62561915.090972289</v>
      </c>
      <c r="AC10" s="9">
        <f>Investment!AC25</f>
        <v>65434602.132847577</v>
      </c>
      <c r="AD10" s="9">
        <f>Investment!AD25</f>
        <v>68427077.744349733</v>
      </c>
      <c r="AE10" s="9">
        <f>Investment!AE25</f>
        <v>71544066.762403995</v>
      </c>
      <c r="AF10" s="9">
        <f>Investment!AF25</f>
        <v>74790473.750003487</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-15110919.536524031</v>
      </c>
      <c r="D12" s="1">
        <f t="shared" ref="D12:AF12" ca="1" si="2">D7-D9-D10</f>
        <v>-13374942.299200108</v>
      </c>
      <c r="E12" s="1">
        <f ca="1">E7-E9-E10</f>
        <v>-10161234.002932193</v>
      </c>
      <c r="F12" s="1">
        <f t="shared" ca="1" si="2"/>
        <v>-8158198.7399560623</v>
      </c>
      <c r="G12" s="1">
        <f ca="1">G7-G9-G10</f>
        <v>-7037253.7252567336</v>
      </c>
      <c r="H12" s="1">
        <f t="shared" ca="1" si="2"/>
        <v>-6257806.6781840399</v>
      </c>
      <c r="I12" s="1">
        <f t="shared" ca="1" si="2"/>
        <v>-5769986.7931509838</v>
      </c>
      <c r="J12" s="1">
        <f t="shared" ca="1" si="2"/>
        <v>-5728420.6777868196</v>
      </c>
      <c r="K12" s="1">
        <f t="shared" ca="1" si="2"/>
        <v>-5940196.1146952584</v>
      </c>
      <c r="L12" s="1">
        <f t="shared" ca="1" si="2"/>
        <v>-6106433.6579950899</v>
      </c>
      <c r="M12" s="1">
        <f t="shared" ca="1" si="2"/>
        <v>-6219279.453412503</v>
      </c>
      <c r="N12" s="1">
        <f t="shared" ca="1" si="2"/>
        <v>-6270077.5083708875</v>
      </c>
      <c r="O12" s="1">
        <f t="shared" ca="1" si="2"/>
        <v>-6249302.4522459172</v>
      </c>
      <c r="P12" s="1">
        <f t="shared" ca="1" si="2"/>
        <v>-6146487.1961927339</v>
      </c>
      <c r="Q12" s="1">
        <f t="shared" ca="1" si="2"/>
        <v>-5950145.1267766282</v>
      </c>
      <c r="R12" s="1">
        <f t="shared" ca="1" si="2"/>
        <v>-5647686.4422602504</v>
      </c>
      <c r="S12" s="1">
        <f t="shared" ca="1" si="2"/>
        <v>-5225328.2132964954</v>
      </c>
      <c r="T12" s="1">
        <f t="shared" ca="1" si="2"/>
        <v>-4667997.7208298445</v>
      </c>
      <c r="U12" s="1">
        <f t="shared" ca="1" si="2"/>
        <v>-3959228.5930961967</v>
      </c>
      <c r="V12" s="1">
        <f t="shared" ca="1" si="2"/>
        <v>-4132046.872025691</v>
      </c>
      <c r="W12" s="1">
        <f t="shared" ca="1" si="2"/>
        <v>-5233839.1581380591</v>
      </c>
      <c r="X12" s="1">
        <f t="shared" ca="1" si="2"/>
        <v>-6422069.7264020368</v>
      </c>
      <c r="Y12" s="1">
        <f t="shared" ca="1" si="2"/>
        <v>-7701570.7292751074</v>
      </c>
      <c r="Z12" s="1">
        <f t="shared" ca="1" si="2"/>
        <v>-9077404.4202277884</v>
      </c>
      <c r="AA12" s="1">
        <f t="shared" ca="1" si="2"/>
        <v>-10554873.127394617</v>
      </c>
      <c r="AB12" s="1">
        <f t="shared" ca="1" si="2"/>
        <v>-12139529.632952973</v>
      </c>
      <c r="AC12" s="1">
        <f t="shared" ca="1" si="2"/>
        <v>-13837187.973958939</v>
      </c>
      <c r="AD12" s="1">
        <f t="shared" ca="1" si="2"/>
        <v>-15653934.68095468</v>
      </c>
      <c r="AE12" s="1">
        <f t="shared" ca="1" si="2"/>
        <v>-17596140.471267924</v>
      </c>
      <c r="AF12" s="1">
        <f t="shared" ca="1" si="2"/>
        <v>-19670472.414552577</v>
      </c>
      <c r="AG12" s="1"/>
      <c r="AH12" s="1"/>
      <c r="AI12" s="1"/>
      <c r="AJ12" s="1"/>
      <c r="AK12" s="1"/>
      <c r="AL12" s="1"/>
      <c r="AM12" s="1"/>
      <c r="AN12" s="1"/>
      <c r="AO12" s="1"/>
      <c r="AP12" s="1"/>
    </row>
    <row r="13" spans="1:42" x14ac:dyDescent="0.35">
      <c r="A13" t="s">
        <v>19</v>
      </c>
      <c r="C13" s="1">
        <f ca="1">C12</f>
        <v>-15110919.536524031</v>
      </c>
      <c r="D13" s="1">
        <f ca="1">D12</f>
        <v>-13374942.299200108</v>
      </c>
      <c r="E13" s="1">
        <f ca="1">E12</f>
        <v>-10161234.002932193</v>
      </c>
      <c r="F13" s="1">
        <f t="shared" ref="F13:AF13" ca="1" si="3">F12</f>
        <v>-8158198.7399560623</v>
      </c>
      <c r="G13" s="1">
        <f ca="1">G12</f>
        <v>-7037253.7252567336</v>
      </c>
      <c r="H13" s="1">
        <f t="shared" ca="1" si="3"/>
        <v>-6257806.6781840399</v>
      </c>
      <c r="I13" s="1">
        <f t="shared" ca="1" si="3"/>
        <v>-5769986.7931509838</v>
      </c>
      <c r="J13" s="1">
        <f t="shared" ca="1" si="3"/>
        <v>-5728420.6777868196</v>
      </c>
      <c r="K13" s="1">
        <f t="shared" ca="1" si="3"/>
        <v>-5940196.1146952584</v>
      </c>
      <c r="L13" s="1">
        <f t="shared" ca="1" si="3"/>
        <v>-6106433.6579950899</v>
      </c>
      <c r="M13" s="1">
        <f t="shared" ca="1" si="3"/>
        <v>-6219279.453412503</v>
      </c>
      <c r="N13" s="1">
        <f t="shared" ca="1" si="3"/>
        <v>-6270077.5083708875</v>
      </c>
      <c r="O13" s="1">
        <f t="shared" ca="1" si="3"/>
        <v>-6249302.4522459172</v>
      </c>
      <c r="P13" s="1">
        <f t="shared" ca="1" si="3"/>
        <v>-6146487.1961927339</v>
      </c>
      <c r="Q13" s="1">
        <f t="shared" ca="1" si="3"/>
        <v>-5950145.1267766282</v>
      </c>
      <c r="R13" s="1">
        <f t="shared" ca="1" si="3"/>
        <v>-5647686.4422602504</v>
      </c>
      <c r="S13" s="1">
        <f t="shared" ca="1" si="3"/>
        <v>-5225328.2132964954</v>
      </c>
      <c r="T13" s="1">
        <f t="shared" ca="1" si="3"/>
        <v>-4667997.7208298445</v>
      </c>
      <c r="U13" s="1">
        <f t="shared" ca="1" si="3"/>
        <v>-3959228.5930961967</v>
      </c>
      <c r="V13" s="1">
        <f t="shared" ca="1" si="3"/>
        <v>-4132046.872025691</v>
      </c>
      <c r="W13" s="1">
        <f t="shared" ca="1" si="3"/>
        <v>-5233839.1581380591</v>
      </c>
      <c r="X13" s="1">
        <f t="shared" ca="1" si="3"/>
        <v>-6422069.7264020368</v>
      </c>
      <c r="Y13" s="1">
        <f t="shared" ca="1" si="3"/>
        <v>-7701570.7292751074</v>
      </c>
      <c r="Z13" s="1">
        <f t="shared" ca="1" si="3"/>
        <v>-9077404.4202277884</v>
      </c>
      <c r="AA13" s="1">
        <f t="shared" ca="1" si="3"/>
        <v>-10554873.127394617</v>
      </c>
      <c r="AB13" s="1">
        <f t="shared" ca="1" si="3"/>
        <v>-12139529.632952973</v>
      </c>
      <c r="AC13" s="1">
        <f t="shared" ca="1" si="3"/>
        <v>-13837187.973958939</v>
      </c>
      <c r="AD13" s="1">
        <f t="shared" ca="1" si="3"/>
        <v>-15653934.68095468</v>
      </c>
      <c r="AE13" s="1">
        <f t="shared" ca="1" si="3"/>
        <v>-17596140.471267924</v>
      </c>
      <c r="AF13" s="1">
        <f t="shared" ca="1" si="3"/>
        <v>-19670472.414552577</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120" zoomScaleNormal="12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164537750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82268875</v>
      </c>
      <c r="D7" s="9">
        <f>C12</f>
        <v>85142071.40124248</v>
      </c>
      <c r="E7" s="9">
        <f>D12</f>
        <v>88503377.714844733</v>
      </c>
      <c r="F7" s="9">
        <f t="shared" ref="F7:H7" si="1">E12</f>
        <v>92381090.822082877</v>
      </c>
      <c r="G7" s="9">
        <f t="shared" si="1"/>
        <v>96804818.780084506</v>
      </c>
      <c r="H7" s="9">
        <f t="shared" si="1"/>
        <v>101805535.76107667</v>
      </c>
      <c r="I7" s="9">
        <f t="shared" ref="I7" si="2">H12</f>
        <v>107415639.16510178</v>
      </c>
      <c r="J7" s="9">
        <f t="shared" ref="J7" si="3">I12</f>
        <v>113669008.98904538</v>
      </c>
      <c r="K7" s="9">
        <f t="shared" ref="K7" si="4">J12</f>
        <v>120601069.53789654</v>
      </c>
      <c r="L7" s="9">
        <f t="shared" ref="L7" si="5">K12</f>
        <v>128248853.56734966</v>
      </c>
      <c r="M7" s="9">
        <f t="shared" ref="M7" si="6">L12</f>
        <v>136651068.95016119</v>
      </c>
      <c r="N7" s="9">
        <f t="shared" ref="N7" si="7">M12</f>
        <v>145848167.96209994</v>
      </c>
      <c r="O7" s="9">
        <f t="shared" ref="O7" si="8">N12</f>
        <v>155882419.28687805</v>
      </c>
      <c r="P7" s="9">
        <f t="shared" ref="P7" si="9">O12</f>
        <v>166797982.84312901</v>
      </c>
      <c r="Q7" s="9">
        <f t="shared" ref="Q7" si="10">P12</f>
        <v>178640987.5403105</v>
      </c>
      <c r="R7" s="9">
        <f t="shared" ref="R7" si="11">Q12</f>
        <v>191459612.07436049</v>
      </c>
      <c r="S7" s="9">
        <f t="shared" ref="S7" si="12">R12</f>
        <v>205304168.87802863</v>
      </c>
      <c r="T7" s="9">
        <f t="shared" ref="T7" si="13">S12</f>
        <v>220227191.34504762</v>
      </c>
      <c r="U7" s="9">
        <f t="shared" ref="U7" si="14">T12</f>
        <v>236283524.45170498</v>
      </c>
      <c r="V7" s="9">
        <f t="shared" ref="V7" si="15">U12</f>
        <v>253530418.90393132</v>
      </c>
      <c r="W7" s="9">
        <f t="shared" ref="W7" si="16">V12</f>
        <v>272027628.94274187</v>
      </c>
      <c r="X7" s="9">
        <f t="shared" ref="X7" si="17">W12</f>
        <v>291837513.94575888</v>
      </c>
      <c r="Y7" s="9">
        <f t="shared" ref="Y7" si="18">X12</f>
        <v>313025143.96761185</v>
      </c>
      <c r="Z7" s="9">
        <f t="shared" ref="Z7" si="19">Y12</f>
        <v>335658409.3672632</v>
      </c>
      <c r="AA7" s="9">
        <f t="shared" ref="AA7" si="20">Z12</f>
        <v>359808134.67574966</v>
      </c>
      <c r="AB7" s="9">
        <f t="shared" ref="AB7" si="21">AA12</f>
        <v>385548196.8634674</v>
      </c>
      <c r="AC7" s="9">
        <f t="shared" ref="AC7" si="22">AB12</f>
        <v>412955648.17197138</v>
      </c>
      <c r="AD7" s="9">
        <f t="shared" ref="AD7" si="23">AC12</f>
        <v>442110843.68131167</v>
      </c>
      <c r="AE7" s="9">
        <f t="shared" ref="AE7" si="24">AD12</f>
        <v>473097573.79020184</v>
      </c>
      <c r="AF7" s="9">
        <f t="shared" ref="AF7" si="25">AE12</f>
        <v>506003201.79281157</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2489313.0412424859</v>
      </c>
      <c r="D8" s="9">
        <f>Assumptions!E111*Assumptions!E11</f>
        <v>2568971.0585622452</v>
      </c>
      <c r="E8" s="9">
        <f>Assumptions!F111*Assumptions!F11</f>
        <v>2651178.1324362368</v>
      </c>
      <c r="F8" s="9">
        <f>Assumptions!G111*Assumptions!G11</f>
        <v>2736015.8326741965</v>
      </c>
      <c r="G8" s="9">
        <f>Assumptions!H111*Assumptions!H11</f>
        <v>2823568.3393197712</v>
      </c>
      <c r="H8" s="9">
        <f>Assumptions!I111*Assumptions!I11</f>
        <v>2913922.5261780038</v>
      </c>
      <c r="I8" s="9">
        <f>Assumptions!J111*Assumptions!J11</f>
        <v>3007168.0470156991</v>
      </c>
      <c r="J8" s="9">
        <f>Assumptions!K111*Assumptions!K11</f>
        <v>3103397.424520202</v>
      </c>
      <c r="K8" s="9">
        <f>Assumptions!L111*Assumptions!L11</f>
        <v>3202706.1421048488</v>
      </c>
      <c r="L8" s="9">
        <f>Assumptions!M111*Assumptions!M11</f>
        <v>3305192.7386522037</v>
      </c>
      <c r="M8" s="9">
        <f>Assumptions!N111*Assumptions!N11</f>
        <v>3410958.9062890741</v>
      </c>
      <c r="N8" s="9">
        <f>Assumptions!O111*Assumptions!O11</f>
        <v>3520109.5912903245</v>
      </c>
      <c r="O8" s="9">
        <f>Assumptions!P111*Assumptions!P11</f>
        <v>3632753.0982116153</v>
      </c>
      <c r="P8" s="9">
        <f>Assumptions!Q111*Assumptions!Q11</f>
        <v>3749001.1973543861</v>
      </c>
      <c r="Q8" s="9">
        <f>Assumptions!R111*Assumptions!R11</f>
        <v>3868969.235669726</v>
      </c>
      <c r="R8" s="9">
        <f>Assumptions!S111*Assumptions!S11</f>
        <v>3992776.251211158</v>
      </c>
      <c r="S8" s="9">
        <f>Assumptions!T111*Assumptions!T11</f>
        <v>4120545.0912499158</v>
      </c>
      <c r="T8" s="9">
        <f>Assumptions!U111*Assumptions!U11</f>
        <v>4252402.5341699123</v>
      </c>
      <c r="U8" s="9">
        <f>Assumptions!V111*Assumptions!V11</f>
        <v>4388479.4152633492</v>
      </c>
      <c r="V8" s="9">
        <f>Assumptions!W111*Assumptions!W11</f>
        <v>4528910.756551777</v>
      </c>
      <c r="W8" s="9">
        <f>Assumptions!X111*Assumptions!X11</f>
        <v>4673835.9007614339</v>
      </c>
      <c r="X8" s="9">
        <f>Assumptions!Y111*Assumptions!Y11</f>
        <v>4823398.6495857993</v>
      </c>
      <c r="Y8" s="9">
        <f>Assumptions!Z111*Assumptions!Z11</f>
        <v>4977747.4063725444</v>
      </c>
      <c r="Z8" s="9">
        <f>Assumptions!AA111*Assumptions!AA11</f>
        <v>5137035.3233764656</v>
      </c>
      <c r="AA8" s="9">
        <f>Assumptions!AB111*Assumptions!AB11</f>
        <v>5301420.4537245138</v>
      </c>
      <c r="AB8" s="9">
        <f>Assumptions!AC111*Assumptions!AC11</f>
        <v>5471065.9082436971</v>
      </c>
      <c r="AC8" s="9">
        <f>Assumptions!AD111*Assumptions!AD11</f>
        <v>5646140.0173074957</v>
      </c>
      <c r="AD8" s="9">
        <f>Assumptions!AE111*Assumptions!AE11</f>
        <v>5826816.497861336</v>
      </c>
      <c r="AE8" s="9">
        <f>Assumptions!AF111*Assumptions!AF11</f>
        <v>6013274.6257928982</v>
      </c>
      <c r="AF8" s="9">
        <f>Assumptions!AG111*Assumptions!AG11</f>
        <v>6205699.4138182709</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383883.36</v>
      </c>
      <c r="D9" s="9">
        <f>Assumptions!E120*Assumptions!E11</f>
        <v>792335.25503999996</v>
      </c>
      <c r="E9" s="9">
        <f>Assumptions!F120*Assumptions!F11</f>
        <v>1226534.9748019199</v>
      </c>
      <c r="F9" s="9">
        <f>Assumptions!G120*Assumptions!G11</f>
        <v>1687712.1253274418</v>
      </c>
      <c r="G9" s="9">
        <f>Assumptions!H120*Assumptions!H11</f>
        <v>2177148.6416723998</v>
      </c>
      <c r="H9" s="9">
        <f>Assumptions!I120*Assumptions!I11</f>
        <v>2696180.8778471001</v>
      </c>
      <c r="I9" s="9">
        <f>Assumptions!J120*Assumptions!J11</f>
        <v>3246201.776927908</v>
      </c>
      <c r="J9" s="9">
        <f>Assumptions!K120*Assumptions!K11</f>
        <v>3828663.1243309733</v>
      </c>
      <c r="K9" s="9">
        <f>Assumptions!L120*Assumptions!L11</f>
        <v>4445077.8873482598</v>
      </c>
      <c r="L9" s="9">
        <f>Assumptions!M120*Assumptions!M11</f>
        <v>5097022.6441593375</v>
      </c>
      <c r="M9" s="9">
        <f>Assumptions!N120*Assumptions!N11</f>
        <v>5786140.105649679</v>
      </c>
      <c r="N9" s="9">
        <f>Assumptions!O120*Assumptions!O11</f>
        <v>6514141.7334877839</v>
      </c>
      <c r="O9" s="9">
        <f>Assumptions!P120*Assumptions!P11</f>
        <v>7282810.4580393434</v>
      </c>
      <c r="P9" s="9">
        <f>Assumptions!Q120*Assumptions!Q11</f>
        <v>8094003.4998271093</v>
      </c>
      <c r="Q9" s="9">
        <f>Assumptions!R120*Assumptions!R11</f>
        <v>8949655.2983802594</v>
      </c>
      <c r="R9" s="9">
        <f>Assumptions!S120*Assumptions!S11</f>
        <v>9851780.552456988</v>
      </c>
      <c r="S9" s="9">
        <f>Assumptions!T120*Assumptions!T11</f>
        <v>10802477.37576909</v>
      </c>
      <c r="T9" s="9">
        <f>Assumptions!U120*Assumptions!U11</f>
        <v>11803930.572487449</v>
      </c>
      <c r="U9" s="9">
        <f>Assumptions!V120*Assumptions!V11</f>
        <v>12858415.036962992</v>
      </c>
      <c r="V9" s="9">
        <f>Assumptions!W120*Assumptions!W11</f>
        <v>13968299.282258749</v>
      </c>
      <c r="W9" s="9">
        <f>Assumptions!X120*Assumptions!X11</f>
        <v>15136049.102255583</v>
      </c>
      <c r="X9" s="9">
        <f>Assumptions!Y120*Assumptions!Y11</f>
        <v>16364231.372267177</v>
      </c>
      <c r="Y9" s="9">
        <f>Assumptions!Z120*Assumptions!Z11</f>
        <v>17655517.993278805</v>
      </c>
      <c r="Z9" s="9">
        <f>Assumptions!AA120*Assumptions!AA11</f>
        <v>19012689.985109977</v>
      </c>
      <c r="AA9" s="9">
        <f>Assumptions!AB120*Assumptions!AB11</f>
        <v>20438641.733993232</v>
      </c>
      <c r="AB9" s="9">
        <f>Assumptions!AC120*Assumptions!AC11</f>
        <v>21936385.400260251</v>
      </c>
      <c r="AC9" s="9">
        <f>Assumptions!AD120*Assumptions!AD11</f>
        <v>23509055.492032751</v>
      </c>
      <c r="AD9" s="9">
        <f>Assumptions!AE120*Assumptions!AE11</f>
        <v>25159913.611028839</v>
      </c>
      <c r="AE9" s="9">
        <f>Assumptions!AF120*Assumptions!AF11</f>
        <v>26892353.376816817</v>
      </c>
      <c r="AF9" s="9">
        <f>Assumptions!AG120*Assumptions!AG11</f>
        <v>28709905.53607754</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2873196.4012424857</v>
      </c>
      <c r="D10" s="9">
        <f>SUM($C$8:D9)</f>
        <v>6234502.7148447316</v>
      </c>
      <c r="E10" s="9">
        <f>SUM($C$8:E9)</f>
        <v>10112215.822082888</v>
      </c>
      <c r="F10" s="9">
        <f>SUM($C$8:F9)</f>
        <v>14535943.780084524</v>
      </c>
      <c r="G10" s="9">
        <f>SUM($C$8:G9)</f>
        <v>19536660.761076692</v>
      </c>
      <c r="H10" s="9">
        <f>SUM($C$8:H9)</f>
        <v>25146764.1651018</v>
      </c>
      <c r="I10" s="9">
        <f>SUM($C$8:I9)</f>
        <v>31400133.989045408</v>
      </c>
      <c r="J10" s="9">
        <f>SUM($C$8:J9)</f>
        <v>38332194.537896588</v>
      </c>
      <c r="K10" s="9">
        <f>SUM($C$8:K9)</f>
        <v>45979978.567349695</v>
      </c>
      <c r="L10" s="9">
        <f>SUM($C$8:L9)</f>
        <v>54382193.950161234</v>
      </c>
      <c r="M10" s="9">
        <f>SUM($C$8:M9)</f>
        <v>63579292.962099992</v>
      </c>
      <c r="N10" s="9">
        <f>SUM($C$8:N9)</f>
        <v>73613544.286878094</v>
      </c>
      <c r="O10" s="9">
        <f>SUM($C$8:O9)</f>
        <v>84529107.843129054</v>
      </c>
      <c r="P10" s="9">
        <f>SUM($C$8:P9)</f>
        <v>96372112.540310532</v>
      </c>
      <c r="Q10" s="9">
        <f>SUM($C$8:Q9)</f>
        <v>109190737.07436052</v>
      </c>
      <c r="R10" s="9">
        <f>SUM($C$8:R9)</f>
        <v>123035293.87802868</v>
      </c>
      <c r="S10" s="9">
        <f>SUM($C$8:S9)</f>
        <v>137958316.34504768</v>
      </c>
      <c r="T10" s="9">
        <f>SUM($C$8:T9)</f>
        <v>154014649.45170504</v>
      </c>
      <c r="U10" s="9">
        <f>SUM($C$8:U9)</f>
        <v>171261543.90393135</v>
      </c>
      <c r="V10" s="9">
        <f>SUM($C$8:V9)</f>
        <v>189758753.94274187</v>
      </c>
      <c r="W10" s="9">
        <f>SUM($C$8:W9)</f>
        <v>209568638.94575888</v>
      </c>
      <c r="X10" s="9">
        <f>SUM($C$8:X9)</f>
        <v>230756268.96761188</v>
      </c>
      <c r="Y10" s="9">
        <f>SUM($C$8:Y9)</f>
        <v>253389534.36726323</v>
      </c>
      <c r="Z10" s="9">
        <f>SUM($C$8:Z9)</f>
        <v>277539259.67574966</v>
      </c>
      <c r="AA10" s="9">
        <f>SUM($C$8:AA9)</f>
        <v>303279321.8634674</v>
      </c>
      <c r="AB10" s="9">
        <f>SUM($C$8:AB9)</f>
        <v>330686773.17197138</v>
      </c>
      <c r="AC10" s="9">
        <f>SUM($C$8:AC9)</f>
        <v>359841968.68131167</v>
      </c>
      <c r="AD10" s="9">
        <f>SUM($C$8:AD9)</f>
        <v>390828698.79020184</v>
      </c>
      <c r="AE10" s="9">
        <f>SUM($C$8:AE9)</f>
        <v>423734326.79281157</v>
      </c>
      <c r="AF10" s="9">
        <f>SUM($C$8:AF9)</f>
        <v>458649931.74270737</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85142071.40124248</v>
      </c>
      <c r="D12" s="9">
        <f>D7+D8+D9</f>
        <v>88503377.714844733</v>
      </c>
      <c r="E12" s="9">
        <f>E7+E8+E9</f>
        <v>92381090.822082877</v>
      </c>
      <c r="F12" s="9">
        <f t="shared" ref="F12:H12" si="26">F7+F8+F9</f>
        <v>96804818.780084506</v>
      </c>
      <c r="G12" s="9">
        <f t="shared" si="26"/>
        <v>101805535.76107667</v>
      </c>
      <c r="H12" s="9">
        <f t="shared" si="26"/>
        <v>107415639.16510178</v>
      </c>
      <c r="I12" s="9">
        <f t="shared" ref="I12:AF12" si="27">I7+I8+I9</f>
        <v>113669008.98904538</v>
      </c>
      <c r="J12" s="9">
        <f t="shared" si="27"/>
        <v>120601069.53789654</v>
      </c>
      <c r="K12" s="9">
        <f t="shared" si="27"/>
        <v>128248853.56734966</v>
      </c>
      <c r="L12" s="9">
        <f t="shared" si="27"/>
        <v>136651068.95016119</v>
      </c>
      <c r="M12" s="9">
        <f t="shared" si="27"/>
        <v>145848167.96209994</v>
      </c>
      <c r="N12" s="9">
        <f t="shared" si="27"/>
        <v>155882419.28687805</v>
      </c>
      <c r="O12" s="9">
        <f t="shared" si="27"/>
        <v>166797982.84312901</v>
      </c>
      <c r="P12" s="9">
        <f t="shared" si="27"/>
        <v>178640987.5403105</v>
      </c>
      <c r="Q12" s="9">
        <f t="shared" si="27"/>
        <v>191459612.07436049</v>
      </c>
      <c r="R12" s="9">
        <f t="shared" si="27"/>
        <v>205304168.87802863</v>
      </c>
      <c r="S12" s="9">
        <f t="shared" si="27"/>
        <v>220227191.34504762</v>
      </c>
      <c r="T12" s="9">
        <f t="shared" si="27"/>
        <v>236283524.45170498</v>
      </c>
      <c r="U12" s="9">
        <f t="shared" si="27"/>
        <v>253530418.90393132</v>
      </c>
      <c r="V12" s="9">
        <f t="shared" si="27"/>
        <v>272027628.94274187</v>
      </c>
      <c r="W12" s="9">
        <f t="shared" si="27"/>
        <v>291837513.94575888</v>
      </c>
      <c r="X12" s="9">
        <f t="shared" si="27"/>
        <v>313025143.96761185</v>
      </c>
      <c r="Y12" s="9">
        <f t="shared" si="27"/>
        <v>335658409.3672632</v>
      </c>
      <c r="Z12" s="9">
        <f t="shared" si="27"/>
        <v>359808134.67574966</v>
      </c>
      <c r="AA12" s="9">
        <f t="shared" si="27"/>
        <v>385548196.8634674</v>
      </c>
      <c r="AB12" s="9">
        <f t="shared" si="27"/>
        <v>412955648.17197138</v>
      </c>
      <c r="AC12" s="9">
        <f t="shared" si="27"/>
        <v>442110843.68131167</v>
      </c>
      <c r="AD12" s="9">
        <f t="shared" si="27"/>
        <v>473097573.79020184</v>
      </c>
      <c r="AE12" s="9">
        <f t="shared" si="27"/>
        <v>506003201.79281157</v>
      </c>
      <c r="AF12" s="9">
        <f t="shared" si="27"/>
        <v>540918806.74270737</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18868336.401242487</v>
      </c>
      <c r="D18" s="9">
        <f>Investment!D25</f>
        <v>19868290.793602247</v>
      </c>
      <c r="E18" s="9">
        <f>Investment!E25</f>
        <v>20912921.090598155</v>
      </c>
      <c r="F18" s="9">
        <f>Investment!F25</f>
        <v>22004062.596829157</v>
      </c>
      <c r="G18" s="9">
        <f>Investment!G25</f>
        <v>23143622.328262169</v>
      </c>
      <c r="H18" s="9">
        <f>Investment!H25</f>
        <v>24333581.722407743</v>
      </c>
      <c r="I18" s="9">
        <f>Investment!I25</f>
        <v>25575999.448514488</v>
      </c>
      <c r="J18" s="9">
        <f>Investment!J25</f>
        <v>26873014.321408324</v>
      </c>
      <c r="K18" s="9">
        <f>Investment!K25</f>
        <v>28226848.322732091</v>
      </c>
      <c r="L18" s="9">
        <f>Investment!L25</f>
        <v>29639809.733475447</v>
      </c>
      <c r="M18" s="9">
        <f>Investment!M25</f>
        <v>31114296.381823905</v>
      </c>
      <c r="N18" s="9">
        <f>Investment!N25</f>
        <v>32652799.010499585</v>
      </c>
      <c r="O18" s="9">
        <f>Investment!O25</f>
        <v>34257904.767915525</v>
      </c>
      <c r="P18" s="9">
        <f>Investment!P25</f>
        <v>35932300.827619329</v>
      </c>
      <c r="Q18" s="9">
        <f>Investment!Q25</f>
        <v>37678778.140661821</v>
      </c>
      <c r="R18" s="9">
        <f>Investment!R25</f>
        <v>39500235.325691566</v>
      </c>
      <c r="S18" s="9">
        <f>Investment!S25</f>
        <v>41399682.701747179</v>
      </c>
      <c r="T18" s="9">
        <f>Investment!T25</f>
        <v>43380246.468896829</v>
      </c>
      <c r="U18" s="9">
        <f>Investment!U25</f>
        <v>45445173.042057469</v>
      </c>
      <c r="V18" s="9">
        <f>Investment!V25</f>
        <v>47597833.543516256</v>
      </c>
      <c r="W18" s="9">
        <f>Investment!W25</f>
        <v>49841728.459873334</v>
      </c>
      <c r="X18" s="9">
        <f>Investment!X25</f>
        <v>52180492.469328694</v>
      </c>
      <c r="Y18" s="9">
        <f>Investment!Y25</f>
        <v>54617899.445446283</v>
      </c>
      <c r="Z18" s="9">
        <f>Investment!Z25</f>
        <v>57157867.643746816</v>
      </c>
      <c r="AA18" s="9">
        <f>Investment!AA25</f>
        <v>59804465.077706456</v>
      </c>
      <c r="AB18" s="9">
        <f>Investment!AB25</f>
        <v>62561915.090972289</v>
      </c>
      <c r="AC18" s="9">
        <f>Investment!AC25</f>
        <v>65434602.132847577</v>
      </c>
      <c r="AD18" s="9">
        <f>Investment!AD25</f>
        <v>68427077.744349733</v>
      </c>
      <c r="AE18" s="9">
        <f>Investment!AE25</f>
        <v>71544066.762403995</v>
      </c>
      <c r="AF18" s="9">
        <f>Investment!AF25</f>
        <v>74790473.750003487</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101137211.40124249</v>
      </c>
      <c r="D19" s="9">
        <f>D18+C20</f>
        <v>118132305.79360226</v>
      </c>
      <c r="E19" s="9">
        <f>E18+D20</f>
        <v>135683920.57059816</v>
      </c>
      <c r="F19" s="9">
        <f t="shared" ref="F19:AF19" si="28">F18+E20</f>
        <v>153810270.06018916</v>
      </c>
      <c r="G19" s="9">
        <f t="shared" si="28"/>
        <v>172530164.43044969</v>
      </c>
      <c r="H19" s="9">
        <f t="shared" si="28"/>
        <v>191863029.17186528</v>
      </c>
      <c r="I19" s="9">
        <f t="shared" si="28"/>
        <v>211828925.21635467</v>
      </c>
      <c r="J19" s="9">
        <f t="shared" si="28"/>
        <v>232448569.71381938</v>
      </c>
      <c r="K19" s="9">
        <f t="shared" si="28"/>
        <v>253743357.48770031</v>
      </c>
      <c r="L19" s="9">
        <f t="shared" si="28"/>
        <v>275735383.19172263</v>
      </c>
      <c r="M19" s="9">
        <f t="shared" si="28"/>
        <v>298447464.19073498</v>
      </c>
      <c r="N19" s="9">
        <f t="shared" si="28"/>
        <v>321903164.18929583</v>
      </c>
      <c r="O19" s="9">
        <f t="shared" si="28"/>
        <v>346126817.6324333</v>
      </c>
      <c r="P19" s="9">
        <f t="shared" si="28"/>
        <v>371143554.90380168</v>
      </c>
      <c r="Q19" s="9">
        <f t="shared" si="28"/>
        <v>396979328.34728205</v>
      </c>
      <c r="R19" s="9">
        <f t="shared" si="28"/>
        <v>423660939.13892365</v>
      </c>
      <c r="S19" s="9">
        <f t="shared" si="28"/>
        <v>451216065.03700268</v>
      </c>
      <c r="T19" s="9">
        <f t="shared" si="28"/>
        <v>479673289.03888047</v>
      </c>
      <c r="U19" s="9">
        <f t="shared" si="28"/>
        <v>509062128.97428054</v>
      </c>
      <c r="V19" s="9">
        <f t="shared" si="28"/>
        <v>539413068.06557047</v>
      </c>
      <c r="W19" s="9">
        <f t="shared" si="28"/>
        <v>570757586.4866333</v>
      </c>
      <c r="X19" s="9">
        <f t="shared" si="28"/>
        <v>603128193.95294487</v>
      </c>
      <c r="Y19" s="9">
        <f t="shared" si="28"/>
        <v>636558463.37653816</v>
      </c>
      <c r="Z19" s="9">
        <f t="shared" si="28"/>
        <v>671083065.6206336</v>
      </c>
      <c r="AA19" s="9">
        <f t="shared" si="28"/>
        <v>706737805.38985372</v>
      </c>
      <c r="AB19" s="9">
        <f t="shared" si="28"/>
        <v>743559658.29310834</v>
      </c>
      <c r="AC19" s="9">
        <f t="shared" si="28"/>
        <v>781586809.11745203</v>
      </c>
      <c r="AD19" s="9">
        <f t="shared" si="28"/>
        <v>820858691.35246146</v>
      </c>
      <c r="AE19" s="9">
        <f t="shared" si="28"/>
        <v>861416028.00597525</v>
      </c>
      <c r="AF19" s="9">
        <f t="shared" si="28"/>
        <v>903300873.75336897</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98264015.000000015</v>
      </c>
      <c r="D20" s="9">
        <f>D19-D8-D9</f>
        <v>114770999.48</v>
      </c>
      <c r="E20" s="9">
        <f t="shared" ref="E20:AF20" si="29">E19-E8-E9</f>
        <v>131806207.46336001</v>
      </c>
      <c r="F20" s="9">
        <f t="shared" si="29"/>
        <v>149386542.10218751</v>
      </c>
      <c r="G20" s="9">
        <f t="shared" si="29"/>
        <v>167529447.44945753</v>
      </c>
      <c r="H20" s="9">
        <f t="shared" si="29"/>
        <v>186252925.76784018</v>
      </c>
      <c r="I20" s="9">
        <f t="shared" si="29"/>
        <v>205575555.39241105</v>
      </c>
      <c r="J20" s="9">
        <f t="shared" si="29"/>
        <v>225516509.16496822</v>
      </c>
      <c r="K20" s="9">
        <f t="shared" si="29"/>
        <v>246095573.45824721</v>
      </c>
      <c r="L20" s="9">
        <f t="shared" si="29"/>
        <v>267333167.80891106</v>
      </c>
      <c r="M20" s="9">
        <f t="shared" si="29"/>
        <v>289250365.17879623</v>
      </c>
      <c r="N20" s="9">
        <f t="shared" si="29"/>
        <v>311868912.86451775</v>
      </c>
      <c r="O20" s="9">
        <f t="shared" si="29"/>
        <v>335211254.07618237</v>
      </c>
      <c r="P20" s="9">
        <f t="shared" si="29"/>
        <v>359300550.20662022</v>
      </c>
      <c r="Q20" s="9">
        <f t="shared" si="29"/>
        <v>384160703.81323206</v>
      </c>
      <c r="R20" s="9">
        <f t="shared" si="29"/>
        <v>409816382.3352555</v>
      </c>
      <c r="S20" s="9">
        <f t="shared" si="29"/>
        <v>436293042.56998366</v>
      </c>
      <c r="T20" s="9">
        <f t="shared" si="29"/>
        <v>463616955.93222308</v>
      </c>
      <c r="U20" s="9">
        <f t="shared" si="29"/>
        <v>491815234.5220542</v>
      </c>
      <c r="V20" s="9">
        <f t="shared" si="29"/>
        <v>520915858.02675992</v>
      </c>
      <c r="W20" s="9">
        <f t="shared" si="29"/>
        <v>550947701.48361623</v>
      </c>
      <c r="X20" s="9">
        <f t="shared" si="29"/>
        <v>581940563.9310919</v>
      </c>
      <c r="Y20" s="9">
        <f t="shared" si="29"/>
        <v>613925197.97688675</v>
      </c>
      <c r="Z20" s="9">
        <f t="shared" si="29"/>
        <v>646933340.31214726</v>
      </c>
      <c r="AA20" s="9">
        <f t="shared" si="29"/>
        <v>680997743.20213604</v>
      </c>
      <c r="AB20" s="9">
        <f t="shared" si="29"/>
        <v>716152206.98460448</v>
      </c>
      <c r="AC20" s="9">
        <f t="shared" si="29"/>
        <v>752431613.60811174</v>
      </c>
      <c r="AD20" s="9">
        <f t="shared" si="29"/>
        <v>789871961.24357128</v>
      </c>
      <c r="AE20" s="9">
        <f t="shared" si="29"/>
        <v>828510400.00336552</v>
      </c>
      <c r="AF20" s="9">
        <f t="shared" si="29"/>
        <v>868385268.80347323</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15616000</v>
      </c>
      <c r="D22" s="9">
        <f ca="1">'Balance Sheet'!C11</f>
        <v>30726919.536524031</v>
      </c>
      <c r="E22" s="9">
        <f ca="1">'Balance Sheet'!D11</f>
        <v>44101861.835724138</v>
      </c>
      <c r="F22" s="9">
        <f ca="1">'Balance Sheet'!E11</f>
        <v>54263095.838656329</v>
      </c>
      <c r="G22" s="9">
        <f ca="1">'Balance Sheet'!F11</f>
        <v>62421294.578612387</v>
      </c>
      <c r="H22" s="9">
        <f ca="1">'Balance Sheet'!G11</f>
        <v>69458548.303869128</v>
      </c>
      <c r="I22" s="9">
        <f ca="1">'Balance Sheet'!H11</f>
        <v>75716354.982053161</v>
      </c>
      <c r="J22" s="9">
        <f ca="1">'Balance Sheet'!I11</f>
        <v>81486341.775204152</v>
      </c>
      <c r="K22" s="9">
        <f ca="1">'Balance Sheet'!J11</f>
        <v>87214762.452990979</v>
      </c>
      <c r="L22" s="9">
        <f ca="1">'Balance Sheet'!K11</f>
        <v>93154958.56768623</v>
      </c>
      <c r="M22" s="9">
        <f ca="1">'Balance Sheet'!L11</f>
        <v>99261392.22568132</v>
      </c>
      <c r="N22" s="9">
        <f ca="1">'Balance Sheet'!M11</f>
        <v>105480671.67909382</v>
      </c>
      <c r="O22" s="9">
        <f ca="1">'Balance Sheet'!N11</f>
        <v>111750749.18746471</v>
      </c>
      <c r="P22" s="9">
        <f ca="1">'Balance Sheet'!O11</f>
        <v>118000051.63971063</v>
      </c>
      <c r="Q22" s="9">
        <f ca="1">'Balance Sheet'!P11</f>
        <v>124146538.83590338</v>
      </c>
      <c r="R22" s="9">
        <f ca="1">'Balance Sheet'!Q11</f>
        <v>130096683.96268001</v>
      </c>
      <c r="S22" s="9">
        <f ca="1">'Balance Sheet'!R11</f>
        <v>135744370.40494025</v>
      </c>
      <c r="T22" s="9">
        <f ca="1">'Balance Sheet'!S11</f>
        <v>140969698.61823675</v>
      </c>
      <c r="U22" s="9">
        <f ca="1">'Balance Sheet'!T11</f>
        <v>145637696.33906659</v>
      </c>
      <c r="V22" s="9">
        <f ca="1">'Balance Sheet'!U11</f>
        <v>149596924.93216279</v>
      </c>
      <c r="W22" s="9">
        <f ca="1">'Balance Sheet'!V11</f>
        <v>153728971.80418849</v>
      </c>
      <c r="X22" s="9">
        <f ca="1">'Balance Sheet'!W11</f>
        <v>158962810.96232656</v>
      </c>
      <c r="Y22" s="9">
        <f ca="1">'Balance Sheet'!X11</f>
        <v>165384880.6887286</v>
      </c>
      <c r="Z22" s="9">
        <f ca="1">'Balance Sheet'!Y11</f>
        <v>173086451.41800371</v>
      </c>
      <c r="AA22" s="9">
        <f ca="1">'Balance Sheet'!Z11</f>
        <v>182163855.8382315</v>
      </c>
      <c r="AB22" s="9">
        <f ca="1">'Balance Sheet'!AA11</f>
        <v>192718728.96562612</v>
      </c>
      <c r="AC22" s="9">
        <f ca="1">'Balance Sheet'!AB11</f>
        <v>204858258.59857911</v>
      </c>
      <c r="AD22" s="9">
        <f ca="1">'Balance Sheet'!AC11</f>
        <v>218695446.57253805</v>
      </c>
      <c r="AE22" s="9">
        <f ca="1">'Balance Sheet'!AD11</f>
        <v>234349381.25349271</v>
      </c>
      <c r="AF22" s="9">
        <f ca="1">'Balance Sheet'!AE11</f>
        <v>251945521.72476065</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82648015.000000015</v>
      </c>
      <c r="D23" s="9">
        <f t="shared" ref="D23:AF23" ca="1" si="30">D20-D22</f>
        <v>84044079.943475977</v>
      </c>
      <c r="E23" s="9">
        <f t="shared" ca="1" si="30"/>
        <v>87704345.627635866</v>
      </c>
      <c r="F23" s="9">
        <f t="shared" ca="1" si="30"/>
        <v>95123446.263531178</v>
      </c>
      <c r="G23" s="9">
        <f t="shared" ca="1" si="30"/>
        <v>105108152.87084514</v>
      </c>
      <c r="H23" s="9">
        <f t="shared" ca="1" si="30"/>
        <v>116794377.46397105</v>
      </c>
      <c r="I23" s="9">
        <f t="shared" ca="1" si="30"/>
        <v>129859200.41035789</v>
      </c>
      <c r="J23" s="9">
        <f ca="1">J20-J22</f>
        <v>144030167.38976407</v>
      </c>
      <c r="K23" s="9">
        <f t="shared" ca="1" si="30"/>
        <v>158880811.00525624</v>
      </c>
      <c r="L23" s="9">
        <f t="shared" ca="1" si="30"/>
        <v>174178209.24122483</v>
      </c>
      <c r="M23" s="9">
        <f t="shared" ca="1" si="30"/>
        <v>189988972.95311493</v>
      </c>
      <c r="N23" s="9">
        <f t="shared" ca="1" si="30"/>
        <v>206388241.18542391</v>
      </c>
      <c r="O23" s="9">
        <f t="shared" ca="1" si="30"/>
        <v>223460504.88871765</v>
      </c>
      <c r="P23" s="9">
        <f t="shared" ca="1" si="30"/>
        <v>241300498.56690958</v>
      </c>
      <c r="Q23" s="9">
        <f t="shared" ca="1" si="30"/>
        <v>260014164.97732869</v>
      </c>
      <c r="R23" s="9">
        <f t="shared" ca="1" si="30"/>
        <v>279719698.37257552</v>
      </c>
      <c r="S23" s="9">
        <f t="shared" ca="1" si="30"/>
        <v>300548672.16504341</v>
      </c>
      <c r="T23" s="9">
        <f t="shared" ca="1" si="30"/>
        <v>322647257.3139863</v>
      </c>
      <c r="U23" s="9">
        <f t="shared" ca="1" si="30"/>
        <v>346177538.18298757</v>
      </c>
      <c r="V23" s="9">
        <f t="shared" ca="1" si="30"/>
        <v>371318933.0945971</v>
      </c>
      <c r="W23" s="9">
        <f t="shared" ca="1" si="30"/>
        <v>397218729.67942774</v>
      </c>
      <c r="X23" s="9">
        <f t="shared" ca="1" si="30"/>
        <v>422977752.96876538</v>
      </c>
      <c r="Y23" s="9">
        <f t="shared" ca="1" si="30"/>
        <v>448540317.28815818</v>
      </c>
      <c r="Z23" s="9">
        <f t="shared" ca="1" si="30"/>
        <v>473846888.89414358</v>
      </c>
      <c r="AA23" s="9">
        <f t="shared" ca="1" si="30"/>
        <v>498833887.36390454</v>
      </c>
      <c r="AB23" s="9">
        <f t="shared" ca="1" si="30"/>
        <v>523433478.01897836</v>
      </c>
      <c r="AC23" s="9">
        <f t="shared" ca="1" si="30"/>
        <v>547573355.00953269</v>
      </c>
      <c r="AD23" s="9">
        <f t="shared" ca="1" si="30"/>
        <v>571176514.67103326</v>
      </c>
      <c r="AE23" s="9">
        <f t="shared" ca="1" si="30"/>
        <v>594161018.7498728</v>
      </c>
      <c r="AF23" s="9">
        <f t="shared" ca="1" si="30"/>
        <v>616439747.07871258</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145" zoomScaleNormal="145"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15616000</v>
      </c>
      <c r="D5" s="1">
        <f ca="1">C5+C6</f>
        <v>30726919.536524031</v>
      </c>
      <c r="E5" s="1">
        <f t="shared" ref="E5:AF5" ca="1" si="1">D5+D6</f>
        <v>44101861.835724138</v>
      </c>
      <c r="F5" s="1">
        <f t="shared" ca="1" si="1"/>
        <v>54263095.838656329</v>
      </c>
      <c r="G5" s="1">
        <f t="shared" ca="1" si="1"/>
        <v>62421294.578612387</v>
      </c>
      <c r="H5" s="1">
        <f t="shared" ca="1" si="1"/>
        <v>69458548.303869128</v>
      </c>
      <c r="I5" s="1">
        <f t="shared" ca="1" si="1"/>
        <v>75716354.982053161</v>
      </c>
      <c r="J5" s="1">
        <f t="shared" ca="1" si="1"/>
        <v>81486341.775204152</v>
      </c>
      <c r="K5" s="1">
        <f t="shared" ca="1" si="1"/>
        <v>87214762.452990979</v>
      </c>
      <c r="L5" s="1">
        <f t="shared" ca="1" si="1"/>
        <v>93154958.56768623</v>
      </c>
      <c r="M5" s="1">
        <f t="shared" ca="1" si="1"/>
        <v>99261392.22568132</v>
      </c>
      <c r="N5" s="1">
        <f t="shared" ca="1" si="1"/>
        <v>105480671.67909382</v>
      </c>
      <c r="O5" s="1">
        <f t="shared" ca="1" si="1"/>
        <v>111750749.18746471</v>
      </c>
      <c r="P5" s="1">
        <f t="shared" ca="1" si="1"/>
        <v>118000051.63971063</v>
      </c>
      <c r="Q5" s="1">
        <f t="shared" ca="1" si="1"/>
        <v>124146538.83590338</v>
      </c>
      <c r="R5" s="1">
        <f t="shared" ca="1" si="1"/>
        <v>130096683.96268001</v>
      </c>
      <c r="S5" s="1">
        <f t="shared" ca="1" si="1"/>
        <v>135744370.40494025</v>
      </c>
      <c r="T5" s="1">
        <f t="shared" ca="1" si="1"/>
        <v>140969698.61823675</v>
      </c>
      <c r="U5" s="1">
        <f t="shared" ca="1" si="1"/>
        <v>145637696.33906659</v>
      </c>
      <c r="V5" s="1">
        <f t="shared" ca="1" si="1"/>
        <v>149596924.93216279</v>
      </c>
      <c r="W5" s="1">
        <f t="shared" ca="1" si="1"/>
        <v>153728971.80418849</v>
      </c>
      <c r="X5" s="1">
        <f t="shared" ca="1" si="1"/>
        <v>158962810.96232656</v>
      </c>
      <c r="Y5" s="1">
        <f t="shared" ca="1" si="1"/>
        <v>165384880.6887286</v>
      </c>
      <c r="Z5" s="1">
        <f t="shared" ca="1" si="1"/>
        <v>173086451.41800371</v>
      </c>
      <c r="AA5" s="1">
        <f t="shared" ca="1" si="1"/>
        <v>182163855.8382315</v>
      </c>
      <c r="AB5" s="1">
        <f t="shared" ca="1" si="1"/>
        <v>192718728.96562612</v>
      </c>
      <c r="AC5" s="1">
        <f t="shared" ca="1" si="1"/>
        <v>204858258.59857911</v>
      </c>
      <c r="AD5" s="1">
        <f t="shared" ca="1" si="1"/>
        <v>218695446.57253805</v>
      </c>
      <c r="AE5" s="1">
        <f t="shared" ca="1" si="1"/>
        <v>234349381.25349271</v>
      </c>
      <c r="AF5" s="1">
        <f t="shared" ca="1" si="1"/>
        <v>251945521.72476065</v>
      </c>
      <c r="AG5" s="1"/>
      <c r="AH5" s="1"/>
      <c r="AI5" s="1"/>
      <c r="AJ5" s="1"/>
      <c r="AK5" s="1"/>
      <c r="AL5" s="1"/>
      <c r="AM5" s="1"/>
      <c r="AN5" s="1"/>
      <c r="AO5" s="1"/>
      <c r="AP5" s="1"/>
    </row>
    <row r="6" spans="1:42" x14ac:dyDescent="0.35">
      <c r="A6" s="63" t="s">
        <v>3</v>
      </c>
      <c r="C6" s="1">
        <f ca="1">-'Cash Flow'!C13</f>
        <v>15110919.536524031</v>
      </c>
      <c r="D6" s="1">
        <f ca="1">-'Cash Flow'!D13</f>
        <v>13374942.299200108</v>
      </c>
      <c r="E6" s="1">
        <f ca="1">-'Cash Flow'!E13</f>
        <v>10161234.002932193</v>
      </c>
      <c r="F6" s="1">
        <f ca="1">-'Cash Flow'!F13</f>
        <v>8158198.7399560623</v>
      </c>
      <c r="G6" s="1">
        <f ca="1">-'Cash Flow'!G13</f>
        <v>7037253.7252567336</v>
      </c>
      <c r="H6" s="1">
        <f ca="1">-'Cash Flow'!H13</f>
        <v>6257806.6781840399</v>
      </c>
      <c r="I6" s="1">
        <f ca="1">-'Cash Flow'!I13</f>
        <v>5769986.7931509838</v>
      </c>
      <c r="J6" s="1">
        <f ca="1">-'Cash Flow'!J13</f>
        <v>5728420.6777868196</v>
      </c>
      <c r="K6" s="1">
        <f ca="1">-'Cash Flow'!K13</f>
        <v>5940196.1146952584</v>
      </c>
      <c r="L6" s="1">
        <f ca="1">-'Cash Flow'!L13</f>
        <v>6106433.6579950899</v>
      </c>
      <c r="M6" s="1">
        <f ca="1">-'Cash Flow'!M13</f>
        <v>6219279.453412503</v>
      </c>
      <c r="N6" s="1">
        <f ca="1">-'Cash Flow'!N13</f>
        <v>6270077.5083708875</v>
      </c>
      <c r="O6" s="1">
        <f ca="1">-'Cash Flow'!O13</f>
        <v>6249302.4522459172</v>
      </c>
      <c r="P6" s="1">
        <f ca="1">-'Cash Flow'!P13</f>
        <v>6146487.1961927339</v>
      </c>
      <c r="Q6" s="1">
        <f ca="1">-'Cash Flow'!Q13</f>
        <v>5950145.1267766282</v>
      </c>
      <c r="R6" s="1">
        <f ca="1">-'Cash Flow'!R13</f>
        <v>5647686.4422602504</v>
      </c>
      <c r="S6" s="1">
        <f ca="1">-'Cash Flow'!S13</f>
        <v>5225328.2132964954</v>
      </c>
      <c r="T6" s="1">
        <f ca="1">-'Cash Flow'!T13</f>
        <v>4667997.7208298445</v>
      </c>
      <c r="U6" s="1">
        <f ca="1">-'Cash Flow'!U13</f>
        <v>3959228.5930961967</v>
      </c>
      <c r="V6" s="1">
        <f ca="1">-'Cash Flow'!V13</f>
        <v>4132046.872025691</v>
      </c>
      <c r="W6" s="1">
        <f ca="1">-'Cash Flow'!W13</f>
        <v>5233839.1581380591</v>
      </c>
      <c r="X6" s="1">
        <f ca="1">-'Cash Flow'!X13</f>
        <v>6422069.7264020368</v>
      </c>
      <c r="Y6" s="1">
        <f ca="1">-'Cash Flow'!Y13</f>
        <v>7701570.7292751074</v>
      </c>
      <c r="Z6" s="1">
        <f ca="1">-'Cash Flow'!Z13</f>
        <v>9077404.4202277884</v>
      </c>
      <c r="AA6" s="1">
        <f ca="1">-'Cash Flow'!AA13</f>
        <v>10554873.127394617</v>
      </c>
      <c r="AB6" s="1">
        <f ca="1">-'Cash Flow'!AB13</f>
        <v>12139529.632952973</v>
      </c>
      <c r="AC6" s="1">
        <f ca="1">-'Cash Flow'!AC13</f>
        <v>13837187.973958939</v>
      </c>
      <c r="AD6" s="1">
        <f ca="1">-'Cash Flow'!AD13</f>
        <v>15653934.68095468</v>
      </c>
      <c r="AE6" s="1">
        <f ca="1">-'Cash Flow'!AE13</f>
        <v>17596140.471267924</v>
      </c>
      <c r="AF6" s="1">
        <f ca="1">-'Cash Flow'!AF13</f>
        <v>19670472.414552577</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1075442.1837783412</v>
      </c>
      <c r="D8" s="1">
        <f ca="1">IF(SUM(D5:D6)&gt;0,Assumptions!$C$26*SUM(D5:D6),Assumptions!$C$27*(SUM(D5:D6)))</f>
        <v>1543565.164250345</v>
      </c>
      <c r="E8" s="1">
        <f ca="1">IF(SUM(E5:E6)&gt;0,Assumptions!$C$26*SUM(E5:E6),Assumptions!$C$27*(SUM(E5:E6)))</f>
        <v>1899208.3543529718</v>
      </c>
      <c r="F8" s="1">
        <f ca="1">IF(SUM(F5:F6)&gt;0,Assumptions!$C$26*SUM(F5:F6),Assumptions!$C$27*(SUM(F5:F6)))</f>
        <v>2184745.3102514339</v>
      </c>
      <c r="G8" s="1">
        <f ca="1">IF(SUM(G5:G6)&gt;0,Assumptions!$C$26*SUM(G5:G6),Assumptions!$C$27*(SUM(G5:G6)))</f>
        <v>2431049.1906354199</v>
      </c>
      <c r="H8" s="1">
        <f ca="1">IF(SUM(H5:H6)&gt;0,Assumptions!$C$26*SUM(H5:H6),Assumptions!$C$27*(SUM(H5:H6)))</f>
        <v>2650072.4243718609</v>
      </c>
      <c r="I8" s="1">
        <f ca="1">IF(SUM(I5:I6)&gt;0,Assumptions!$C$26*SUM(I5:I6),Assumptions!$C$27*(SUM(I5:I6)))</f>
        <v>2852021.9621321457</v>
      </c>
      <c r="J8" s="1">
        <f ca="1">IF(SUM(J5:J6)&gt;0,Assumptions!$C$26*SUM(J5:J6),Assumptions!$C$27*(SUM(J5:J6)))</f>
        <v>3052516.6858546846</v>
      </c>
      <c r="K8" s="1">
        <f ca="1">IF(SUM(K5:K6)&gt;0,Assumptions!$C$26*SUM(K5:K6),Assumptions!$C$27*(SUM(K5:K6)))</f>
        <v>3260423.5498690181</v>
      </c>
      <c r="L8" s="1">
        <f ca="1">IF(SUM(L5:L6)&gt;0,Assumptions!$C$26*SUM(L5:L6),Assumptions!$C$27*(SUM(L5:L6)))</f>
        <v>3474148.7278988464</v>
      </c>
      <c r="M8" s="1">
        <f ca="1">IF(SUM(M5:M6)&gt;0,Assumptions!$C$26*SUM(M5:M6),Assumptions!$C$27*(SUM(M5:M6)))</f>
        <v>3691823.5087682842</v>
      </c>
      <c r="N8" s="1">
        <f ca="1">IF(SUM(N5:N6)&gt;0,Assumptions!$C$26*SUM(N5:N6),Assumptions!$C$27*(SUM(N5:N6)))</f>
        <v>3911276.2215612652</v>
      </c>
      <c r="O8" s="1">
        <f ca="1">IF(SUM(O5:O6)&gt;0,Assumptions!$C$26*SUM(O5:O6),Assumptions!$C$27*(SUM(O5:O6)))</f>
        <v>4130001.8073898726</v>
      </c>
      <c r="P8" s="1">
        <f ca="1">IF(SUM(P5:P6)&gt;0,Assumptions!$C$26*SUM(P5:P6),Assumptions!$C$27*(SUM(P5:P6)))</f>
        <v>4345128.8592566187</v>
      </c>
      <c r="Q8" s="1">
        <f ca="1">IF(SUM(Q5:Q6)&gt;0,Assumptions!$C$26*SUM(Q5:Q6),Assumptions!$C$27*(SUM(Q5:Q6)))</f>
        <v>4553383.9386938009</v>
      </c>
      <c r="R8" s="1">
        <f ca="1">IF(SUM(R5:R6)&gt;0,Assumptions!$C$26*SUM(R5:R6),Assumptions!$C$27*(SUM(R5:R6)))</f>
        <v>4751052.964172909</v>
      </c>
      <c r="S8" s="1">
        <f ca="1">IF(SUM(S5:S6)&gt;0,Assumptions!$C$26*SUM(S5:S6),Assumptions!$C$27*(SUM(S5:S6)))</f>
        <v>4933939.4516382869</v>
      </c>
      <c r="T8" s="1">
        <f ca="1">IF(SUM(T5:T6)&gt;0,Assumptions!$C$26*SUM(T5:T6),Assumptions!$C$27*(SUM(T5:T6)))</f>
        <v>5097319.3718673317</v>
      </c>
      <c r="U8" s="1">
        <f ca="1">IF(SUM(U5:U6)&gt;0,Assumptions!$C$26*SUM(U5:U6),Assumptions!$C$27*(SUM(U5:U6)))</f>
        <v>5235892.3726256983</v>
      </c>
      <c r="V8" s="1">
        <f ca="1">IF(SUM(V5:V6)&gt;0,Assumptions!$C$26*SUM(V5:V6),Assumptions!$C$27*(SUM(V5:V6)))</f>
        <v>5380514.0131465979</v>
      </c>
      <c r="W8" s="1">
        <f ca="1">IF(SUM(W5:W6)&gt;0,Assumptions!$C$26*SUM(W5:W6),Assumptions!$C$27*(SUM(W5:W6)))</f>
        <v>5563698.3836814296</v>
      </c>
      <c r="X8" s="1">
        <f ca="1">IF(SUM(X5:X6)&gt;0,Assumptions!$C$26*SUM(X5:X6),Assumptions!$C$27*(SUM(X5:X6)))</f>
        <v>5788470.8241055012</v>
      </c>
      <c r="Y8" s="1">
        <f ca="1">IF(SUM(Y5:Y6)&gt;0,Assumptions!$C$26*SUM(Y5:Y6),Assumptions!$C$27*(SUM(Y5:Y6)))</f>
        <v>6058025.7996301306</v>
      </c>
      <c r="Z8" s="1">
        <f ca="1">IF(SUM(Z5:Z6)&gt;0,Assumptions!$C$26*SUM(Z5:Z6),Assumptions!$C$27*(SUM(Z5:Z6)))</f>
        <v>6375734.9543381035</v>
      </c>
      <c r="AA8" s="1">
        <f ca="1">IF(SUM(AA5:AA6)&gt;0,Assumptions!$C$26*SUM(AA5:AA6),Assumptions!$C$27*(SUM(AA5:AA6)))</f>
        <v>6745155.5137969153</v>
      </c>
      <c r="AB8" s="1">
        <f ca="1">IF(SUM(AB5:AB6)&gt;0,Assumptions!$C$26*SUM(AB5:AB6),Assumptions!$C$27*(SUM(AB5:AB6)))</f>
        <v>7170039.0509502692</v>
      </c>
      <c r="AC8" s="1">
        <f ca="1">IF(SUM(AC5:AC6)&gt;0,Assumptions!$C$26*SUM(AC5:AC6),Assumptions!$C$27*(SUM(AC5:AC6)))</f>
        <v>7654340.6300388323</v>
      </c>
      <c r="AD8" s="1">
        <f ca="1">IF(SUM(AD5:AD6)&gt;0,Assumptions!$C$26*SUM(AD5:AD6),Assumptions!$C$27*(SUM(AD5:AD6)))</f>
        <v>8202228.3438722454</v>
      </c>
      <c r="AE8" s="1">
        <f ca="1">IF(SUM(AE5:AE6)&gt;0,Assumptions!$C$26*SUM(AE5:AE6),Assumptions!$C$27*(SUM(AE5:AE6)))</f>
        <v>8818093.2603666242</v>
      </c>
      <c r="AF8" s="1">
        <f ca="1">IF(SUM(AF5:AF6)&gt;0,Assumptions!$C$26*SUM(AF5:AF6),Assumptions!$C$27*(SUM(AF5:AF6)))</f>
        <v>9506559.7948759645</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topLeftCell="A16" workbookViewId="0">
      <selection sqref="A1:XFD1048576"/>
    </sheetView>
  </sheetViews>
  <sheetFormatPr defaultRowHeight="15.5" x14ac:dyDescent="0.35"/>
  <cols>
    <col min="1" max="1" width="107.9140625" style="63" customWidth="1"/>
    <col min="2" max="2" width="18.1640625" style="63" bestFit="1" customWidth="1"/>
    <col min="3" max="3" width="43.25"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row>
    <row r="5" spans="1:3" ht="18.5" x14ac:dyDescent="0.45">
      <c r="A5" s="89" t="s">
        <v>176</v>
      </c>
      <c r="B5" s="90"/>
    </row>
    <row r="6" spans="1:3" ht="18.5" x14ac:dyDescent="0.45">
      <c r="A6" s="90"/>
      <c r="B6" s="90"/>
    </row>
    <row r="7" spans="1:3" ht="18.5" x14ac:dyDescent="0.45">
      <c r="A7" s="90" t="s">
        <v>96</v>
      </c>
      <c r="B7" s="180">
        <f>Assumptions!C24</f>
        <v>5689000</v>
      </c>
      <c r="C7" s="179" t="str">
        <f>Assumptions!B24</f>
        <v>RFI Table F10; Lines F10.62 + F10.70</v>
      </c>
    </row>
    <row r="8" spans="1:3" ht="34" x14ac:dyDescent="0.45">
      <c r="A8" s="90" t="s">
        <v>173</v>
      </c>
      <c r="B8" s="181">
        <f>Assumptions!$C$133</f>
        <v>0.7</v>
      </c>
      <c r="C8" s="179" t="s">
        <v>197</v>
      </c>
    </row>
    <row r="9" spans="1:3" ht="18.5" x14ac:dyDescent="0.45">
      <c r="A9" s="90"/>
      <c r="B9" s="182"/>
      <c r="C9" s="179"/>
    </row>
    <row r="10" spans="1:3" ht="85" x14ac:dyDescent="0.45">
      <c r="A10" s="94" t="s">
        <v>102</v>
      </c>
      <c r="B10" s="183">
        <f>Assumptions!C135</f>
        <v>2460.1851851851852</v>
      </c>
      <c r="C10" s="179" t="s">
        <v>198</v>
      </c>
    </row>
    <row r="11" spans="1:3" ht="18.5" x14ac:dyDescent="0.45">
      <c r="A11" s="94"/>
      <c r="B11" s="184"/>
      <c r="C11" s="179"/>
    </row>
    <row r="12" spans="1:3" ht="18.5" x14ac:dyDescent="0.45">
      <c r="A12" s="94" t="s">
        <v>183</v>
      </c>
      <c r="B12" s="180">
        <f>(B7*B8)/B10</f>
        <v>1618.6992849077906</v>
      </c>
      <c r="C12" s="179"/>
    </row>
    <row r="13" spans="1:3" ht="18.5" x14ac:dyDescent="0.45">
      <c r="A13" s="96"/>
      <c r="B13" s="185"/>
      <c r="C13" s="179"/>
    </row>
    <row r="14" spans="1:3" ht="18.5" x14ac:dyDescent="0.45">
      <c r="A14" s="94" t="s">
        <v>103</v>
      </c>
      <c r="B14" s="186">
        <v>1</v>
      </c>
      <c r="C14" s="179"/>
    </row>
    <row r="15" spans="1:3" ht="18.5" x14ac:dyDescent="0.45">
      <c r="A15" s="96"/>
      <c r="B15" s="187"/>
      <c r="C15" s="179"/>
    </row>
    <row r="16" spans="1:3" ht="18.5" x14ac:dyDescent="0.45">
      <c r="A16" s="96" t="s">
        <v>178</v>
      </c>
      <c r="B16" s="188">
        <f>B12/B14</f>
        <v>1618.6992849077906</v>
      </c>
      <c r="C16" s="179"/>
    </row>
    <row r="17" spans="1:3" ht="18.5" x14ac:dyDescent="0.45">
      <c r="A17" s="94"/>
      <c r="B17" s="189"/>
      <c r="C17" s="179"/>
    </row>
    <row r="18" spans="1:3" ht="18.5" x14ac:dyDescent="0.45">
      <c r="A18" s="102" t="s">
        <v>177</v>
      </c>
      <c r="B18" s="189"/>
      <c r="C18" s="179"/>
    </row>
    <row r="19" spans="1:3" ht="18.5" x14ac:dyDescent="0.45">
      <c r="A19" s="94"/>
      <c r="B19" s="189"/>
      <c r="C19" s="179"/>
    </row>
    <row r="20" spans="1:3" ht="34" x14ac:dyDescent="0.45">
      <c r="A20" s="94" t="s">
        <v>65</v>
      </c>
      <c r="B20" s="180">
        <f>'Profit and Loss'!L5</f>
        <v>37464608.393390529</v>
      </c>
      <c r="C20" s="179" t="s">
        <v>199</v>
      </c>
    </row>
    <row r="21" spans="1:3" ht="34" x14ac:dyDescent="0.45">
      <c r="A21" s="94" t="str">
        <f>A8</f>
        <v>Assumed revenue from households</v>
      </c>
      <c r="B21" s="181">
        <f>B8</f>
        <v>0.7</v>
      </c>
      <c r="C21" s="179" t="s">
        <v>197</v>
      </c>
    </row>
    <row r="22" spans="1:3" ht="18.5" x14ac:dyDescent="0.45">
      <c r="A22" s="94"/>
      <c r="B22" s="184"/>
      <c r="C22" s="179"/>
    </row>
    <row r="23" spans="1:3" ht="34" x14ac:dyDescent="0.45">
      <c r="A23" s="94" t="s">
        <v>101</v>
      </c>
      <c r="B23" s="183">
        <f>Assumptions!M135</f>
        <v>2862.072992872239</v>
      </c>
      <c r="C23" s="179" t="s">
        <v>200</v>
      </c>
    </row>
    <row r="24" spans="1:3" ht="18.5" x14ac:dyDescent="0.45">
      <c r="A24" s="94"/>
      <c r="B24" s="184"/>
      <c r="C24" s="179"/>
    </row>
    <row r="25" spans="1:3" ht="18.5" x14ac:dyDescent="0.45">
      <c r="A25" s="94" t="s">
        <v>182</v>
      </c>
      <c r="B25" s="180">
        <f>(B20*B21)/B23</f>
        <v>9163.0178338166661</v>
      </c>
      <c r="C25" s="179"/>
    </row>
    <row r="26" spans="1:3" ht="18.5" x14ac:dyDescent="0.45">
      <c r="A26" s="94"/>
      <c r="B26" s="180"/>
      <c r="C26" s="179"/>
    </row>
    <row r="27" spans="1:3" ht="34" x14ac:dyDescent="0.45">
      <c r="A27" s="94" t="s">
        <v>103</v>
      </c>
      <c r="B27" s="186">
        <f>1.022^11</f>
        <v>1.2704566586717592</v>
      </c>
      <c r="C27" s="179" t="s">
        <v>201</v>
      </c>
    </row>
    <row r="28" spans="1:3" ht="18.5" x14ac:dyDescent="0.45">
      <c r="A28" s="96"/>
      <c r="B28" s="185"/>
      <c r="C28" s="179"/>
    </row>
    <row r="29" spans="1:3" ht="18.5" x14ac:dyDescent="0.45">
      <c r="A29" s="96" t="s">
        <v>179</v>
      </c>
      <c r="B29" s="180">
        <f>B25/B27</f>
        <v>7212.381289257396</v>
      </c>
      <c r="C29" s="179"/>
    </row>
    <row r="30" spans="1:3" ht="18.5" x14ac:dyDescent="0.45">
      <c r="A30" s="96"/>
      <c r="B30" s="185"/>
      <c r="C30" s="179"/>
    </row>
    <row r="31" spans="1:3" ht="18.5" x14ac:dyDescent="0.45">
      <c r="A31" s="102" t="s">
        <v>185</v>
      </c>
      <c r="B31" s="190"/>
      <c r="C31" s="179"/>
    </row>
    <row r="32" spans="1:3" ht="18.5" x14ac:dyDescent="0.45">
      <c r="A32" s="94"/>
      <c r="B32" s="180"/>
      <c r="C32" s="179"/>
    </row>
    <row r="33" spans="1:3" ht="34" x14ac:dyDescent="0.45">
      <c r="A33" s="94" t="s">
        <v>66</v>
      </c>
      <c r="B33" s="180">
        <f>'Profit and Loss'!AF5</f>
        <v>101204543.47582552</v>
      </c>
      <c r="C33" s="179" t="s">
        <v>199</v>
      </c>
    </row>
    <row r="34" spans="1:3" ht="34" x14ac:dyDescent="0.45">
      <c r="A34" s="94" t="str">
        <f>A21</f>
        <v>Assumed revenue from households</v>
      </c>
      <c r="B34" s="181">
        <f>B21</f>
        <v>0.7</v>
      </c>
      <c r="C34" s="179" t="s">
        <v>197</v>
      </c>
    </row>
    <row r="35" spans="1:3" ht="18.5" x14ac:dyDescent="0.45">
      <c r="A35" s="94"/>
      <c r="B35" s="184"/>
      <c r="C35" s="179"/>
    </row>
    <row r="36" spans="1:3" ht="34" x14ac:dyDescent="0.45">
      <c r="A36" s="94" t="s">
        <v>100</v>
      </c>
      <c r="B36" s="183">
        <f>Assumptions!AG135</f>
        <v>3873.526388304299</v>
      </c>
      <c r="C36" s="179" t="s">
        <v>200</v>
      </c>
    </row>
    <row r="37" spans="1:3" ht="18.5" x14ac:dyDescent="0.45">
      <c r="A37" s="94"/>
      <c r="B37" s="184"/>
      <c r="C37" s="179"/>
    </row>
    <row r="38" spans="1:3" ht="18.5" x14ac:dyDescent="0.45">
      <c r="A38" s="94" t="s">
        <v>181</v>
      </c>
      <c r="B38" s="180">
        <f>(B33*B34)/B36</f>
        <v>18289.066171584967</v>
      </c>
      <c r="C38" s="179"/>
    </row>
    <row r="39" spans="1:3" ht="18.5" x14ac:dyDescent="0.45">
      <c r="A39" s="94"/>
      <c r="B39" s="184"/>
      <c r="C39" s="179"/>
    </row>
    <row r="40" spans="1:3" ht="34" x14ac:dyDescent="0.45">
      <c r="A40" s="94" t="s">
        <v>103</v>
      </c>
      <c r="B40" s="186">
        <f>1.022^31</f>
        <v>1.9632597808456462</v>
      </c>
      <c r="C40" s="179" t="s">
        <v>201</v>
      </c>
    </row>
    <row r="41" spans="1:3" ht="18.5" x14ac:dyDescent="0.45">
      <c r="A41" s="96"/>
      <c r="B41" s="185"/>
      <c r="C41" s="191"/>
    </row>
    <row r="42" spans="1:3" ht="18.5" x14ac:dyDescent="0.45">
      <c r="A42" s="96" t="s">
        <v>180</v>
      </c>
      <c r="B42" s="180">
        <f>B38/B40</f>
        <v>9315.6628328153347</v>
      </c>
      <c r="C42" s="19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90" zoomScaleNormal="9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160</v>
      </c>
    </row>
    <row r="2" spans="1:33" ht="26.5" thickBot="1" x14ac:dyDescent="0.4">
      <c r="A2" s="111"/>
      <c r="B2" s="111"/>
      <c r="D2" s="112"/>
    </row>
    <row r="3" spans="1:33" s="114" customFormat="1" ht="21.5" thickBot="1" x14ac:dyDescent="0.4">
      <c r="A3" s="84"/>
      <c r="B3" s="84"/>
      <c r="C3" s="113"/>
      <c r="D3" s="192" t="s">
        <v>27</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20" customFormat="1" ht="16" thickBot="1" x14ac:dyDescent="0.4">
      <c r="A4" s="115" t="s">
        <v>25</v>
      </c>
      <c r="B4" s="115" t="s">
        <v>195</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202</v>
      </c>
      <c r="C13" s="127">
        <v>1.5246008397444832E-2</v>
      </c>
      <c r="D13" s="128">
        <f t="shared" ref="D13:AG13" si="3">(1+$C$13)^D8</f>
        <v>1.0152460083974448</v>
      </c>
      <c r="E13" s="128">
        <f t="shared" si="3"/>
        <v>1.0307244575669445</v>
      </c>
      <c r="F13" s="128">
        <f t="shared" si="3"/>
        <v>1.046438891302462</v>
      </c>
      <c r="G13" s="128">
        <f t="shared" si="3"/>
        <v>1.062392907426672</v>
      </c>
      <c r="H13" s="128">
        <f t="shared" si="3"/>
        <v>1.0785901586146849</v>
      </c>
      <c r="I13" s="128">
        <f t="shared" si="3"/>
        <v>1.0950343532303257</v>
      </c>
      <c r="J13" s="128">
        <f t="shared" si="3"/>
        <v>1.1117292561751659</v>
      </c>
      <c r="K13" s="128">
        <f t="shared" si="3"/>
        <v>1.1286786897504972</v>
      </c>
      <c r="L13" s="128">
        <f t="shared" si="3"/>
        <v>1.1458865345324503</v>
      </c>
      <c r="M13" s="128">
        <f t="shared" si="3"/>
        <v>1.1633567302604508</v>
      </c>
      <c r="N13" s="128">
        <f t="shared" si="3"/>
        <v>1.1810932767392259</v>
      </c>
      <c r="O13" s="128">
        <f t="shared" si="3"/>
        <v>1.1991002347545574</v>
      </c>
      <c r="P13" s="128">
        <f t="shared" si="3"/>
        <v>1.2173817270030036</v>
      </c>
      <c r="Q13" s="128">
        <f t="shared" si="3"/>
        <v>1.2359419390357873</v>
      </c>
      <c r="R13" s="128">
        <f t="shared" si="3"/>
        <v>1.2547851202170812</v>
      </c>
      <c r="S13" s="128">
        <f t="shared" si="3"/>
        <v>1.2739155846968993</v>
      </c>
      <c r="T13" s="128">
        <f t="shared" si="3"/>
        <v>1.2933377123988241</v>
      </c>
      <c r="U13" s="128">
        <f t="shared" si="3"/>
        <v>1.3130559500227885</v>
      </c>
      <c r="V13" s="128">
        <f t="shared" si="3"/>
        <v>1.3330748120631508</v>
      </c>
      <c r="W13" s="128">
        <f t="shared" si="3"/>
        <v>1.3533988818422877</v>
      </c>
      <c r="X13" s="128">
        <f t="shared" si="3"/>
        <v>1.3740328125599477</v>
      </c>
      <c r="Y13" s="128">
        <f t="shared" si="3"/>
        <v>1.3949813283586012</v>
      </c>
      <c r="Z13" s="128">
        <f t="shared" si="3"/>
        <v>1.4162492254050354</v>
      </c>
      <c r="AA13" s="128">
        <f t="shared" si="3"/>
        <v>1.4378413729884347</v>
      </c>
      <c r="AB13" s="128">
        <f t="shared" si="3"/>
        <v>1.4597627146352099</v>
      </c>
      <c r="AC13" s="128">
        <f t="shared" si="3"/>
        <v>1.482018269240815</v>
      </c>
      <c r="AD13" s="128">
        <f t="shared" si="3"/>
        <v>1.5046131322188276</v>
      </c>
      <c r="AE13" s="128">
        <f t="shared" si="3"/>
        <v>1.5275524766675412</v>
      </c>
      <c r="AF13" s="128">
        <f t="shared" si="3"/>
        <v>1.5508415545543524</v>
      </c>
      <c r="AG13" s="128">
        <f t="shared" si="3"/>
        <v>1.5744856979181945</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169</v>
      </c>
      <c r="C17" s="136">
        <f>AVERAGE(C49:C50)</f>
        <v>164537750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82268875</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15616000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158</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5689000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194</v>
      </c>
      <c r="C25" s="136">
        <v>3234000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159</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131630199.99999999</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197445300</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388775.5755839115</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824761.36719780311</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606768.47139085736</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1059693.7007910172</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2115033.6447406751</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1587363.6727658461</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2412125.0399636491</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140</v>
      </c>
      <c r="B77" s="86" t="s">
        <v>175</v>
      </c>
      <c r="C77" s="87">
        <v>4505000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1640464933.1434958</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1112131251.7613363</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86</v>
      </c>
      <c r="C82" s="87">
        <f>C79+$C$77</f>
        <v>1644969933.1434958</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86</v>
      </c>
      <c r="C83" s="87">
        <f>C80+$C$77</f>
        <v>1116636251.7613363</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203</v>
      </c>
      <c r="C85" s="150">
        <v>7210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133</v>
      </c>
      <c r="C86" s="150">
        <v>6075</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6642.5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86</v>
      </c>
      <c r="C89" s="150">
        <f>C82/$C$87</f>
        <v>247643.19655905094</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86</v>
      </c>
      <c r="C90" s="150">
        <f>C83/$C$87</f>
        <v>168104.81772846615</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86</v>
      </c>
      <c r="C94" s="87">
        <f>IF(C89&lt;$C$92,C89*$C$87,$C$92*$C$87)</f>
        <v>464975000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86</v>
      </c>
      <c r="C95" s="87">
        <f>IF(C90&lt;$C$92,C90*$C$87,$C$92*$C$87)</f>
        <v>464975000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86</v>
      </c>
      <c r="C96" s="87">
        <f>AVERAGE(C94:C95)</f>
        <v>464975000</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464975000</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15499166.666666666</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168</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168</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2412125.0399636491</v>
      </c>
      <c r="E111" s="149">
        <f t="shared" si="9"/>
        <v>2412125.0399636491</v>
      </c>
      <c r="F111" s="149">
        <f t="shared" si="9"/>
        <v>2412125.0399636491</v>
      </c>
      <c r="G111" s="149">
        <f t="shared" si="9"/>
        <v>2412125.0399636491</v>
      </c>
      <c r="H111" s="149">
        <f t="shared" si="9"/>
        <v>2412125.0399636491</v>
      </c>
      <c r="I111" s="149">
        <f t="shared" si="9"/>
        <v>2412125.0399636491</v>
      </c>
      <c r="J111" s="149">
        <f t="shared" si="9"/>
        <v>2412125.0399636491</v>
      </c>
      <c r="K111" s="149">
        <f t="shared" si="9"/>
        <v>2412125.0399636491</v>
      </c>
      <c r="L111" s="149">
        <f t="shared" si="9"/>
        <v>2412125.0399636491</v>
      </c>
      <c r="M111" s="149">
        <f t="shared" si="9"/>
        <v>2412125.0399636491</v>
      </c>
      <c r="N111" s="149">
        <f t="shared" si="9"/>
        <v>2412125.0399636491</v>
      </c>
      <c r="O111" s="149">
        <f t="shared" si="9"/>
        <v>2412125.0399636491</v>
      </c>
      <c r="P111" s="149">
        <f t="shared" si="9"/>
        <v>2412125.0399636491</v>
      </c>
      <c r="Q111" s="149">
        <f t="shared" si="9"/>
        <v>2412125.0399636491</v>
      </c>
      <c r="R111" s="149">
        <f t="shared" si="9"/>
        <v>2412125.0399636491</v>
      </c>
      <c r="S111" s="149">
        <f t="shared" si="9"/>
        <v>2412125.0399636491</v>
      </c>
      <c r="T111" s="149">
        <f t="shared" si="9"/>
        <v>2412125.0399636491</v>
      </c>
      <c r="U111" s="149">
        <f t="shared" si="9"/>
        <v>2412125.0399636491</v>
      </c>
      <c r="V111" s="149">
        <f t="shared" si="9"/>
        <v>2412125.0399636491</v>
      </c>
      <c r="W111" s="149">
        <f t="shared" si="9"/>
        <v>2412125.0399636491</v>
      </c>
      <c r="X111" s="149">
        <f t="shared" si="9"/>
        <v>2412125.0399636491</v>
      </c>
      <c r="Y111" s="149">
        <f t="shared" si="9"/>
        <v>2412125.0399636491</v>
      </c>
      <c r="Z111" s="149">
        <f t="shared" si="9"/>
        <v>2412125.0399636491</v>
      </c>
      <c r="AA111" s="149">
        <f t="shared" si="9"/>
        <v>2412125.0399636491</v>
      </c>
      <c r="AB111" s="149">
        <f t="shared" si="9"/>
        <v>2412125.0399636491</v>
      </c>
      <c r="AC111" s="149">
        <f t="shared" si="9"/>
        <v>2412125.0399636491</v>
      </c>
      <c r="AD111" s="149">
        <f t="shared" si="9"/>
        <v>2412125.0399636491</v>
      </c>
      <c r="AE111" s="149">
        <f t="shared" si="9"/>
        <v>2412125.0399636491</v>
      </c>
      <c r="AF111" s="149">
        <f t="shared" si="9"/>
        <v>2412125.0399636491</v>
      </c>
      <c r="AG111" s="149">
        <f t="shared" si="9"/>
        <v>2412125.0399636491</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464975000.00000018</v>
      </c>
      <c r="D113" s="149">
        <f t="shared" ref="D113:AG113" si="10">$C$102</f>
        <v>15499166.666666666</v>
      </c>
      <c r="E113" s="149">
        <f t="shared" si="10"/>
        <v>15499166.666666666</v>
      </c>
      <c r="F113" s="149">
        <f t="shared" si="10"/>
        <v>15499166.666666666</v>
      </c>
      <c r="G113" s="149">
        <f t="shared" si="10"/>
        <v>15499166.666666666</v>
      </c>
      <c r="H113" s="149">
        <f t="shared" si="10"/>
        <v>15499166.666666666</v>
      </c>
      <c r="I113" s="149">
        <f t="shared" si="10"/>
        <v>15499166.666666666</v>
      </c>
      <c r="J113" s="149">
        <f t="shared" si="10"/>
        <v>15499166.666666666</v>
      </c>
      <c r="K113" s="149">
        <f t="shared" si="10"/>
        <v>15499166.666666666</v>
      </c>
      <c r="L113" s="149">
        <f t="shared" si="10"/>
        <v>15499166.666666666</v>
      </c>
      <c r="M113" s="149">
        <f t="shared" si="10"/>
        <v>15499166.666666666</v>
      </c>
      <c r="N113" s="149">
        <f t="shared" si="10"/>
        <v>15499166.666666666</v>
      </c>
      <c r="O113" s="149">
        <f t="shared" si="10"/>
        <v>15499166.666666666</v>
      </c>
      <c r="P113" s="149">
        <f t="shared" si="10"/>
        <v>15499166.666666666</v>
      </c>
      <c r="Q113" s="149">
        <f t="shared" si="10"/>
        <v>15499166.666666666</v>
      </c>
      <c r="R113" s="149">
        <f t="shared" si="10"/>
        <v>15499166.666666666</v>
      </c>
      <c r="S113" s="149">
        <f t="shared" si="10"/>
        <v>15499166.666666666</v>
      </c>
      <c r="T113" s="149">
        <f t="shared" si="10"/>
        <v>15499166.666666666</v>
      </c>
      <c r="U113" s="149">
        <f t="shared" si="10"/>
        <v>15499166.666666666</v>
      </c>
      <c r="V113" s="149">
        <f t="shared" si="10"/>
        <v>15499166.666666666</v>
      </c>
      <c r="W113" s="149">
        <f t="shared" si="10"/>
        <v>15499166.666666666</v>
      </c>
      <c r="X113" s="149">
        <f t="shared" si="10"/>
        <v>15499166.666666666</v>
      </c>
      <c r="Y113" s="149">
        <f t="shared" si="10"/>
        <v>15499166.666666666</v>
      </c>
      <c r="Z113" s="149">
        <f t="shared" si="10"/>
        <v>15499166.666666666</v>
      </c>
      <c r="AA113" s="149">
        <f t="shared" si="10"/>
        <v>15499166.666666666</v>
      </c>
      <c r="AB113" s="149">
        <f t="shared" si="10"/>
        <v>15499166.666666666</v>
      </c>
      <c r="AC113" s="149">
        <f t="shared" si="10"/>
        <v>15499166.666666666</v>
      </c>
      <c r="AD113" s="149">
        <f t="shared" si="10"/>
        <v>15499166.666666666</v>
      </c>
      <c r="AE113" s="149">
        <f t="shared" si="10"/>
        <v>15499166.666666666</v>
      </c>
      <c r="AF113" s="149">
        <f t="shared" si="10"/>
        <v>15499166.666666666</v>
      </c>
      <c r="AG113" s="149">
        <f t="shared" si="10"/>
        <v>15499166.666666666</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15499166.666666666</v>
      </c>
      <c r="E118" s="149">
        <f t="shared" ref="E118:AG118" si="13">E113+E115+E116</f>
        <v>15499166.666666666</v>
      </c>
      <c r="F118" s="149">
        <f>F113+F115+F116</f>
        <v>15499166.666666666</v>
      </c>
      <c r="G118" s="149">
        <f t="shared" si="13"/>
        <v>15499166.666666666</v>
      </c>
      <c r="H118" s="149">
        <f t="shared" si="13"/>
        <v>15499166.666666666</v>
      </c>
      <c r="I118" s="149">
        <f t="shared" si="13"/>
        <v>15499166.666666666</v>
      </c>
      <c r="J118" s="149">
        <f t="shared" si="13"/>
        <v>15499166.666666666</v>
      </c>
      <c r="K118" s="149">
        <f t="shared" si="13"/>
        <v>15499166.666666666</v>
      </c>
      <c r="L118" s="149">
        <f t="shared" si="13"/>
        <v>15499166.666666666</v>
      </c>
      <c r="M118" s="149">
        <f t="shared" si="13"/>
        <v>15499166.666666666</v>
      </c>
      <c r="N118" s="149">
        <f t="shared" si="13"/>
        <v>15499166.666666666</v>
      </c>
      <c r="O118" s="149">
        <f t="shared" si="13"/>
        <v>15499166.666666666</v>
      </c>
      <c r="P118" s="149">
        <f t="shared" si="13"/>
        <v>15499166.666666666</v>
      </c>
      <c r="Q118" s="149">
        <f t="shared" si="13"/>
        <v>15499166.666666666</v>
      </c>
      <c r="R118" s="149">
        <f t="shared" si="13"/>
        <v>15499166.666666666</v>
      </c>
      <c r="S118" s="149">
        <f t="shared" si="13"/>
        <v>15499166.666666666</v>
      </c>
      <c r="T118" s="149">
        <f t="shared" si="13"/>
        <v>15499166.666666666</v>
      </c>
      <c r="U118" s="149">
        <f t="shared" si="13"/>
        <v>15499166.666666666</v>
      </c>
      <c r="V118" s="149">
        <f t="shared" si="13"/>
        <v>15499166.666666666</v>
      </c>
      <c r="W118" s="149">
        <f t="shared" si="13"/>
        <v>15499166.666666666</v>
      </c>
      <c r="X118" s="149">
        <f t="shared" si="13"/>
        <v>15499166.666666666</v>
      </c>
      <c r="Y118" s="149">
        <f t="shared" si="13"/>
        <v>15499166.666666666</v>
      </c>
      <c r="Z118" s="149">
        <f t="shared" si="13"/>
        <v>15499166.666666666</v>
      </c>
      <c r="AA118" s="149">
        <f t="shared" si="13"/>
        <v>15499166.666666666</v>
      </c>
      <c r="AB118" s="149">
        <f t="shared" si="13"/>
        <v>15499166.666666666</v>
      </c>
      <c r="AC118" s="149">
        <f t="shared" si="13"/>
        <v>15499166.666666666</v>
      </c>
      <c r="AD118" s="149">
        <f t="shared" si="13"/>
        <v>15499166.666666666</v>
      </c>
      <c r="AE118" s="149">
        <f t="shared" si="13"/>
        <v>15499166.666666666</v>
      </c>
      <c r="AF118" s="149">
        <f t="shared" si="13"/>
        <v>15499166.666666666</v>
      </c>
      <c r="AG118" s="149">
        <f t="shared" si="13"/>
        <v>15499166.666666666</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371980</v>
      </c>
      <c r="E120" s="149">
        <f>(SUM($D$118:E118)*$C$104/$C$106)+(SUM($D$118:E118)*$C$105/$C$107)</f>
        <v>743960</v>
      </c>
      <c r="F120" s="149">
        <f>(SUM($D$118:F118)*$C$104/$C$106)+(SUM($D$118:F118)*$C$105/$C$107)</f>
        <v>1115940</v>
      </c>
      <c r="G120" s="149">
        <f>(SUM($D$118:G118)*$C$104/$C$106)+(SUM($D$118:G118)*$C$105/$C$107)</f>
        <v>1487920</v>
      </c>
      <c r="H120" s="149">
        <f>(SUM($D$118:H118)*$C$104/$C$106)+(SUM($D$118:H118)*$C$105/$C$107)</f>
        <v>1859899.9999999998</v>
      </c>
      <c r="I120" s="149">
        <f>(SUM($D$118:I118)*$C$104/$C$106)+(SUM($D$118:I118)*$C$105/$C$107)</f>
        <v>2231880</v>
      </c>
      <c r="J120" s="149">
        <f>(SUM($D$118:J118)*$C$104/$C$106)+(SUM($D$118:J118)*$C$105/$C$107)</f>
        <v>2603860</v>
      </c>
      <c r="K120" s="149">
        <f>(SUM($D$118:K118)*$C$104/$C$106)+(SUM($D$118:K118)*$C$105/$C$107)</f>
        <v>2975840</v>
      </c>
      <c r="L120" s="149">
        <f>(SUM($D$118:L118)*$C$104/$C$106)+(SUM($D$118:L118)*$C$105/$C$107)</f>
        <v>3347820</v>
      </c>
      <c r="M120" s="149">
        <f>(SUM($D$118:M118)*$C$104/$C$106)+(SUM($D$118:M118)*$C$105/$C$107)</f>
        <v>3719799.9999999995</v>
      </c>
      <c r="N120" s="149">
        <f>(SUM($D$118:N118)*$C$104/$C$106)+(SUM($D$118:N118)*$C$105/$C$107)</f>
        <v>4091779.9999999991</v>
      </c>
      <c r="O120" s="149">
        <f>(SUM($D$118:O118)*$C$104/$C$106)+(SUM($D$118:O118)*$C$105/$C$107)</f>
        <v>4463759.9999999991</v>
      </c>
      <c r="P120" s="149">
        <f>(SUM($D$118:P118)*$C$104/$C$106)+(SUM($D$118:P118)*$C$105/$C$107)</f>
        <v>4835739.9999999991</v>
      </c>
      <c r="Q120" s="149">
        <f>(SUM($D$118:Q118)*$C$104/$C$106)+(SUM($D$118:Q118)*$C$105/$C$107)</f>
        <v>5207719.9999999991</v>
      </c>
      <c r="R120" s="149">
        <f>(SUM($D$118:R118)*$C$104/$C$106)+(SUM($D$118:R118)*$C$105/$C$107)</f>
        <v>5579699.9999999991</v>
      </c>
      <c r="S120" s="149">
        <f>(SUM($D$118:S118)*$C$104/$C$106)+(SUM($D$118:S118)*$C$105/$C$107)</f>
        <v>5951679.9999999972</v>
      </c>
      <c r="T120" s="149">
        <f>(SUM($D$118:T118)*$C$104/$C$106)+(SUM($D$118:T118)*$C$105/$C$107)</f>
        <v>6323659.9999999981</v>
      </c>
      <c r="U120" s="149">
        <f>(SUM($D$118:U118)*$C$104/$C$106)+(SUM($D$118:U118)*$C$105/$C$107)</f>
        <v>6695639.9999999991</v>
      </c>
      <c r="V120" s="149">
        <f>(SUM($D$118:V118)*$C$104/$C$106)+(SUM($D$118:V118)*$C$105/$C$107)</f>
        <v>7067619.9999999981</v>
      </c>
      <c r="W120" s="149">
        <f>(SUM($D$118:W118)*$C$104/$C$106)+(SUM($D$118:W118)*$C$105/$C$107)</f>
        <v>7439599.9999999991</v>
      </c>
      <c r="X120" s="149">
        <f>(SUM($D$118:X118)*$C$104/$C$106)+(SUM($D$118:X118)*$C$105/$C$107)</f>
        <v>7811580</v>
      </c>
      <c r="Y120" s="149">
        <f>(SUM($D$118:Y118)*$C$104/$C$106)+(SUM($D$118:Y118)*$C$105/$C$107)</f>
        <v>8183560</v>
      </c>
      <c r="Z120" s="149">
        <f>(SUM($D$118:Z118)*$C$104/$C$106)+(SUM($D$118:Z118)*$C$105/$C$107)</f>
        <v>8555540.0000000019</v>
      </c>
      <c r="AA120" s="149">
        <f>(SUM($D$118:AA118)*$C$104/$C$106)+(SUM($D$118:AA118)*$C$105/$C$107)</f>
        <v>8927520.0000000019</v>
      </c>
      <c r="AB120" s="149">
        <f>(SUM($D$118:AB118)*$C$104/$C$106)+(SUM($D$118:AB118)*$C$105/$C$107)</f>
        <v>9299500.0000000019</v>
      </c>
      <c r="AC120" s="149">
        <f>(SUM($D$118:AC118)*$C$104/$C$106)+(SUM($D$118:AC118)*$C$105/$C$107)</f>
        <v>9671480.0000000019</v>
      </c>
      <c r="AD120" s="149">
        <f>(SUM($D$118:AD118)*$C$104/$C$106)+(SUM($D$118:AD118)*$C$105/$C$107)</f>
        <v>10043460.000000002</v>
      </c>
      <c r="AE120" s="149">
        <f>(SUM($D$118:AE118)*$C$104/$C$106)+(SUM($D$118:AE118)*$C$105/$C$107)</f>
        <v>10415440.000000004</v>
      </c>
      <c r="AF120" s="149">
        <f>(SUM($D$118:AF118)*$C$104/$C$106)+(SUM($D$118:AF118)*$C$105/$C$107)</f>
        <v>10787420.000000002</v>
      </c>
      <c r="AG120" s="149">
        <f>(SUM($D$118:AG118)*$C$104/$C$106)+(SUM($D$118:AG118)*$C$105/$C$107)</f>
        <v>11159400.000000004</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464974.99999999994</v>
      </c>
      <c r="E122" s="72">
        <f>(SUM($D$118:E118)*$C$109)</f>
        <v>929949.99999999988</v>
      </c>
      <c r="F122" s="72">
        <f>(SUM($D$118:F118)*$C$109)</f>
        <v>1394925</v>
      </c>
      <c r="G122" s="72">
        <f>(SUM($D$118:G118)*$C$109)</f>
        <v>1859899.9999999998</v>
      </c>
      <c r="H122" s="72">
        <f>(SUM($D$118:H118)*$C$109)</f>
        <v>2324874.9999999995</v>
      </c>
      <c r="I122" s="72">
        <f>(SUM($D$118:I118)*$C$109)</f>
        <v>2789850</v>
      </c>
      <c r="J122" s="72">
        <f>(SUM($D$118:J118)*$C$109)</f>
        <v>3254825</v>
      </c>
      <c r="K122" s="72">
        <f>(SUM($D$118:K118)*$C$109)</f>
        <v>3719800</v>
      </c>
      <c r="L122" s="72">
        <f>(SUM($D$118:L118)*$C$109)</f>
        <v>4184775</v>
      </c>
      <c r="M122" s="72">
        <f>(SUM($D$118:M118)*$C$109)</f>
        <v>4649749.9999999991</v>
      </c>
      <c r="N122" s="72">
        <f>(SUM($D$118:N118)*$C$109)</f>
        <v>5114724.9999999991</v>
      </c>
      <c r="O122" s="72">
        <f>(SUM($D$118:O118)*$C$109)</f>
        <v>5579699.9999999991</v>
      </c>
      <c r="P122" s="72">
        <f>(SUM($D$118:P118)*$C$109)</f>
        <v>6044674.9999999981</v>
      </c>
      <c r="Q122" s="72">
        <f>(SUM($D$118:Q118)*$C$109)</f>
        <v>6509649.9999999981</v>
      </c>
      <c r="R122" s="72">
        <f>(SUM($D$118:R118)*$C$109)</f>
        <v>6974624.9999999981</v>
      </c>
      <c r="S122" s="72">
        <f>(SUM($D$118:S118)*$C$109)</f>
        <v>7439599.9999999972</v>
      </c>
      <c r="T122" s="72">
        <f>(SUM($D$118:T118)*$C$109)</f>
        <v>7904574.9999999972</v>
      </c>
      <c r="U122" s="72">
        <f>(SUM($D$118:U118)*$C$109)</f>
        <v>8369549.9999999981</v>
      </c>
      <c r="V122" s="72">
        <f>(SUM($D$118:V118)*$C$109)</f>
        <v>8834524.9999999981</v>
      </c>
      <c r="W122" s="72">
        <f>(SUM($D$118:W118)*$C$109)</f>
        <v>9299499.9999999981</v>
      </c>
      <c r="X122" s="72">
        <f>(SUM($D$118:X118)*$C$109)</f>
        <v>9764475</v>
      </c>
      <c r="Y122" s="72">
        <f>(SUM($D$118:Y118)*$C$109)</f>
        <v>10229450</v>
      </c>
      <c r="Z122" s="72">
        <f>(SUM($D$118:Z118)*$C$109)</f>
        <v>10694425</v>
      </c>
      <c r="AA122" s="72">
        <f>(SUM($D$118:AA118)*$C$109)</f>
        <v>11159400.000000002</v>
      </c>
      <c r="AB122" s="72">
        <f>(SUM($D$118:AB118)*$C$109)</f>
        <v>11624375.000000002</v>
      </c>
      <c r="AC122" s="72">
        <f>(SUM($D$118:AC118)*$C$109)</f>
        <v>12089350.000000002</v>
      </c>
      <c r="AD122" s="72">
        <f>(SUM($D$118:AD118)*$C$109)</f>
        <v>12554325.000000004</v>
      </c>
      <c r="AE122" s="72">
        <f>(SUM($D$118:AE118)*$C$109)</f>
        <v>13019300.000000004</v>
      </c>
      <c r="AF122" s="72">
        <f>(SUM($D$118:AF118)*$C$109)</f>
        <v>13484275.000000004</v>
      </c>
      <c r="AG122" s="72">
        <f>(SUM($D$118:AG118)*$C$109)</f>
        <v>13949250.000000006</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203</v>
      </c>
      <c r="C126" s="126">
        <v>7210</v>
      </c>
      <c r="D126" s="140"/>
    </row>
    <row r="127" spans="1:33" x14ac:dyDescent="0.35">
      <c r="A127" s="77" t="s">
        <v>150</v>
      </c>
      <c r="B127" s="77" t="s">
        <v>133</v>
      </c>
      <c r="C127" s="126">
        <v>6075</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6642.5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2460.1851851851852</v>
      </c>
      <c r="D135" s="157">
        <f t="shared" ref="D135:AG135" si="14">$C$135*D13</f>
        <v>2497.6931891777881</v>
      </c>
      <c r="E135" s="157">
        <f t="shared" si="14"/>
        <v>2535.7730405142329</v>
      </c>
      <c r="F135" s="157">
        <f t="shared" si="14"/>
        <v>2574.4334575839275</v>
      </c>
      <c r="G135" s="157">
        <f t="shared" si="14"/>
        <v>2613.6832916969142</v>
      </c>
      <c r="H135" s="157">
        <f t="shared" si="14"/>
        <v>2653.5315291103866</v>
      </c>
      <c r="I135" s="157">
        <f t="shared" si="14"/>
        <v>2693.9872930860884</v>
      </c>
      <c r="J135" s="157">
        <f t="shared" si="14"/>
        <v>2735.059845979089</v>
      </c>
      <c r="K135" s="157">
        <f t="shared" si="14"/>
        <v>2776.7585913583994</v>
      </c>
      <c r="L135" s="157">
        <f t="shared" si="14"/>
        <v>2819.0930761599261</v>
      </c>
      <c r="M135" s="157">
        <f t="shared" si="14"/>
        <v>2862.072992872239</v>
      </c>
      <c r="N135" s="157">
        <f t="shared" si="14"/>
        <v>2905.7081817556696</v>
      </c>
      <c r="O135" s="157">
        <f t="shared" si="14"/>
        <v>2950.0086330952399</v>
      </c>
      <c r="P135" s="157">
        <f t="shared" si="14"/>
        <v>2994.9844894879452</v>
      </c>
      <c r="Q135" s="157">
        <f t="shared" si="14"/>
        <v>3040.6460481648951</v>
      </c>
      <c r="R135" s="157">
        <f t="shared" si="14"/>
        <v>3087.0037633488751</v>
      </c>
      <c r="S135" s="157">
        <f t="shared" si="14"/>
        <v>3134.0682486478345</v>
      </c>
      <c r="T135" s="157">
        <f t="shared" si="14"/>
        <v>3181.850279484885</v>
      </c>
      <c r="U135" s="157">
        <f t="shared" si="14"/>
        <v>3230.3607955653233</v>
      </c>
      <c r="V135" s="157">
        <f t="shared" si="14"/>
        <v>3279.6109033812886</v>
      </c>
      <c r="W135" s="157">
        <f t="shared" si="14"/>
        <v>3329.6118787545911</v>
      </c>
      <c r="X135" s="157">
        <f t="shared" si="14"/>
        <v>3380.3751694183156</v>
      </c>
      <c r="Y135" s="157">
        <f t="shared" si="14"/>
        <v>3431.9123976377809</v>
      </c>
      <c r="Z135" s="157">
        <f t="shared" si="14"/>
        <v>3484.2353628714623</v>
      </c>
      <c r="AA135" s="157">
        <f t="shared" si="14"/>
        <v>3537.3560444724731</v>
      </c>
      <c r="AB135" s="157">
        <f t="shared" si="14"/>
        <v>3591.2866044312527</v>
      </c>
      <c r="AC135" s="157">
        <f t="shared" si="14"/>
        <v>3646.0393901600423</v>
      </c>
      <c r="AD135" s="157">
        <f t="shared" si="14"/>
        <v>3701.6269373198379</v>
      </c>
      <c r="AE135" s="157">
        <f t="shared" si="14"/>
        <v>3758.0619726904233</v>
      </c>
      <c r="AF135" s="157">
        <f t="shared" si="14"/>
        <v>3815.3574170841798</v>
      </c>
      <c r="AG135" s="157">
        <f t="shared" si="14"/>
        <v>3873.526388304299</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90" zoomScaleNormal="9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0.5</v>
      </c>
      <c r="F4" s="65">
        <v>0.42</v>
      </c>
      <c r="G4" s="65">
        <v>0.4</v>
      </c>
      <c r="H4" s="65">
        <v>0.21</v>
      </c>
      <c r="I4" s="65">
        <v>0.13</v>
      </c>
      <c r="J4" s="65">
        <v>0.1</v>
      </c>
      <c r="K4" s="65">
        <v>0.08</v>
      </c>
      <c r="L4" s="65">
        <v>0.06</v>
      </c>
      <c r="M4" s="65">
        <v>0.05</v>
      </c>
      <c r="N4" s="65">
        <v>0.05</v>
      </c>
      <c r="O4" s="65">
        <v>0.05</v>
      </c>
      <c r="P4" s="65">
        <v>0.05</v>
      </c>
      <c r="Q4" s="65">
        <v>0.05</v>
      </c>
      <c r="R4" s="65">
        <v>0.05</v>
      </c>
      <c r="S4" s="65">
        <v>0.05</v>
      </c>
      <c r="T4" s="65">
        <v>0.05</v>
      </c>
      <c r="U4" s="65">
        <v>0.05</v>
      </c>
      <c r="V4" s="65">
        <v>0.05</v>
      </c>
      <c r="W4" s="65">
        <v>0.05</v>
      </c>
      <c r="X4" s="65">
        <v>3.5000000000000003E-2</v>
      </c>
      <c r="Y4" s="65">
        <v>2.1999999999999999E-2</v>
      </c>
      <c r="Z4" s="65">
        <v>2.1999999999999999E-2</v>
      </c>
      <c r="AA4" s="65">
        <v>2.1999999999999999E-2</v>
      </c>
      <c r="AB4" s="65">
        <v>2.1999999999999999E-2</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2.494990701469237</v>
      </c>
      <c r="C6" s="25"/>
      <c r="D6" s="25"/>
      <c r="E6" s="27">
        <f>'Debt worksheet'!C5/'Profit and Loss'!C5</f>
        <v>1.8024835787329569</v>
      </c>
      <c r="F6" s="28">
        <f ca="1">'Debt worksheet'!D5/'Profit and Loss'!D5</f>
        <v>2.4601461306718182</v>
      </c>
      <c r="G6" s="28">
        <f ca="1">'Debt worksheet'!E5/'Profit and Loss'!E5</f>
        <v>2.4842739160486538</v>
      </c>
      <c r="H6" s="28">
        <f ca="1">'Debt worksheet'!F5/'Profit and Loss'!F5</f>
        <v>2.4882296552711405</v>
      </c>
      <c r="I6" s="28">
        <f ca="1">'Debt worksheet'!G5/'Profit and Loss'!G5</f>
        <v>2.494990701469237</v>
      </c>
      <c r="J6" s="28">
        <f ca="1">'Debt worksheet'!H5/'Profit and Loss'!H5</f>
        <v>2.4859814655184729</v>
      </c>
      <c r="K6" s="28">
        <f ca="1">'Debt worksheet'!I5/'Profit and Loss'!I5</f>
        <v>2.4715354079481555</v>
      </c>
      <c r="L6" s="28">
        <f ca="1">'Debt worksheet'!J5/'Profit and Loss'!J5</f>
        <v>2.4716376562419318</v>
      </c>
      <c r="M6" s="28">
        <f ca="1">'Debt worksheet'!K5/'Profit and Loss'!K5</f>
        <v>2.4815863667967482</v>
      </c>
      <c r="N6" s="28">
        <f ca="1">'Debt worksheet'!L5/'Profit and Loss'!L5</f>
        <v>2.486478908027784</v>
      </c>
      <c r="O6" s="28">
        <f ca="1">'Debt worksheet'!M5/'Profit and Loss'!M5</f>
        <v>2.4854130544903712</v>
      </c>
      <c r="P6" s="28">
        <f ca="1">'Debt worksheet'!N5/'Profit and Loss'!N5</f>
        <v>2.4775961058516978</v>
      </c>
      <c r="Q6" s="28">
        <f ca="1">'Debt worksheet'!O5/'Profit and Loss'!O5</f>
        <v>2.4623369191460975</v>
      </c>
      <c r="R6" s="28">
        <f ca="1">'Debt worksheet'!P5/'Profit and Loss'!P5</f>
        <v>2.4390384176975797</v>
      </c>
      <c r="S6" s="28">
        <f ca="1">'Debt worksheet'!Q5/'Profit and Loss'!Q5</f>
        <v>2.4071905509753568</v>
      </c>
      <c r="T6" s="28">
        <f ca="1">'Debt worksheet'!R5/'Profit and Loss'!R5</f>
        <v>2.366363680954418</v>
      </c>
      <c r="U6" s="28">
        <f ca="1">'Debt worksheet'!S5/'Profit and Loss'!S5</f>
        <v>2.3162023717957529</v>
      </c>
      <c r="V6" s="28">
        <f ca="1">'Debt worksheet'!T5/'Profit and Loss'!T5</f>
        <v>2.256419560842736</v>
      </c>
      <c r="W6" s="28">
        <f ca="1">'Debt worksheet'!U5/'Profit and Loss'!U5</f>
        <v>2.1867910900542409</v>
      </c>
      <c r="X6" s="28">
        <f ca="1">'Debt worksheet'!V5/'Profit and Loss'!V5</f>
        <v>2.137688992238945</v>
      </c>
      <c r="Y6" s="28">
        <f ca="1">'Debt worksheet'!W5/'Profit and Loss'!W5</f>
        <v>2.1171683378156225</v>
      </c>
      <c r="Z6" s="28">
        <f ca="1">'Debt worksheet'!X5/'Profit and Loss'!X5</f>
        <v>2.1099541373467932</v>
      </c>
      <c r="AA6" s="28">
        <f ca="1">'Debt worksheet'!Y5/'Profit and Loss'!Y5</f>
        <v>2.1156854502880313</v>
      </c>
      <c r="AB6" s="28">
        <f ca="1">'Debt worksheet'!Z5/'Profit and Loss'!Z5</f>
        <v>2.1340086862643757</v>
      </c>
      <c r="AC6" s="28">
        <f ca="1">'Debt worksheet'!AA5/'Profit and Loss'!AA5</f>
        <v>2.1645774637782478</v>
      </c>
      <c r="AD6" s="28">
        <f ca="1">'Debt worksheet'!AB5/'Profit and Loss'!AB5</f>
        <v>2.2070524715462185</v>
      </c>
      <c r="AE6" s="28">
        <f ca="1">'Debt worksheet'!AC5/'Profit and Loss'!AC5</f>
        <v>2.2611013324171165</v>
      </c>
      <c r="AF6" s="28">
        <f ca="1">'Debt worksheet'!AD5/'Profit and Loss'!AD5</f>
        <v>2.3263984698248081</v>
      </c>
      <c r="AG6" s="28">
        <f ca="1">'Debt worksheet'!AE5/'Profit and Loss'!AE5</f>
        <v>2.4026249767298058</v>
      </c>
      <c r="AH6" s="28">
        <f ca="1">'Debt worksheet'!AF5/'Profit and Loss'!AF5</f>
        <v>2.4894684870046597</v>
      </c>
      <c r="AI6" s="31"/>
    </row>
    <row r="7" spans="1:35" ht="21" x14ac:dyDescent="0.5">
      <c r="A7" s="19" t="s">
        <v>38</v>
      </c>
      <c r="B7" s="26">
        <f ca="1">MIN('Price and Financial ratios'!E7:AH7)</f>
        <v>0.21132442146319674</v>
      </c>
      <c r="C7" s="26"/>
      <c r="D7" s="26"/>
      <c r="E7" s="56">
        <f ca="1">'Cash Flow'!C7/'Debt worksheet'!C5</f>
        <v>0.24061327258699133</v>
      </c>
      <c r="F7" s="32">
        <f ca="1">'Cash Flow'!D7/'Debt worksheet'!D5</f>
        <v>0.21132442146319674</v>
      </c>
      <c r="G7" s="32">
        <f ca="1">'Cash Flow'!E7/'Debt worksheet'!E5</f>
        <v>0.24379213575415762</v>
      </c>
      <c r="H7" s="32">
        <f ca="1">'Cash Flow'!F7/'Debt worksheet'!F5</f>
        <v>0.25516170138986949</v>
      </c>
      <c r="I7" s="32">
        <f ca="1">'Cash Flow'!G7/'Debt worksheet'!G5</f>
        <v>0.25802682741097799</v>
      </c>
      <c r="J7" s="32">
        <f ca="1">'Cash Flow'!H7/'Debt worksheet'!H5</f>
        <v>0.26023830738795917</v>
      </c>
      <c r="K7" s="32">
        <f ca="1">'Cash Flow'!I7/'Debt worksheet'!I5</f>
        <v>0.26158169737645282</v>
      </c>
      <c r="L7" s="32">
        <f ca="1">'Cash Flow'!J7/'Debt worksheet'!J5</f>
        <v>0.25948635296394773</v>
      </c>
      <c r="M7" s="17">
        <f ca="1">'Cash Flow'!K7/'Debt worksheet'!K5</f>
        <v>0.25553761291328869</v>
      </c>
      <c r="N7" s="17">
        <f ca="1">'Cash Flow'!L7/'Debt worksheet'!L5</f>
        <v>0.25262612358290137</v>
      </c>
      <c r="O7" s="17">
        <f ca="1">'Cash Flow'!M7/'Debt worksheet'!M5</f>
        <v>0.25080261691081196</v>
      </c>
      <c r="P7" s="17">
        <f ca="1">'Cash Flow'!N7/'Debt worksheet'!N5</f>
        <v>0.25011901310595969</v>
      </c>
      <c r="Q7" s="17">
        <f ca="1">'Cash Flow'!O7/'Debt worksheet'!O5</f>
        <v>0.25063458204369143</v>
      </c>
      <c r="R7" s="17">
        <f ca="1">'Cash Flow'!P7/'Debt worksheet'!P5</f>
        <v>0.25242203895275889</v>
      </c>
      <c r="S7" s="17">
        <f ca="1">'Cash Flow'!Q7/'Debt worksheet'!Q5</f>
        <v>0.25557404428184688</v>
      </c>
      <c r="T7" s="17">
        <f ca="1">'Cash Flow'!R7/'Debt worksheet'!R5</f>
        <v>0.26021069755430798</v>
      </c>
      <c r="U7" s="17">
        <f ca="1">'Cash Flow'!S7/'Debt worksheet'!S5</f>
        <v>0.2664888008286358</v>
      </c>
      <c r="V7" s="17">
        <f ca="1">'Cash Flow'!T7/'Debt worksheet'!T5</f>
        <v>0.27461397114073788</v>
      </c>
      <c r="W7" s="17">
        <f ca="1">'Cash Flow'!U7/'Debt worksheet'!U5</f>
        <v>0.28485718664744408</v>
      </c>
      <c r="X7" s="17">
        <f ca="1">'Cash Flow'!V7/'Debt worksheet'!V5</f>
        <v>0.29055267473713681</v>
      </c>
      <c r="Y7" s="17">
        <f ca="1">'Cash Flow'!W7/'Debt worksheet'!W5</f>
        <v>0.29017229984829634</v>
      </c>
      <c r="Z7" s="17">
        <f ca="1">'Cash Flow'!X7/'Debt worksheet'!X5</f>
        <v>0.28785614991276914</v>
      </c>
      <c r="AA7" s="17">
        <f ca="1">'Cash Flow'!Y7/'Debt worksheet'!Y5</f>
        <v>0.28367967205220257</v>
      </c>
      <c r="AB7" s="17">
        <f ca="1">'Cash Flow'!Z7/'Debt worksheet'!Z5</f>
        <v>0.27778293927469072</v>
      </c>
      <c r="AC7" s="17">
        <f ca="1">'Cash Flow'!AA7/'Debt worksheet'!AA5</f>
        <v>0.27035874775316221</v>
      </c>
      <c r="AD7" s="17">
        <f ca="1">'Cash Flow'!AB7/'Debt worksheet'!AB5</f>
        <v>0.26163718351947413</v>
      </c>
      <c r="AE7" s="17">
        <f ca="1">'Cash Flow'!AC7/'Debt worksheet'!AC5</f>
        <v>0.25186885074520748</v>
      </c>
      <c r="AF7" s="17">
        <f ca="1">'Cash Flow'!AD7/'Debt worksheet'!AD5</f>
        <v>0.24130883331350469</v>
      </c>
      <c r="AG7" s="17">
        <f ca="1">'Cash Flow'!AE7/'Debt worksheet'!AE5</f>
        <v>0.23020298155932101</v>
      </c>
      <c r="AH7" s="17">
        <f ca="1">'Cash Flow'!AF7/'Debt worksheet'!AF5</f>
        <v>0.21877746013547753</v>
      </c>
      <c r="AI7" s="29"/>
    </row>
    <row r="8" spans="1:35" ht="21" x14ac:dyDescent="0.5">
      <c r="A8" s="19" t="s">
        <v>33</v>
      </c>
      <c r="B8" s="26">
        <f ca="1">MAX('Price and Financial ratios'!E8:AH8)</f>
        <v>0.48332004876140755</v>
      </c>
      <c r="C8" s="26"/>
      <c r="D8" s="176"/>
      <c r="E8" s="17">
        <f>'Balance Sheet'!B11/'Balance Sheet'!B8</f>
        <v>0.19668576773452223</v>
      </c>
      <c r="F8" s="17">
        <f ca="1">'Balance Sheet'!C11/'Balance Sheet'!C8</f>
        <v>0.38508873988035719</v>
      </c>
      <c r="G8" s="17">
        <f ca="1">'Balance Sheet'!D11/'Balance Sheet'!D8</f>
        <v>0.46043821313297145</v>
      </c>
      <c r="H8" s="17">
        <f ca="1">'Balance Sheet'!E11/'Balance Sheet'!E8</f>
        <v>0.48332004876140755</v>
      </c>
      <c r="I8" s="17">
        <f ca="1">'Balance Sheet'!F11/'Balance Sheet'!F8</f>
        <v>0.48285701154682514</v>
      </c>
      <c r="J8" s="17">
        <f ca="1">'Balance Sheet'!G11/'Balance Sheet'!G8</f>
        <v>0.47312372253987595</v>
      </c>
      <c r="K8" s="17">
        <f ca="1">'Balance Sheet'!H11/'Balance Sheet'!H8</f>
        <v>0.4591969260694771</v>
      </c>
      <c r="L8" s="17">
        <f ca="1">'Balance Sheet'!I11/'Balance Sheet'!I8</f>
        <v>0.44398843986624043</v>
      </c>
      <c r="M8" s="17">
        <f ca="1">'Balance Sheet'!J11/'Balance Sheet'!J8</f>
        <v>0.43014256440258569</v>
      </c>
      <c r="N8" s="17">
        <f ca="1">'Balance Sheet'!K11/'Balance Sheet'!K8</f>
        <v>0.41851890553081961</v>
      </c>
      <c r="O8" s="17">
        <f ca="1">'Balance Sheet'!L11/'Balance Sheet'!L8</f>
        <v>0.40844082403711879</v>
      </c>
      <c r="P8" s="17">
        <f ca="1">'Balance Sheet'!M11/'Balance Sheet'!M8</f>
        <v>0.39938885697299159</v>
      </c>
      <c r="Q8" s="17">
        <f ca="1">'Balance Sheet'!N11/'Balance Sheet'!N8</f>
        <v>0.390952278416827</v>
      </c>
      <c r="R8" s="17">
        <f ca="1">'Balance Sheet'!O11/'Balance Sheet'!O8</f>
        <v>0.38279722886073808</v>
      </c>
      <c r="S8" s="17">
        <f ca="1">'Balance Sheet'!P11/'Balance Sheet'!P8</f>
        <v>0.37464514558323891</v>
      </c>
      <c r="T8" s="17">
        <f ca="1">'Balance Sheet'!Q11/'Balance Sheet'!Q8</f>
        <v>0.36625779662140351</v>
      </c>
      <c r="U8" s="17">
        <f ca="1">'Balance Sheet'!R11/'Balance Sheet'!R8</f>
        <v>0.35742666324008388</v>
      </c>
      <c r="V8" s="17">
        <f ca="1">'Balance Sheet'!S11/'Balance Sheet'!S8</f>
        <v>0.34796525455391775</v>
      </c>
      <c r="W8" s="17">
        <f ca="1">'Balance Sheet'!T11/'Balance Sheet'!T8</f>
        <v>0.33770344132938063</v>
      </c>
      <c r="X8" s="17">
        <f ca="1">'Balance Sheet'!U11/'Balance Sheet'!U8</f>
        <v>0.32648320664856972</v>
      </c>
      <c r="Y8" s="17">
        <f ca="1">'Balance Sheet'!V11/'Balance Sheet'!V8</f>
        <v>0.31631797628621611</v>
      </c>
      <c r="Z8" s="17">
        <f ca="1">'Balance Sheet'!W11/'Balance Sheet'!W8</f>
        <v>0.30887607677515094</v>
      </c>
      <c r="AA8" s="17">
        <f ca="1">'Balance Sheet'!X11/'Balance Sheet'!X8</f>
        <v>0.30390661730270985</v>
      </c>
      <c r="AB8" s="17">
        <f ca="1">'Balance Sheet'!Y11/'Balance Sheet'!Y8</f>
        <v>0.30119562877977457</v>
      </c>
      <c r="AC8" s="17">
        <f ca="1">'Balance Sheet'!Z11/'Balance Sheet'!Z8</f>
        <v>0.30055957454800364</v>
      </c>
      <c r="AD8" s="17">
        <f ca="1">'Balance Sheet'!AA11/'Balance Sheet'!AA8</f>
        <v>0.30184018044961453</v>
      </c>
      <c r="AE8" s="17">
        <f ca="1">'Balance Sheet'!AB11/'Balance Sheet'!AB8</f>
        <v>0.30490028154542792</v>
      </c>
      <c r="AF8" s="17">
        <f ca="1">'Balance Sheet'!AC11/'Balance Sheet'!AC8</f>
        <v>0.30962045962734952</v>
      </c>
      <c r="AG8" s="17">
        <f ca="1">'Balance Sheet'!AD11/'Balance Sheet'!AD8</f>
        <v>0.31589630125265877</v>
      </c>
      <c r="AH8" s="17">
        <f ca="1">'Balance Sheet'!AE11/'Balance Sheet'!AE8</f>
        <v>0.32363614667992757</v>
      </c>
      <c r="AI8" s="29"/>
    </row>
    <row r="9" spans="1:35" ht="21.5" thickBot="1" x14ac:dyDescent="0.55000000000000004">
      <c r="A9" s="20" t="s">
        <v>32</v>
      </c>
      <c r="B9" s="21">
        <f ca="1">MIN('Price and Financial ratios'!E9:AH9)</f>
        <v>4.4938343700798109</v>
      </c>
      <c r="C9" s="21"/>
      <c r="D9" s="177"/>
      <c r="E9" s="21">
        <f ca="1">('Cash Flow'!C7+'Profit and Loss'!C8)/('Profit and Loss'!C8)</f>
        <v>4.4938343700798109</v>
      </c>
      <c r="F9" s="21">
        <f ca="1">('Cash Flow'!D7+'Profit and Loss'!D8)/('Profit and Loss'!D8)</f>
        <v>5.2067213259219463</v>
      </c>
      <c r="G9" s="21">
        <f ca="1">('Cash Flow'!E7+'Profit and Loss'!E8)/('Profit and Loss'!E8)</f>
        <v>6.6611414240165763</v>
      </c>
      <c r="H9" s="21">
        <f ca="1">('Cash Flow'!F7+'Profit and Loss'!F8)/('Profit and Loss'!F8)</f>
        <v>7.3375185161878793</v>
      </c>
      <c r="I9" s="21">
        <f ca="1">('Cash Flow'!G7+'Profit and Loss'!G8)/('Profit and Loss'!G8)</f>
        <v>7.6252746612649185</v>
      </c>
      <c r="J9" s="21">
        <f ca="1">('Cash Flow'!H7+'Profit and Loss'!H8)/('Profit and Loss'!H8)</f>
        <v>7.8208607727044113</v>
      </c>
      <c r="K9" s="21">
        <f ca="1">('Cash Flow'!I7+'Profit and Loss'!I8)/('Profit and Loss'!I8)</f>
        <v>7.9445512406071055</v>
      </c>
      <c r="L9" s="21">
        <f ca="1">('Cash Flow'!J7+'Profit and Loss'!J8)/('Profit and Loss'!J8)</f>
        <v>7.9269379399644979</v>
      </c>
      <c r="M9" s="21">
        <f ca="1">('Cash Flow'!K7+'Profit and Loss'!K8)/('Profit and Loss'!K8)</f>
        <v>7.8355082912255867</v>
      </c>
      <c r="N9" s="21">
        <f ca="1">('Cash Flow'!L7+'Profit and Loss'!L8)/('Profit and Loss'!L8)</f>
        <v>7.7738539477304602</v>
      </c>
      <c r="O9" s="21">
        <f ca="1">('Cash Flow'!M7+'Profit and Loss'!M8)/('Profit and Loss'!M8)</f>
        <v>7.743284685544789</v>
      </c>
      <c r="P9" s="21">
        <f ca="1">('Cash Flow'!N7+'Profit and Loss'!N8)/('Profit and Loss'!N8)</f>
        <v>7.7452974445250247</v>
      </c>
      <c r="Q9" s="21">
        <f ca="1">('Cash Flow'!O7+'Profit and Loss'!O8)/('Profit and Loss'!O8)</f>
        <v>7.7817409342420643</v>
      </c>
      <c r="R9" s="21">
        <f ca="1">('Cash Flow'!P7+'Profit and Loss'!P8)/('Profit and Loss'!P8)</f>
        <v>7.8549897128994388</v>
      </c>
      <c r="S9" s="21">
        <f ca="1">('Cash Flow'!Q7+'Profit and Loss'!Q8)/('Profit and Loss'!Q8)</f>
        <v>7.9681435699417369</v>
      </c>
      <c r="T9" s="21">
        <f ca="1">('Cash Flow'!R7+'Profit and Loss'!R8)/('Profit and Loss'!R8)</f>
        <v>8.1252728897591986</v>
      </c>
      <c r="U9" s="21">
        <f ca="1">('Cash Flow'!S7+'Profit and Loss'!S8)/('Profit and Loss'!S8)</f>
        <v>8.3317386325929057</v>
      </c>
      <c r="V9" s="21">
        <f ca="1">('Cash Flow'!T7+'Profit and Loss'!T8)/('Profit and Loss'!T8)</f>
        <v>8.594628847806586</v>
      </c>
      <c r="W9" s="21">
        <f ca="1">('Cash Flow'!U7+'Profit and Loss'!U8)/('Profit and Loss'!U8)</f>
        <v>8.9233760926519725</v>
      </c>
      <c r="X9" s="21">
        <f ca="1">('Cash Flow'!V7+'Profit and Loss'!V8)/('Profit and Loss'!V8)</f>
        <v>9.0783706845270675</v>
      </c>
      <c r="Y9" s="21">
        <f ca="1">('Cash Flow'!W7+'Profit and Loss'!W8)/('Profit and Loss'!W8)</f>
        <v>9.0176685049233019</v>
      </c>
      <c r="Z9" s="21">
        <f ca="1">('Cash Flow'!X7+'Profit and Loss'!X8)/('Profit and Loss'!X8)</f>
        <v>8.9050968957760546</v>
      </c>
      <c r="AA9" s="21">
        <f ca="1">('Cash Flow'!Y7+'Profit and Loss'!Y8)/('Profit and Loss'!Y8)</f>
        <v>8.7444914016436872</v>
      </c>
      <c r="AB9" s="21">
        <f ca="1">('Cash Flow'!Z7+'Profit and Loss'!Z8)/('Profit and Loss'!Z8)</f>
        <v>8.5411640489861771</v>
      </c>
      <c r="AC9" s="21">
        <f ca="1">('Cash Flow'!AA7+'Profit and Loss'!AA8)/('Profit and Loss'!AA8)</f>
        <v>8.301476126024669</v>
      </c>
      <c r="AD9" s="21">
        <f ca="1">('Cash Flow'!AB7+'Profit and Loss'!AB8)/('Profit and Loss'!AB8)</f>
        <v>8.0323725017002054</v>
      </c>
      <c r="AE9" s="21">
        <f ca="1">('Cash Flow'!AC7+'Profit and Loss'!AC8)/('Profit and Loss'!AC8)</f>
        <v>7.7409351964816953</v>
      </c>
      <c r="AF9" s="21">
        <f ca="1">('Cash Flow'!AD7+'Profit and Loss'!AD8)/('Profit and Loss'!AD8)</f>
        <v>7.4340007191851756</v>
      </c>
      <c r="AG9" s="21">
        <f ca="1">('Cash Flow'!AE7+'Profit and Loss'!AE8)/('Profit and Loss'!AE8)</f>
        <v>7.1178675137864342</v>
      </c>
      <c r="AH9" s="21">
        <f ca="1">('Cash Flow'!AF7+'Profit and Loss'!AF8)/('Profit and Loss'!AF8)</f>
        <v>6.7981017870587204</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2412125.0399636491</v>
      </c>
      <c r="D5" s="1">
        <f>Assumptions!E111</f>
        <v>2412125.0399636491</v>
      </c>
      <c r="E5" s="1">
        <f>Assumptions!F111</f>
        <v>2412125.0399636491</v>
      </c>
      <c r="F5" s="1">
        <f>Assumptions!G111</f>
        <v>2412125.0399636491</v>
      </c>
      <c r="G5" s="1">
        <f>Assumptions!H111</f>
        <v>2412125.0399636491</v>
      </c>
      <c r="H5" s="1">
        <f>Assumptions!I111</f>
        <v>2412125.0399636491</v>
      </c>
      <c r="I5" s="1">
        <f>Assumptions!J111</f>
        <v>2412125.0399636491</v>
      </c>
      <c r="J5" s="1">
        <f>Assumptions!K111</f>
        <v>2412125.0399636491</v>
      </c>
      <c r="K5" s="1">
        <f>Assumptions!L111</f>
        <v>2412125.0399636491</v>
      </c>
      <c r="L5" s="1">
        <f>Assumptions!M111</f>
        <v>2412125.0399636491</v>
      </c>
      <c r="M5" s="1">
        <f>Assumptions!N111</f>
        <v>2412125.0399636491</v>
      </c>
      <c r="N5" s="1">
        <f>Assumptions!O111</f>
        <v>2412125.0399636491</v>
      </c>
      <c r="O5" s="1">
        <f>Assumptions!P111</f>
        <v>2412125.0399636491</v>
      </c>
      <c r="P5" s="1">
        <f>Assumptions!Q111</f>
        <v>2412125.0399636491</v>
      </c>
      <c r="Q5" s="1">
        <f>Assumptions!R111</f>
        <v>2412125.0399636491</v>
      </c>
      <c r="R5" s="1">
        <f>Assumptions!S111</f>
        <v>2412125.0399636491</v>
      </c>
      <c r="S5" s="1">
        <f>Assumptions!T111</f>
        <v>2412125.0399636491</v>
      </c>
      <c r="T5" s="1">
        <f>Assumptions!U111</f>
        <v>2412125.0399636491</v>
      </c>
      <c r="U5" s="1">
        <f>Assumptions!V111</f>
        <v>2412125.0399636491</v>
      </c>
      <c r="V5" s="1">
        <f>Assumptions!W111</f>
        <v>2412125.0399636491</v>
      </c>
      <c r="W5" s="1">
        <f>Assumptions!X111</f>
        <v>2412125.0399636491</v>
      </c>
      <c r="X5" s="1">
        <f>Assumptions!Y111</f>
        <v>2412125.0399636491</v>
      </c>
      <c r="Y5" s="1">
        <f>Assumptions!Z111</f>
        <v>2412125.0399636491</v>
      </c>
      <c r="Z5" s="1">
        <f>Assumptions!AA111</f>
        <v>2412125.0399636491</v>
      </c>
      <c r="AA5" s="1">
        <f>Assumptions!AB111</f>
        <v>2412125.0399636491</v>
      </c>
      <c r="AB5" s="1">
        <f>Assumptions!AC111</f>
        <v>2412125.0399636491</v>
      </c>
      <c r="AC5" s="1">
        <f>Assumptions!AD111</f>
        <v>2412125.0399636491</v>
      </c>
      <c r="AD5" s="1">
        <f>Assumptions!AE111</f>
        <v>2412125.0399636491</v>
      </c>
      <c r="AE5" s="1">
        <f>Assumptions!AF111</f>
        <v>2412125.0399636491</v>
      </c>
      <c r="AF5" s="1">
        <f>Assumptions!AG111</f>
        <v>2412125.0399636491</v>
      </c>
    </row>
    <row r="6" spans="1:32" x14ac:dyDescent="0.35">
      <c r="A6" t="s">
        <v>68</v>
      </c>
      <c r="C6" s="1">
        <f>Assumptions!D113</f>
        <v>15499166.666666666</v>
      </c>
      <c r="D6" s="1">
        <f>Assumptions!E113</f>
        <v>15499166.666666666</v>
      </c>
      <c r="E6" s="1">
        <f>Assumptions!F113</f>
        <v>15499166.666666666</v>
      </c>
      <c r="F6" s="1">
        <f>Assumptions!G113</f>
        <v>15499166.666666666</v>
      </c>
      <c r="G6" s="1">
        <f>Assumptions!H113</f>
        <v>15499166.666666666</v>
      </c>
      <c r="H6" s="1">
        <f>Assumptions!I113</f>
        <v>15499166.666666666</v>
      </c>
      <c r="I6" s="1">
        <f>Assumptions!J113</f>
        <v>15499166.666666666</v>
      </c>
      <c r="J6" s="1">
        <f>Assumptions!K113</f>
        <v>15499166.666666666</v>
      </c>
      <c r="K6" s="1">
        <f>Assumptions!L113</f>
        <v>15499166.666666666</v>
      </c>
      <c r="L6" s="1">
        <f>Assumptions!M113</f>
        <v>15499166.666666666</v>
      </c>
      <c r="M6" s="1">
        <f>Assumptions!N113</f>
        <v>15499166.666666666</v>
      </c>
      <c r="N6" s="1">
        <f>Assumptions!O113</f>
        <v>15499166.666666666</v>
      </c>
      <c r="O6" s="1">
        <f>Assumptions!P113</f>
        <v>15499166.666666666</v>
      </c>
      <c r="P6" s="1">
        <f>Assumptions!Q113</f>
        <v>15499166.666666666</v>
      </c>
      <c r="Q6" s="1">
        <f>Assumptions!R113</f>
        <v>15499166.666666666</v>
      </c>
      <c r="R6" s="1">
        <f>Assumptions!S113</f>
        <v>15499166.666666666</v>
      </c>
      <c r="S6" s="1">
        <f>Assumptions!T113</f>
        <v>15499166.666666666</v>
      </c>
      <c r="T6" s="1">
        <f>Assumptions!U113</f>
        <v>15499166.666666666</v>
      </c>
      <c r="U6" s="1">
        <f>Assumptions!V113</f>
        <v>15499166.666666666</v>
      </c>
      <c r="V6" s="1">
        <f>Assumptions!W113</f>
        <v>15499166.666666666</v>
      </c>
      <c r="W6" s="1">
        <f>Assumptions!X113</f>
        <v>15499166.666666666</v>
      </c>
      <c r="X6" s="1">
        <f>Assumptions!Y113</f>
        <v>15499166.666666666</v>
      </c>
      <c r="Y6" s="1">
        <f>Assumptions!Z113</f>
        <v>15499166.666666666</v>
      </c>
      <c r="Z6" s="1">
        <f>Assumptions!AA113</f>
        <v>15499166.666666666</v>
      </c>
      <c r="AA6" s="1">
        <f>Assumptions!AB113</f>
        <v>15499166.666666666</v>
      </c>
      <c r="AB6" s="1">
        <f>Assumptions!AC113</f>
        <v>15499166.666666666</v>
      </c>
      <c r="AC6" s="1">
        <f>Assumptions!AD113</f>
        <v>15499166.666666666</v>
      </c>
      <c r="AD6" s="1">
        <f>Assumptions!AE113</f>
        <v>15499166.666666666</v>
      </c>
      <c r="AE6" s="1">
        <f>Assumptions!AF113</f>
        <v>15499166.666666666</v>
      </c>
      <c r="AF6" s="1">
        <f>Assumptions!AG113</f>
        <v>15499166.666666666</v>
      </c>
    </row>
    <row r="7" spans="1:32" x14ac:dyDescent="0.35">
      <c r="A7" t="s">
        <v>73</v>
      </c>
      <c r="C7" s="1">
        <f>Assumptions!D120</f>
        <v>371980</v>
      </c>
      <c r="D7" s="1">
        <f>Assumptions!E120</f>
        <v>743960</v>
      </c>
      <c r="E7" s="1">
        <f>Assumptions!F120</f>
        <v>1115940</v>
      </c>
      <c r="F7" s="1">
        <f>Assumptions!G120</f>
        <v>1487920</v>
      </c>
      <c r="G7" s="1">
        <f>Assumptions!H120</f>
        <v>1859899.9999999998</v>
      </c>
      <c r="H7" s="1">
        <f>Assumptions!I120</f>
        <v>2231880</v>
      </c>
      <c r="I7" s="1">
        <f>Assumptions!J120</f>
        <v>2603860</v>
      </c>
      <c r="J7" s="1">
        <f>Assumptions!K120</f>
        <v>2975840</v>
      </c>
      <c r="K7" s="1">
        <f>Assumptions!L120</f>
        <v>3347820</v>
      </c>
      <c r="L7" s="1">
        <f>Assumptions!M120</f>
        <v>3719799.9999999995</v>
      </c>
      <c r="M7" s="1">
        <f>Assumptions!N120</f>
        <v>4091779.9999999991</v>
      </c>
      <c r="N7" s="1">
        <f>Assumptions!O120</f>
        <v>4463759.9999999991</v>
      </c>
      <c r="O7" s="1">
        <f>Assumptions!P120</f>
        <v>4835739.9999999991</v>
      </c>
      <c r="P7" s="1">
        <f>Assumptions!Q120</f>
        <v>5207719.9999999991</v>
      </c>
      <c r="Q7" s="1">
        <f>Assumptions!R120</f>
        <v>5579699.9999999991</v>
      </c>
      <c r="R7" s="1">
        <f>Assumptions!S120</f>
        <v>5951679.9999999972</v>
      </c>
      <c r="S7" s="1">
        <f>Assumptions!T120</f>
        <v>6323659.9999999981</v>
      </c>
      <c r="T7" s="1">
        <f>Assumptions!U120</f>
        <v>6695639.9999999991</v>
      </c>
      <c r="U7" s="1">
        <f>Assumptions!V120</f>
        <v>7067619.9999999981</v>
      </c>
      <c r="V7" s="1">
        <f>Assumptions!W120</f>
        <v>7439599.9999999991</v>
      </c>
      <c r="W7" s="1">
        <f>Assumptions!X120</f>
        <v>7811580</v>
      </c>
      <c r="X7" s="1">
        <f>Assumptions!Y120</f>
        <v>8183560</v>
      </c>
      <c r="Y7" s="1">
        <f>Assumptions!Z120</f>
        <v>8555540.0000000019</v>
      </c>
      <c r="Z7" s="1">
        <f>Assumptions!AA120</f>
        <v>8927520.0000000019</v>
      </c>
      <c r="AA7" s="1">
        <f>Assumptions!AB120</f>
        <v>9299500.0000000019</v>
      </c>
      <c r="AB7" s="1">
        <f>Assumptions!AC120</f>
        <v>9671480.0000000019</v>
      </c>
      <c r="AC7" s="1">
        <f>Assumptions!AD120</f>
        <v>10043460.000000002</v>
      </c>
      <c r="AD7" s="1">
        <f>Assumptions!AE120</f>
        <v>10415440.000000004</v>
      </c>
      <c r="AE7" s="1">
        <f>Assumptions!AF120</f>
        <v>10787420.000000002</v>
      </c>
      <c r="AF7" s="1">
        <f>Assumptions!AG120</f>
        <v>11159400.000000004</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2489313.0412424859</v>
      </c>
      <c r="D11" s="1">
        <f>D5*D$9</f>
        <v>2568971.0585622452</v>
      </c>
      <c r="E11" s="1">
        <f t="shared" ref="D11:AF13" si="1">E5*E$9</f>
        <v>2651178.1324362368</v>
      </c>
      <c r="F11" s="1">
        <f t="shared" si="1"/>
        <v>2736015.8326741965</v>
      </c>
      <c r="G11" s="1">
        <f t="shared" si="1"/>
        <v>2823568.3393197712</v>
      </c>
      <c r="H11" s="1">
        <f t="shared" si="1"/>
        <v>2913922.5261780038</v>
      </c>
      <c r="I11" s="1">
        <f t="shared" si="1"/>
        <v>3007168.0470156991</v>
      </c>
      <c r="J11" s="1">
        <f t="shared" si="1"/>
        <v>3103397.424520202</v>
      </c>
      <c r="K11" s="1">
        <f t="shared" si="1"/>
        <v>3202706.1421048488</v>
      </c>
      <c r="L11" s="1">
        <f t="shared" si="1"/>
        <v>3305192.7386522037</v>
      </c>
      <c r="M11" s="1">
        <f t="shared" si="1"/>
        <v>3410958.9062890741</v>
      </c>
      <c r="N11" s="1">
        <f t="shared" si="1"/>
        <v>3520109.5912903245</v>
      </c>
      <c r="O11" s="1">
        <f t="shared" si="1"/>
        <v>3632753.0982116153</v>
      </c>
      <c r="P11" s="1">
        <f t="shared" si="1"/>
        <v>3749001.1973543861</v>
      </c>
      <c r="Q11" s="1">
        <f t="shared" si="1"/>
        <v>3868969.235669726</v>
      </c>
      <c r="R11" s="1">
        <f t="shared" si="1"/>
        <v>3992776.251211158</v>
      </c>
      <c r="S11" s="1">
        <f t="shared" si="1"/>
        <v>4120545.0912499158</v>
      </c>
      <c r="T11" s="1">
        <f t="shared" si="1"/>
        <v>4252402.5341699123</v>
      </c>
      <c r="U11" s="1">
        <f t="shared" si="1"/>
        <v>4388479.4152633492</v>
      </c>
      <c r="V11" s="1">
        <f t="shared" si="1"/>
        <v>4528910.756551777</v>
      </c>
      <c r="W11" s="1">
        <f t="shared" si="1"/>
        <v>4673835.9007614339</v>
      </c>
      <c r="X11" s="1">
        <f t="shared" si="1"/>
        <v>4823398.6495857993</v>
      </c>
      <c r="Y11" s="1">
        <f t="shared" si="1"/>
        <v>4977747.4063725444</v>
      </c>
      <c r="Z11" s="1">
        <f t="shared" si="1"/>
        <v>5137035.3233764656</v>
      </c>
      <c r="AA11" s="1">
        <f t="shared" si="1"/>
        <v>5301420.4537245138</v>
      </c>
      <c r="AB11" s="1">
        <f t="shared" si="1"/>
        <v>5471065.9082436971</v>
      </c>
      <c r="AC11" s="1">
        <f t="shared" si="1"/>
        <v>5646140.0173074957</v>
      </c>
      <c r="AD11" s="1">
        <f t="shared" si="1"/>
        <v>5826816.497861336</v>
      </c>
      <c r="AE11" s="1">
        <f t="shared" si="1"/>
        <v>6013274.6257928982</v>
      </c>
      <c r="AF11" s="1">
        <f t="shared" si="1"/>
        <v>6205699.4138182709</v>
      </c>
    </row>
    <row r="12" spans="1:32" x14ac:dyDescent="0.35">
      <c r="A12" t="s">
        <v>71</v>
      </c>
      <c r="C12" s="1">
        <f t="shared" ref="C12:R12" si="2">C6*C$9</f>
        <v>15995140</v>
      </c>
      <c r="D12" s="1">
        <f t="shared" si="2"/>
        <v>16506984.479999999</v>
      </c>
      <c r="E12" s="1">
        <f t="shared" si="2"/>
        <v>17035207.983359996</v>
      </c>
      <c r="F12" s="1">
        <f t="shared" si="2"/>
        <v>17580334.638827518</v>
      </c>
      <c r="G12" s="1">
        <f t="shared" si="2"/>
        <v>18142905.347270001</v>
      </c>
      <c r="H12" s="1">
        <f t="shared" si="2"/>
        <v>18723478.318382639</v>
      </c>
      <c r="I12" s="1">
        <f t="shared" si="2"/>
        <v>19322629.62457088</v>
      </c>
      <c r="J12" s="1">
        <f t="shared" si="2"/>
        <v>19940953.772557151</v>
      </c>
      <c r="K12" s="1">
        <f t="shared" si="2"/>
        <v>20579064.293278981</v>
      </c>
      <c r="L12" s="1">
        <f t="shared" si="2"/>
        <v>21237594.350663908</v>
      </c>
      <c r="M12" s="1">
        <f t="shared" si="2"/>
        <v>21917197.36988515</v>
      </c>
      <c r="N12" s="1">
        <f t="shared" si="2"/>
        <v>22618547.685721476</v>
      </c>
      <c r="O12" s="1">
        <f t="shared" si="2"/>
        <v>23342341.211664565</v>
      </c>
      <c r="P12" s="1">
        <f t="shared" si="2"/>
        <v>24089296.130437829</v>
      </c>
      <c r="Q12" s="1">
        <f t="shared" si="2"/>
        <v>24860153.606611833</v>
      </c>
      <c r="R12" s="1">
        <f t="shared" si="2"/>
        <v>25655678.522023417</v>
      </c>
      <c r="S12" s="1">
        <f t="shared" si="1"/>
        <v>26476660.234728169</v>
      </c>
      <c r="T12" s="1">
        <f t="shared" si="1"/>
        <v>27323913.362239469</v>
      </c>
      <c r="U12" s="1">
        <f t="shared" si="1"/>
        <v>28198278.589831129</v>
      </c>
      <c r="V12" s="1">
        <f t="shared" si="1"/>
        <v>29100623.504705727</v>
      </c>
      <c r="W12" s="1">
        <f t="shared" si="1"/>
        <v>30031843.456856314</v>
      </c>
      <c r="X12" s="1">
        <f t="shared" si="1"/>
        <v>30992862.447475713</v>
      </c>
      <c r="Y12" s="1">
        <f t="shared" si="1"/>
        <v>31984634.04579493</v>
      </c>
      <c r="Z12" s="1">
        <f t="shared" si="1"/>
        <v>33008142.335260369</v>
      </c>
      <c r="AA12" s="1">
        <f t="shared" si="1"/>
        <v>34064402.889988713</v>
      </c>
      <c r="AB12" s="1">
        <f t="shared" si="1"/>
        <v>35154463.782468341</v>
      </c>
      <c r="AC12" s="1">
        <f t="shared" si="1"/>
        <v>36279406.623507328</v>
      </c>
      <c r="AD12" s="1">
        <f t="shared" si="1"/>
        <v>37440347.635459565</v>
      </c>
      <c r="AE12" s="1">
        <f t="shared" si="1"/>
        <v>38638438.759794272</v>
      </c>
      <c r="AF12" s="1">
        <f t="shared" si="1"/>
        <v>39874868.80010768</v>
      </c>
    </row>
    <row r="13" spans="1:32" x14ac:dyDescent="0.35">
      <c r="A13" t="s">
        <v>74</v>
      </c>
      <c r="C13" s="1">
        <f>C7*C$9</f>
        <v>383883.36</v>
      </c>
      <c r="D13" s="1">
        <f t="shared" si="1"/>
        <v>792335.25503999996</v>
      </c>
      <c r="E13" s="1">
        <f t="shared" si="1"/>
        <v>1226534.9748019199</v>
      </c>
      <c r="F13" s="1">
        <f t="shared" si="1"/>
        <v>1687712.1253274418</v>
      </c>
      <c r="G13" s="1">
        <f t="shared" si="1"/>
        <v>2177148.6416723998</v>
      </c>
      <c r="H13" s="1">
        <f t="shared" si="1"/>
        <v>2696180.8778471001</v>
      </c>
      <c r="I13" s="1">
        <f t="shared" si="1"/>
        <v>3246201.776927908</v>
      </c>
      <c r="J13" s="1">
        <f t="shared" si="1"/>
        <v>3828663.1243309733</v>
      </c>
      <c r="K13" s="1">
        <f t="shared" si="1"/>
        <v>4445077.8873482598</v>
      </c>
      <c r="L13" s="1">
        <f t="shared" si="1"/>
        <v>5097022.6441593375</v>
      </c>
      <c r="M13" s="1">
        <f t="shared" si="1"/>
        <v>5786140.105649679</v>
      </c>
      <c r="N13" s="1">
        <f t="shared" si="1"/>
        <v>6514141.7334877839</v>
      </c>
      <c r="O13" s="1">
        <f t="shared" si="1"/>
        <v>7282810.4580393434</v>
      </c>
      <c r="P13" s="1">
        <f t="shared" si="1"/>
        <v>8094003.4998271093</v>
      </c>
      <c r="Q13" s="1">
        <f t="shared" si="1"/>
        <v>8949655.2983802594</v>
      </c>
      <c r="R13" s="1">
        <f t="shared" si="1"/>
        <v>9851780.552456988</v>
      </c>
      <c r="S13" s="1">
        <f t="shared" si="1"/>
        <v>10802477.37576909</v>
      </c>
      <c r="T13" s="1">
        <f t="shared" si="1"/>
        <v>11803930.572487449</v>
      </c>
      <c r="U13" s="1">
        <f t="shared" si="1"/>
        <v>12858415.036962992</v>
      </c>
      <c r="V13" s="1">
        <f t="shared" si="1"/>
        <v>13968299.282258749</v>
      </c>
      <c r="W13" s="1">
        <f t="shared" si="1"/>
        <v>15136049.102255583</v>
      </c>
      <c r="X13" s="1">
        <f t="shared" si="1"/>
        <v>16364231.372267177</v>
      </c>
      <c r="Y13" s="1">
        <f t="shared" si="1"/>
        <v>17655517.993278805</v>
      </c>
      <c r="Z13" s="1">
        <f t="shared" si="1"/>
        <v>19012689.985109977</v>
      </c>
      <c r="AA13" s="1">
        <f t="shared" si="1"/>
        <v>20438641.733993232</v>
      </c>
      <c r="AB13" s="1">
        <f t="shared" si="1"/>
        <v>21936385.400260251</v>
      </c>
      <c r="AC13" s="1">
        <f t="shared" si="1"/>
        <v>23509055.492032751</v>
      </c>
      <c r="AD13" s="1">
        <f t="shared" si="1"/>
        <v>25159913.611028839</v>
      </c>
      <c r="AE13" s="1">
        <f t="shared" si="1"/>
        <v>26892353.376816817</v>
      </c>
      <c r="AF13" s="1">
        <f t="shared" si="1"/>
        <v>28709905.53607754</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18868336.401242487</v>
      </c>
      <c r="D25" s="40">
        <f>SUM(D11:D13,D18:D23)</f>
        <v>19868290.793602247</v>
      </c>
      <c r="E25" s="40">
        <f t="shared" ref="E25:AF25" si="7">SUM(E11:E13,E18:E23)</f>
        <v>20912921.090598155</v>
      </c>
      <c r="F25" s="40">
        <f t="shared" si="7"/>
        <v>22004062.596829157</v>
      </c>
      <c r="G25" s="40">
        <f t="shared" si="7"/>
        <v>23143622.328262169</v>
      </c>
      <c r="H25" s="40">
        <f t="shared" si="7"/>
        <v>24333581.722407743</v>
      </c>
      <c r="I25" s="40">
        <f t="shared" si="7"/>
        <v>25575999.448514488</v>
      </c>
      <c r="J25" s="40">
        <f t="shared" si="7"/>
        <v>26873014.321408324</v>
      </c>
      <c r="K25" s="40">
        <f t="shared" si="7"/>
        <v>28226848.322732091</v>
      </c>
      <c r="L25" s="40">
        <f t="shared" si="7"/>
        <v>29639809.733475447</v>
      </c>
      <c r="M25" s="40">
        <f t="shared" si="7"/>
        <v>31114296.381823905</v>
      </c>
      <c r="N25" s="40">
        <f t="shared" si="7"/>
        <v>32652799.010499585</v>
      </c>
      <c r="O25" s="40">
        <f t="shared" si="7"/>
        <v>34257904.767915525</v>
      </c>
      <c r="P25" s="40">
        <f t="shared" si="7"/>
        <v>35932300.827619329</v>
      </c>
      <c r="Q25" s="40">
        <f t="shared" si="7"/>
        <v>37678778.140661821</v>
      </c>
      <c r="R25" s="40">
        <f t="shared" si="7"/>
        <v>39500235.325691566</v>
      </c>
      <c r="S25" s="40">
        <f t="shared" si="7"/>
        <v>41399682.701747179</v>
      </c>
      <c r="T25" s="40">
        <f t="shared" si="7"/>
        <v>43380246.468896829</v>
      </c>
      <c r="U25" s="40">
        <f t="shared" si="7"/>
        <v>45445173.042057469</v>
      </c>
      <c r="V25" s="40">
        <f t="shared" si="7"/>
        <v>47597833.543516256</v>
      </c>
      <c r="W25" s="40">
        <f t="shared" si="7"/>
        <v>49841728.459873334</v>
      </c>
      <c r="X25" s="40">
        <f t="shared" si="7"/>
        <v>52180492.469328694</v>
      </c>
      <c r="Y25" s="40">
        <f t="shared" si="7"/>
        <v>54617899.445446283</v>
      </c>
      <c r="Z25" s="40">
        <f t="shared" si="7"/>
        <v>57157867.643746816</v>
      </c>
      <c r="AA25" s="40">
        <f t="shared" si="7"/>
        <v>59804465.077706456</v>
      </c>
      <c r="AB25" s="40">
        <f t="shared" si="7"/>
        <v>62561915.090972289</v>
      </c>
      <c r="AC25" s="40">
        <f t="shared" si="7"/>
        <v>65434602.132847577</v>
      </c>
      <c r="AD25" s="40">
        <f t="shared" si="7"/>
        <v>68427077.744349733</v>
      </c>
      <c r="AE25" s="40">
        <f t="shared" si="7"/>
        <v>71544066.762403995</v>
      </c>
      <c r="AF25" s="40">
        <f t="shared" si="7"/>
        <v>74790473.750003487</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115" zoomScaleNormal="115"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8663601.8126595952</v>
      </c>
      <c r="D5" s="59">
        <f>C5*('Price and Financial ratios'!F4+1)*(1+Assumptions!$C$13)</f>
        <v>12489875.765279481</v>
      </c>
      <c r="E5" s="59">
        <f>D5*('Price and Financial ratios'!G4+1)*(1+Assumptions!$C$13)</f>
        <v>17752415.122511964</v>
      </c>
      <c r="F5" s="59">
        <f>E5*('Price and Financial ratios'!H4+1)*(1+Assumptions!$C$13)</f>
        <v>21807912.996979099</v>
      </c>
      <c r="G5" s="59">
        <f>F5*('Price and Financial ratios'!I4+1)*(1+Assumptions!$C$13)</f>
        <v>25018648.182477821</v>
      </c>
      <c r="H5" s="59">
        <f>G5*('Price and Financial ratios'!J4+1)*(1+Assumptions!$C$13)</f>
        <v>27940090.973036658</v>
      </c>
      <c r="I5" s="59">
        <f>H5*('Price and Financial ratios'!K4+1)*(1+Assumptions!$C$13)</f>
        <v>30635351.101407904</v>
      </c>
      <c r="J5" s="59">
        <f>I5*('Price and Financial ratios'!L4+1)*(1+Assumptions!$C$13)</f>
        <v>32968562.99685216</v>
      </c>
      <c r="K5" s="59">
        <f>J5*('Price and Financial ratios'!M4+1)*(1+Assumptions!$C$13)</f>
        <v>35144762.084411554</v>
      </c>
      <c r="L5" s="59">
        <f>K5*('Price and Financial ratios'!N4+1)*(1+Assumptions!$C$13)</f>
        <v>37464608.393390529</v>
      </c>
      <c r="M5" s="59">
        <f>L5*('Price and Financial ratios'!O4+1)*(1+Assumptions!$C$13)</f>
        <v>39937583.833941303</v>
      </c>
      <c r="N5" s="59">
        <f>M5*('Price and Financial ratios'!P4+1)*(1+Assumptions!$C$13)</f>
        <v>42573796.201069593</v>
      </c>
      <c r="O5" s="59">
        <f>N5*('Price and Financial ratios'!Q4+1)*(1+Assumptions!$C$13)</f>
        <v>45384020.488235317</v>
      </c>
      <c r="P5" s="59">
        <f>O5*('Price and Financial ratios'!R4+1)*(1+Assumptions!$C$13)</f>
        <v>48379742.927994199</v>
      </c>
      <c r="Q5" s="59">
        <f>P5*('Price and Financial ratios'!S4+1)*(1+Assumptions!$C$13)</f>
        <v>51573207.939687654</v>
      </c>
      <c r="R5" s="59">
        <f>Q5*('Price and Financial ratios'!T4+1)*(1+Assumptions!$C$13)</f>
        <v>54977468.176070265</v>
      </c>
      <c r="S5" s="59">
        <f>R5*('Price and Financial ratios'!U4+1)*(1+Assumptions!$C$13)</f>
        <v>58606437.873430535</v>
      </c>
      <c r="T5" s="59">
        <f>S5*('Price and Financial ratios'!V4+1)*(1+Assumptions!$C$13)</f>
        <v>62474949.723262846</v>
      </c>
      <c r="U5" s="59">
        <f>T5*('Price and Financial ratios'!W4+1)*(1+Assumptions!$C$13)</f>
        <v>66598815.497942343</v>
      </c>
      <c r="V5" s="59">
        <f>U5*('Price and Financial ratios'!X4+1)*(1+Assumptions!$C$13)</f>
        <v>69980677.954223782</v>
      </c>
      <c r="W5" s="59">
        <f>V5*('Price and Financial ratios'!Y4+1)*(1+Assumptions!$C$13)</f>
        <v>72610651.245048165</v>
      </c>
      <c r="X5" s="59">
        <f>W5*('Price and Financial ratios'!Z4+1)*(1+Assumptions!$C$13)</f>
        <v>75339462.668234929</v>
      </c>
      <c r="Y5" s="59">
        <f>X5*('Price and Financial ratios'!AA4+1)*(1+Assumptions!$C$13)</f>
        <v>78170826.701205969</v>
      </c>
      <c r="Z5" s="59">
        <f>Y5*('Price and Financial ratios'!AB4+1)*(1+Assumptions!$C$13)</f>
        <v>81108597.416721374</v>
      </c>
      <c r="AA5" s="59">
        <f>Z5*('Price and Financial ratios'!AC4+1)*(1+Assumptions!$C$13)</f>
        <v>84156773.729070589</v>
      </c>
      <c r="AB5" s="59">
        <f>AA5*('Price and Financial ratios'!AD4+1)*(1+Assumptions!$C$13)</f>
        <v>87319504.837422863</v>
      </c>
      <c r="AC5" s="59">
        <f>AB5*('Price and Financial ratios'!AE4+1)*(1+Assumptions!$C$13)</f>
        <v>90601095.873746499</v>
      </c>
      <c r="AD5" s="59">
        <f>AC5*('Price and Financial ratios'!AF4+1)*(1+Assumptions!$C$13)</f>
        <v>94006013.762984961</v>
      </c>
      <c r="AE5" s="59">
        <f>AD5*('Price and Financial ratios'!AG4+1)*(1+Assumptions!$C$13)</f>
        <v>97538893.303466707</v>
      </c>
      <c r="AF5" s="59">
        <f>AE5*('Price and Financial ratios'!AH4+1)*(1+Assumptions!$C$13)</f>
        <v>101204543.47582552</v>
      </c>
    </row>
    <row r="6" spans="1:32" s="11" customFormat="1" x14ac:dyDescent="0.35">
      <c r="A6" s="11" t="s">
        <v>20</v>
      </c>
      <c r="C6" s="59">
        <f>C27</f>
        <v>3830742.7641627975</v>
      </c>
      <c r="D6" s="59">
        <f t="shared" ref="D6:AF6" si="1">D27</f>
        <v>4452962.1066269977</v>
      </c>
      <c r="E6" s="59">
        <f>E27</f>
        <v>5101519.6804930298</v>
      </c>
      <c r="F6" s="59">
        <f t="shared" si="1"/>
        <v>5777303.8298545703</v>
      </c>
      <c r="G6" s="59">
        <f t="shared" si="1"/>
        <v>6481230.388836965</v>
      </c>
      <c r="H6" s="59">
        <f t="shared" si="1"/>
        <v>7214243.5044410955</v>
      </c>
      <c r="I6" s="59">
        <f t="shared" si="1"/>
        <v>7977316.4839122575</v>
      </c>
      <c r="J6" s="59">
        <f t="shared" si="1"/>
        <v>8771452.6673759706</v>
      </c>
      <c r="K6" s="59">
        <f t="shared" si="1"/>
        <v>9597686.3265057039</v>
      </c>
      <c r="L6" s="59">
        <f t="shared" si="1"/>
        <v>10457083.590011327</v>
      </c>
      <c r="M6" s="59">
        <f t="shared" si="1"/>
        <v>11350743.396761619</v>
      </c>
      <c r="N6" s="59">
        <f t="shared" si="1"/>
        <v>12279798.477379628</v>
      </c>
      <c r="O6" s="59">
        <f t="shared" si="1"/>
        <v>13245416.365175834</v>
      </c>
      <c r="P6" s="59">
        <f t="shared" si="1"/>
        <v>14248800.43731099</v>
      </c>
      <c r="Q6" s="59">
        <f t="shared" si="1"/>
        <v>15291190.987108661</v>
      </c>
      <c r="R6" s="59">
        <f t="shared" si="1"/>
        <v>16373866.328466032</v>
      </c>
      <c r="S6" s="59">
        <f t="shared" si="1"/>
        <v>17498143.933341566</v>
      </c>
      <c r="T6" s="59">
        <f t="shared" si="1"/>
        <v>18665381.603328526</v>
      </c>
      <c r="U6" s="59">
        <f t="shared" si="1"/>
        <v>19876978.676355381</v>
      </c>
      <c r="V6" s="59">
        <f t="shared" si="1"/>
        <v>21134377.269586619</v>
      </c>
      <c r="W6" s="59">
        <f t="shared" si="1"/>
        <v>22439063.559631459</v>
      </c>
      <c r="X6" s="59">
        <f t="shared" si="1"/>
        <v>23792569.101202771</v>
      </c>
      <c r="Y6" s="59">
        <f t="shared" si="1"/>
        <v>25196472.185404658</v>
      </c>
      <c r="Z6" s="59">
        <f t="shared" si="1"/>
        <v>26652399.238864243</v>
      </c>
      <c r="AA6" s="59">
        <f t="shared" si="1"/>
        <v>28162026.264961842</v>
      </c>
      <c r="AB6" s="59">
        <f t="shared" si="1"/>
        <v>29727080.328453269</v>
      </c>
      <c r="AC6" s="59">
        <f t="shared" si="1"/>
        <v>31349341.08481903</v>
      </c>
      <c r="AD6" s="59">
        <f t="shared" si="1"/>
        <v>33030642.355717659</v>
      </c>
      <c r="AE6" s="59">
        <f t="shared" si="1"/>
        <v>34772873.75196401</v>
      </c>
      <c r="AF6" s="59">
        <f t="shared" si="1"/>
        <v>36577982.345498644</v>
      </c>
    </row>
    <row r="7" spans="1:32" x14ac:dyDescent="0.35">
      <c r="A7" t="s">
        <v>21</v>
      </c>
      <c r="C7" s="4">
        <f>Depreciation!C8+Depreciation!C9</f>
        <v>2873196.4012424857</v>
      </c>
      <c r="D7" s="4">
        <f>Depreciation!D8+Depreciation!D9</f>
        <v>3361306.3136022454</v>
      </c>
      <c r="E7" s="4">
        <f>Depreciation!E8+Depreciation!E9</f>
        <v>3877713.1072381567</v>
      </c>
      <c r="F7" s="4">
        <f>Depreciation!F8+Depreciation!F9</f>
        <v>4423727.9580016378</v>
      </c>
      <c r="G7" s="4">
        <f>Depreciation!G8+Depreciation!G9</f>
        <v>5000716.980992171</v>
      </c>
      <c r="H7" s="4">
        <f>Depreciation!H8+Depreciation!H9</f>
        <v>5610103.4040251039</v>
      </c>
      <c r="I7" s="4">
        <f>Depreciation!I8+Depreciation!I9</f>
        <v>6253369.8239436075</v>
      </c>
      <c r="J7" s="4">
        <f>Depreciation!J8+Depreciation!J9</f>
        <v>6932060.5488511752</v>
      </c>
      <c r="K7" s="4">
        <f>Depreciation!K8+Depreciation!K9</f>
        <v>7647784.0294531081</v>
      </c>
      <c r="L7" s="4">
        <f>Depreciation!L8+Depreciation!L9</f>
        <v>8402215.3828115407</v>
      </c>
      <c r="M7" s="4">
        <f>Depreciation!M8+Depreciation!M9</f>
        <v>9197099.0119387526</v>
      </c>
      <c r="N7" s="4">
        <f>Depreciation!N8+Depreciation!N9</f>
        <v>10034251.324778108</v>
      </c>
      <c r="O7" s="4">
        <f>Depreciation!O8+Depreciation!O9</f>
        <v>10915563.55625096</v>
      </c>
      <c r="P7" s="4">
        <f>Depreciation!P8+Depreciation!P9</f>
        <v>11843004.697181495</v>
      </c>
      <c r="Q7" s="4">
        <f>Depreciation!Q8+Depreciation!Q9</f>
        <v>12818624.534049986</v>
      </c>
      <c r="R7" s="4">
        <f>Depreciation!R8+Depreciation!R9</f>
        <v>13844556.803668145</v>
      </c>
      <c r="S7" s="4">
        <f>Depreciation!S8+Depreciation!S9</f>
        <v>14923022.467019007</v>
      </c>
      <c r="T7" s="4">
        <f>Depreciation!T8+Depreciation!T9</f>
        <v>16056333.106657362</v>
      </c>
      <c r="U7" s="4">
        <f>Depreciation!U8+Depreciation!U9</f>
        <v>17246894.452226341</v>
      </c>
      <c r="V7" s="4">
        <f>Depreciation!V8+Depreciation!V9</f>
        <v>18497210.038810525</v>
      </c>
      <c r="W7" s="4">
        <f>Depreciation!W8+Depreciation!W9</f>
        <v>19809885.003017016</v>
      </c>
      <c r="X7" s="4">
        <f>Depreciation!X8+Depreciation!X9</f>
        <v>21187630.021852978</v>
      </c>
      <c r="Y7" s="4">
        <f>Depreciation!Y8+Depreciation!Y9</f>
        <v>22633265.399651349</v>
      </c>
      <c r="Z7" s="4">
        <f>Depreciation!Z8+Depreciation!Z9</f>
        <v>24149725.308486443</v>
      </c>
      <c r="AA7" s="4">
        <f>Depreciation!AA8+Depreciation!AA9</f>
        <v>25740062.187717747</v>
      </c>
      <c r="AB7" s="4">
        <f>Depreciation!AB8+Depreciation!AB9</f>
        <v>27407451.308503948</v>
      </c>
      <c r="AC7" s="4">
        <f>Depreciation!AC8+Depreciation!AC9</f>
        <v>29155195.509340249</v>
      </c>
      <c r="AD7" s="4">
        <f>Depreciation!AD8+Depreciation!AD9</f>
        <v>30986730.108890176</v>
      </c>
      <c r="AE7" s="4">
        <f>Depreciation!AE8+Depreciation!AE9</f>
        <v>32905628.002609715</v>
      </c>
      <c r="AF7" s="4">
        <f>Depreciation!AF8+Depreciation!AF9</f>
        <v>34915604.949895814</v>
      </c>
    </row>
    <row r="8" spans="1:32" x14ac:dyDescent="0.35">
      <c r="A8" t="s">
        <v>6</v>
      </c>
      <c r="C8" s="4">
        <f ca="1">'Debt worksheet'!C8</f>
        <v>1075442.1837783412</v>
      </c>
      <c r="D8" s="4">
        <f ca="1">'Debt worksheet'!D8</f>
        <v>1543565.164250345</v>
      </c>
      <c r="E8" s="4">
        <f ca="1">'Debt worksheet'!E8</f>
        <v>1899208.3543529718</v>
      </c>
      <c r="F8" s="4">
        <f ca="1">'Debt worksheet'!F8</f>
        <v>2184745.3102514339</v>
      </c>
      <c r="G8" s="4">
        <f ca="1">'Debt worksheet'!G8</f>
        <v>2431049.1906354199</v>
      </c>
      <c r="H8" s="4">
        <f ca="1">'Debt worksheet'!H8</f>
        <v>2650072.4243718609</v>
      </c>
      <c r="I8" s="4">
        <f ca="1">'Debt worksheet'!I8</f>
        <v>2852021.9621321457</v>
      </c>
      <c r="J8" s="4">
        <f ca="1">'Debt worksheet'!J8</f>
        <v>3052516.6858546846</v>
      </c>
      <c r="K8" s="4">
        <f ca="1">'Debt worksheet'!K8</f>
        <v>3260423.5498690181</v>
      </c>
      <c r="L8" s="4">
        <f ca="1">'Debt worksheet'!L8</f>
        <v>3474148.7278988464</v>
      </c>
      <c r="M8" s="4">
        <f ca="1">'Debt worksheet'!M8</f>
        <v>3691823.5087682842</v>
      </c>
      <c r="N8" s="4">
        <f ca="1">'Debt worksheet'!N8</f>
        <v>3911276.2215612652</v>
      </c>
      <c r="O8" s="4">
        <f ca="1">'Debt worksheet'!O8</f>
        <v>4130001.8073898726</v>
      </c>
      <c r="P8" s="4">
        <f ca="1">'Debt worksheet'!P8</f>
        <v>4345128.8592566187</v>
      </c>
      <c r="Q8" s="4">
        <f ca="1">'Debt worksheet'!Q8</f>
        <v>4553383.9386938009</v>
      </c>
      <c r="R8" s="4">
        <f ca="1">'Debt worksheet'!R8</f>
        <v>4751052.964172909</v>
      </c>
      <c r="S8" s="4">
        <f ca="1">'Debt worksheet'!S8</f>
        <v>4933939.4516382869</v>
      </c>
      <c r="T8" s="4">
        <f ca="1">'Debt worksheet'!T8</f>
        <v>5097319.3718673317</v>
      </c>
      <c r="U8" s="4">
        <f ca="1">'Debt worksheet'!U8</f>
        <v>5235892.3726256983</v>
      </c>
      <c r="V8" s="4">
        <f ca="1">'Debt worksheet'!V8</f>
        <v>5380514.0131465979</v>
      </c>
      <c r="W8" s="4">
        <f ca="1">'Debt worksheet'!W8</f>
        <v>5563698.3836814296</v>
      </c>
      <c r="X8" s="4">
        <f ca="1">'Debt worksheet'!X8</f>
        <v>5788470.8241055012</v>
      </c>
      <c r="Y8" s="4">
        <f ca="1">'Debt worksheet'!Y8</f>
        <v>6058025.7996301306</v>
      </c>
      <c r="Z8" s="4">
        <f ca="1">'Debt worksheet'!Z8</f>
        <v>6375734.9543381035</v>
      </c>
      <c r="AA8" s="4">
        <f ca="1">'Debt worksheet'!AA8</f>
        <v>6745155.5137969153</v>
      </c>
      <c r="AB8" s="4">
        <f ca="1">'Debt worksheet'!AB8</f>
        <v>7170039.0509502692</v>
      </c>
      <c r="AC8" s="4">
        <f ca="1">'Debt worksheet'!AC8</f>
        <v>7654340.6300388323</v>
      </c>
      <c r="AD8" s="4">
        <f ca="1">'Debt worksheet'!AD8</f>
        <v>8202228.3438722454</v>
      </c>
      <c r="AE8" s="4">
        <f ca="1">'Debt worksheet'!AE8</f>
        <v>8818093.2603666242</v>
      </c>
      <c r="AF8" s="4">
        <f ca="1">'Debt worksheet'!AF8</f>
        <v>9506559.7948759645</v>
      </c>
    </row>
    <row r="9" spans="1:32" x14ac:dyDescent="0.35">
      <c r="A9" t="s">
        <v>22</v>
      </c>
      <c r="C9" s="4">
        <f ca="1">C5-C6-C7-C8</f>
        <v>884220.46347597078</v>
      </c>
      <c r="D9" s="4">
        <f t="shared" ref="D9:AF9" ca="1" si="2">D5-D6-D7-D8</f>
        <v>3132042.1807998931</v>
      </c>
      <c r="E9" s="4">
        <f t="shared" ca="1" si="2"/>
        <v>6873973.9804278053</v>
      </c>
      <c r="F9" s="4">
        <f t="shared" ca="1" si="2"/>
        <v>9422135.8988714572</v>
      </c>
      <c r="G9" s="4">
        <f t="shared" ca="1" si="2"/>
        <v>11105651.622013263</v>
      </c>
      <c r="H9" s="4">
        <f t="shared" ca="1" si="2"/>
        <v>12465671.6401986</v>
      </c>
      <c r="I9" s="4">
        <f t="shared" ca="1" si="2"/>
        <v>13552642.831419896</v>
      </c>
      <c r="J9" s="4">
        <f t="shared" ca="1" si="2"/>
        <v>14212533.094770331</v>
      </c>
      <c r="K9" s="4">
        <f t="shared" ca="1" si="2"/>
        <v>14638868.178583724</v>
      </c>
      <c r="L9" s="4">
        <f t="shared" ca="1" si="2"/>
        <v>15131160.692668814</v>
      </c>
      <c r="M9" s="4">
        <f t="shared" ca="1" si="2"/>
        <v>15697917.916472649</v>
      </c>
      <c r="N9" s="4">
        <f t="shared" ca="1" si="2"/>
        <v>16348470.177350592</v>
      </c>
      <c r="O9" s="4">
        <f t="shared" ca="1" si="2"/>
        <v>17093038.759418648</v>
      </c>
      <c r="P9" s="4">
        <f t="shared" ca="1" si="2"/>
        <v>17942808.934245102</v>
      </c>
      <c r="Q9" s="4">
        <f t="shared" ca="1" si="2"/>
        <v>18910008.479835205</v>
      </c>
      <c r="R9" s="4">
        <f t="shared" ca="1" si="2"/>
        <v>20007992.079763174</v>
      </c>
      <c r="S9" s="4">
        <f t="shared" ca="1" si="2"/>
        <v>21251332.021431677</v>
      </c>
      <c r="T9" s="4">
        <f t="shared" ca="1" si="2"/>
        <v>22655915.641409624</v>
      </c>
      <c r="U9" s="4">
        <f t="shared" ca="1" si="2"/>
        <v>24239049.996734928</v>
      </c>
      <c r="V9" s="4">
        <f t="shared" ca="1" si="2"/>
        <v>24968576.632680036</v>
      </c>
      <c r="W9" s="4">
        <f t="shared" ca="1" si="2"/>
        <v>24798004.298718259</v>
      </c>
      <c r="X9" s="4">
        <f t="shared" ca="1" si="2"/>
        <v>24570792.72107368</v>
      </c>
      <c r="Y9" s="4">
        <f t="shared" ca="1" si="2"/>
        <v>24283063.31651983</v>
      </c>
      <c r="Z9" s="4">
        <f t="shared" ca="1" si="2"/>
        <v>23930737.915032584</v>
      </c>
      <c r="AA9" s="4">
        <f t="shared" ca="1" si="2"/>
        <v>23509529.762594089</v>
      </c>
      <c r="AB9" s="4">
        <f t="shared" ca="1" si="2"/>
        <v>23014934.149515372</v>
      </c>
      <c r="AC9" s="4">
        <f t="shared" ca="1" si="2"/>
        <v>22442218.649548385</v>
      </c>
      <c r="AD9" s="4">
        <f t="shared" ca="1" si="2"/>
        <v>21786412.954504881</v>
      </c>
      <c r="AE9" s="4">
        <f t="shared" ca="1" si="2"/>
        <v>21042298.288526356</v>
      </c>
      <c r="AF9" s="4">
        <f t="shared" ca="1" si="2"/>
        <v>20204396.385555096</v>
      </c>
    </row>
    <row r="12" spans="1:32" x14ac:dyDescent="0.35">
      <c r="A12" t="s">
        <v>79</v>
      </c>
      <c r="C12" s="2">
        <f>Assumptions!$C$25*Assumptions!D9*Assumptions!D13</f>
        <v>3355538.3141627978</v>
      </c>
      <c r="D12" s="2">
        <f>Assumptions!$C$25*Assumptions!E9*Assumptions!E13</f>
        <v>3481644.2108269981</v>
      </c>
      <c r="E12" s="2">
        <f>Assumptions!$C$25*Assumptions!F9*Assumptions!F13</f>
        <v>3612489.3462316296</v>
      </c>
      <c r="F12" s="2">
        <f>Assumptions!$C$25*Assumptions!G9*Assumptions!G13</f>
        <v>3748251.8277010359</v>
      </c>
      <c r="G12" s="2">
        <f>Assumptions!$C$25*Assumptions!H9*Assumptions!H13</f>
        <v>3889116.4560858258</v>
      </c>
      <c r="H12" s="2">
        <f>Assumptions!$C$25*Assumptions!I9*Assumptions!I13</f>
        <v>4035274.9773150971</v>
      </c>
      <c r="I12" s="2">
        <f>Assumptions!$C$25*Assumptions!J9*Assumptions!J13</f>
        <v>4186926.3434023582</v>
      </c>
      <c r="J12" s="2">
        <f>Assumptions!$C$25*Assumptions!K9*Assumptions!K13</f>
        <v>4344276.9832604071</v>
      </c>
      <c r="K12" s="2">
        <f>Assumptions!$C$25*Assumptions!L9*Assumptions!L13</f>
        <v>4507541.0836938368</v>
      </c>
      <c r="L12" s="2">
        <f>Assumptions!$C$25*Assumptions!M9*Assumptions!M13</f>
        <v>4676940.880951629</v>
      </c>
      <c r="M12" s="2">
        <f>Assumptions!$C$25*Assumptions!N9*Assumptions!N13</f>
        <v>4852706.9632367054</v>
      </c>
      <c r="N12" s="2">
        <f>Assumptions!$C$25*Assumptions!O9*Assumptions!O13</f>
        <v>5035078.5845842175</v>
      </c>
      <c r="O12" s="2">
        <f>Assumptions!$C$25*Assumptions!P9*Assumptions!P13</f>
        <v>5224303.9905358488</v>
      </c>
      <c r="P12" s="2">
        <f>Assumptions!$C$25*Assumptions!Q9*Assumptions!Q13</f>
        <v>5420640.7560533825</v>
      </c>
      <c r="Q12" s="2">
        <f>Assumptions!$C$25*Assumptions!R9*Assumptions!R13</f>
        <v>5624356.1361315791</v>
      </c>
      <c r="R12" s="2">
        <f>Assumptions!$C$25*Assumptions!S9*Assumptions!S13</f>
        <v>5835727.4295875505</v>
      </c>
      <c r="S12" s="2">
        <f>Assumptions!$C$25*Assumptions!T9*Assumptions!T13</f>
        <v>6055042.3565218961</v>
      </c>
      <c r="T12" s="2">
        <f>Assumptions!$C$25*Assumptions!U9*Assumptions!U13</f>
        <v>6282599.4499653103</v>
      </c>
      <c r="U12" s="2">
        <f>Assumptions!$C$25*Assumptions!V9*Assumptions!V13</f>
        <v>6518708.4622438839</v>
      </c>
      <c r="V12" s="2">
        <f>Assumptions!$C$25*Assumptions!W9*Assumptions!W13</f>
        <v>6763690.7866161428</v>
      </c>
      <c r="W12" s="2">
        <f>Assumptions!$C$25*Assumptions!X9*Assumptions!X13</f>
        <v>7017879.8947558375</v>
      </c>
      <c r="X12" s="2">
        <f>Assumptions!$C$25*Assumptions!Y9*Assumptions!Y13</f>
        <v>7281621.7906759409</v>
      </c>
      <c r="Y12" s="2">
        <f>Assumptions!$C$25*Assumptions!Z9*Assumptions!Z13</f>
        <v>7555275.4817117639</v>
      </c>
      <c r="Z12" s="2">
        <f>Assumptions!$C$25*Assumptions!AA9*Assumptions!AA13</f>
        <v>7839213.467204269</v>
      </c>
      <c r="AA12" s="2">
        <f>Assumptions!$C$25*Assumptions!AB9*Assumptions!AB13</f>
        <v>8133822.2455488294</v>
      </c>
      <c r="AB12" s="2">
        <f>Assumptions!$C$25*Assumptions!AC9*Assumptions!AC13</f>
        <v>8439502.8402995616</v>
      </c>
      <c r="AC12" s="2">
        <f>Assumptions!$C$25*Assumptions!AD9*Assumptions!AD13</f>
        <v>8756671.3460454382</v>
      </c>
      <c r="AD12" s="2">
        <f>Assumptions!$C$25*Assumptions!AE9*Assumptions!AE13</f>
        <v>9085759.4948011693</v>
      </c>
      <c r="AE12" s="2">
        <f>Assumptions!$C$25*Assumptions!AF9*Assumptions!AF13</f>
        <v>9427215.2436839063</v>
      </c>
      <c r="AF12" s="2">
        <f>Assumptions!$C$25*Assumptions!AG9*Assumptions!AG13</f>
        <v>9781503.3846756108</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475204.44999999995</v>
      </c>
      <c r="D14" s="5">
        <f>Assumptions!E122*Assumptions!E9</f>
        <v>971317.89579999982</v>
      </c>
      <c r="E14" s="5">
        <f>Assumptions!F122*Assumptions!F9</f>
        <v>1489030.3342613999</v>
      </c>
      <c r="F14" s="5">
        <f>Assumptions!G122*Assumptions!G9</f>
        <v>2029052.0021535342</v>
      </c>
      <c r="G14" s="5">
        <f>Assumptions!H122*Assumptions!H9</f>
        <v>2592113.9327511396</v>
      </c>
      <c r="H14" s="5">
        <f>Assumptions!I122*Assumptions!I9</f>
        <v>3178968.5271259979</v>
      </c>
      <c r="I14" s="5">
        <f>Assumptions!J122*Assumptions!J9</f>
        <v>3790390.1405098988</v>
      </c>
      <c r="J14" s="5">
        <f>Assumptions!K122*Assumptions!K9</f>
        <v>4427175.6841155626</v>
      </c>
      <c r="K14" s="5">
        <f>Assumptions!L122*Assumptions!L9</f>
        <v>5090145.242811867</v>
      </c>
      <c r="L14" s="5">
        <f>Assumptions!M122*Assumptions!M9</f>
        <v>5780142.7090596976</v>
      </c>
      <c r="M14" s="5">
        <f>Assumptions!N122*Assumptions!N9</f>
        <v>6498036.4335249122</v>
      </c>
      <c r="N14" s="5">
        <f>Assumptions!O122*Assumptions!O9</f>
        <v>7244719.8927954109</v>
      </c>
      <c r="O14" s="5">
        <f>Assumptions!P122*Assumptions!P9</f>
        <v>8021112.3746399852</v>
      </c>
      <c r="P14" s="5">
        <f>Assumptions!Q122*Assumptions!Q9</f>
        <v>8828159.6812576074</v>
      </c>
      <c r="Q14" s="5">
        <f>Assumptions!R122*Assumptions!R9</f>
        <v>9666834.8509770818</v>
      </c>
      <c r="R14" s="5">
        <f>Assumptions!S122*Assumptions!S9</f>
        <v>10538138.898878481</v>
      </c>
      <c r="S14" s="5">
        <f>Assumptions!T122*Assumptions!T9</f>
        <v>11443101.576819671</v>
      </c>
      <c r="T14" s="5">
        <f>Assumptions!U122*Assumptions!U9</f>
        <v>12382782.153363217</v>
      </c>
      <c r="U14" s="5">
        <f>Assumptions!V122*Assumptions!V9</f>
        <v>13358270.214111498</v>
      </c>
      <c r="V14" s="5">
        <f>Assumptions!W122*Assumptions!W9</f>
        <v>14370686.482970476</v>
      </c>
      <c r="W14" s="5">
        <f>Assumptions!X122*Assumptions!X9</f>
        <v>15421183.664875621</v>
      </c>
      <c r="X14" s="5">
        <f>Assumptions!Y122*Assumptions!Y9</f>
        <v>16510947.310526829</v>
      </c>
      <c r="Y14" s="5">
        <f>Assumptions!Z122*Assumptions!Z9</f>
        <v>17641196.703692894</v>
      </c>
      <c r="Z14" s="5">
        <f>Assumptions!AA122*Assumptions!AA9</f>
        <v>18813185.771659974</v>
      </c>
      <c r="AA14" s="5">
        <f>Assumptions!AB122*Assumptions!AB9</f>
        <v>20028204.019413013</v>
      </c>
      <c r="AB14" s="5">
        <f>Assumptions!AC122*Assumptions!AC9</f>
        <v>21287577.488153707</v>
      </c>
      <c r="AC14" s="5">
        <f>Assumptions!AD122*Assumptions!AD9</f>
        <v>22592669.738773592</v>
      </c>
      <c r="AD14" s="5">
        <f>Assumptions!AE122*Assumptions!AE9</f>
        <v>23944882.860916488</v>
      </c>
      <c r="AE14" s="5">
        <f>Assumptions!AF122*Assumptions!AF9</f>
        <v>25345658.508280102</v>
      </c>
      <c r="AF14" s="5">
        <f>Assumptions!AG122*Assumptions!AG9</f>
        <v>26796478.960823033</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3830742.7641627975</v>
      </c>
      <c r="D27" s="2">
        <f t="shared" ref="D27:AF27" si="8">D12+D13+D14+D19+D20+D22+D24+D25</f>
        <v>4452962.1066269977</v>
      </c>
      <c r="E27" s="2">
        <f t="shared" si="8"/>
        <v>5101519.6804930298</v>
      </c>
      <c r="F27" s="2">
        <f t="shared" si="8"/>
        <v>5777303.8298545703</v>
      </c>
      <c r="G27" s="2">
        <f t="shared" si="8"/>
        <v>6481230.388836965</v>
      </c>
      <c r="H27" s="2">
        <f t="shared" si="8"/>
        <v>7214243.5044410955</v>
      </c>
      <c r="I27" s="2">
        <f t="shared" si="8"/>
        <v>7977316.4839122575</v>
      </c>
      <c r="J27" s="2">
        <f t="shared" si="8"/>
        <v>8771452.6673759706</v>
      </c>
      <c r="K27" s="2">
        <f t="shared" si="8"/>
        <v>9597686.3265057039</v>
      </c>
      <c r="L27" s="2">
        <f t="shared" si="8"/>
        <v>10457083.590011327</v>
      </c>
      <c r="M27" s="2">
        <f t="shared" si="8"/>
        <v>11350743.396761619</v>
      </c>
      <c r="N27" s="2">
        <f t="shared" si="8"/>
        <v>12279798.477379628</v>
      </c>
      <c r="O27" s="2">
        <f t="shared" si="8"/>
        <v>13245416.365175834</v>
      </c>
      <c r="P27" s="2">
        <f t="shared" si="8"/>
        <v>14248800.43731099</v>
      </c>
      <c r="Q27" s="2">
        <f t="shared" si="8"/>
        <v>15291190.987108661</v>
      </c>
      <c r="R27" s="2">
        <f t="shared" si="8"/>
        <v>16373866.328466032</v>
      </c>
      <c r="S27" s="2">
        <f t="shared" si="8"/>
        <v>17498143.933341566</v>
      </c>
      <c r="T27" s="2">
        <f t="shared" si="8"/>
        <v>18665381.603328526</v>
      </c>
      <c r="U27" s="2">
        <f t="shared" si="8"/>
        <v>19876978.676355381</v>
      </c>
      <c r="V27" s="2">
        <f t="shared" si="8"/>
        <v>21134377.269586619</v>
      </c>
      <c r="W27" s="2">
        <f t="shared" si="8"/>
        <v>22439063.559631459</v>
      </c>
      <c r="X27" s="2">
        <f t="shared" si="8"/>
        <v>23792569.101202771</v>
      </c>
      <c r="Y27" s="2">
        <f t="shared" si="8"/>
        <v>25196472.185404658</v>
      </c>
      <c r="Z27" s="2">
        <f t="shared" si="8"/>
        <v>26652399.238864243</v>
      </c>
      <c r="AA27" s="2">
        <f t="shared" si="8"/>
        <v>28162026.264961842</v>
      </c>
      <c r="AB27" s="2">
        <f t="shared" si="8"/>
        <v>29727080.328453269</v>
      </c>
      <c r="AC27" s="2">
        <f t="shared" si="8"/>
        <v>31349341.08481903</v>
      </c>
      <c r="AD27" s="2">
        <f t="shared" si="8"/>
        <v>33030642.355717659</v>
      </c>
      <c r="AE27" s="2">
        <f t="shared" si="8"/>
        <v>34772873.75196401</v>
      </c>
      <c r="AF27" s="2">
        <f t="shared" si="8"/>
        <v>36577982.345498644</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3W2DU3RAJ5R2-1900874439-758</_dlc_DocId>
    <_dlc_DocIdUrl xmlns="f54e2983-00ce-40fc-8108-18f351fc47bf">
      <Url>https://dia.cohesion.net.nz/Sites/LGV/TWRP/CAE/_layouts/15/DocIdRedir.aspx?ID=3W2DU3RAJ5R2-1900874439-758</Url>
      <Description>3W2DU3RAJ5R2-1900874439-758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08a23fc5-e034-477c-ac83-93bc1440f322"/>
    <ds:schemaRef ds:uri="http://www.w3.org/XML/1998/namespace"/>
    <ds:schemaRef ds:uri="http://purl.org/dc/dcmitype/"/>
  </ds:schemaRefs>
</ds:datastoreItem>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1C3C96BC-3327-4FC2-A1A4-6B082AEF1CF4}"/>
</file>

<file path=customXml/itemProps4.xml><?xml version="1.0" encoding="utf-8"?>
<ds:datastoreItem xmlns:ds="http://schemas.openxmlformats.org/officeDocument/2006/customXml" ds:itemID="{C521238F-185B-4FD7-A104-C9D5A0E188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2021-07-02T17:11:33Z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6838cf06-4593-4e57-b949-d8e5a5356696</vt:lpwstr>
  </property>
</Properties>
</file>