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722" documentId="8_{ECE80160-24CA-47AB-95E8-54340D3C4F2B}" xr6:coauthVersionLast="47" xr6:coauthVersionMax="47" xr10:uidLastSave="{6B603FE2-F1E1-407E-962E-DC8719377268}"/>
  <bookViews>
    <workbookView xWindow="1520" yWindow="1520" windowWidth="36330" windowHeight="7080" tabRatio="721" firstSheet="1" activeTab="5"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1" l="1"/>
  <c r="C107" i="2"/>
  <c r="C106" i="2"/>
  <c r="A11" i="19" l="1"/>
  <c r="A9" i="19"/>
  <c r="B40" i="21"/>
  <c r="B27" i="21"/>
  <c r="A21" i="21"/>
  <c r="A34" i="21"/>
  <c r="B8" i="21"/>
  <c r="B21" i="21"/>
  <c r="B34" i="21"/>
  <c r="C83" i="2"/>
  <c r="C90" i="2"/>
  <c r="C95" i="2"/>
  <c r="C87" i="2"/>
  <c r="C82" i="2"/>
  <c r="C89" i="2"/>
  <c r="C94" i="2"/>
  <c r="C58" i="2"/>
  <c r="C63" i="2"/>
  <c r="D11" i="2"/>
  <c r="F9" i="2"/>
  <c r="E9" i="2"/>
  <c r="D9" i="2"/>
  <c r="G11" i="2"/>
  <c r="V9" i="2"/>
  <c r="E11" i="2"/>
  <c r="F11" i="2"/>
  <c r="E9" i="9"/>
  <c r="H11" i="2"/>
  <c r="I11" i="2"/>
  <c r="H9" i="9"/>
  <c r="C67" i="2"/>
  <c r="C72" i="2"/>
  <c r="C5" i="3"/>
  <c r="E6" i="7"/>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s="1"/>
  <c r="C21" i="9" s="1"/>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F9" i="9"/>
  <c r="G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AG9" i="2"/>
  <c r="AF9" i="2"/>
  <c r="AE9" i="2"/>
  <c r="AD9" i="2"/>
  <c r="AC12" i="8"/>
  <c r="AC9" i="2"/>
  <c r="AB9" i="2"/>
  <c r="AA9" i="2"/>
  <c r="Z9" i="2"/>
  <c r="Y9" i="2"/>
  <c r="X9" i="2"/>
  <c r="W9" i="2"/>
  <c r="U9" i="2"/>
  <c r="T12" i="8"/>
  <c r="T9" i="2"/>
  <c r="S9" i="2"/>
  <c r="R9" i="2"/>
  <c r="Q9" i="2"/>
  <c r="P9" i="2"/>
  <c r="O9" i="2"/>
  <c r="N9" i="2"/>
  <c r="M9" i="2"/>
  <c r="L12" i="8"/>
  <c r="L9" i="2"/>
  <c r="K9" i="2"/>
  <c r="J9" i="2"/>
  <c r="I9" i="2"/>
  <c r="H9" i="2"/>
  <c r="G12" i="8"/>
  <c r="G9" i="2"/>
  <c r="B11" i="5"/>
  <c r="C22" i="6"/>
  <c r="C129" i="2"/>
  <c r="C135" i="2"/>
  <c r="H44" i="2"/>
  <c r="H43" i="2"/>
  <c r="G16" i="8" s="1"/>
  <c r="G19" i="8" s="1"/>
  <c r="I44" i="2"/>
  <c r="G15" i="9"/>
  <c r="D13" i="2"/>
  <c r="D135" i="2"/>
  <c r="E13" i="2"/>
  <c r="F13" i="2"/>
  <c r="E12" i="8"/>
  <c r="C5" i="8"/>
  <c r="G13" i="2"/>
  <c r="F12" i="8"/>
  <c r="AF13" i="2"/>
  <c r="AE13" i="2"/>
  <c r="AD12" i="8"/>
  <c r="V13" i="2"/>
  <c r="U12" i="8"/>
  <c r="U13" i="2"/>
  <c r="J13" i="2"/>
  <c r="C12" i="8"/>
  <c r="O13" i="2"/>
  <c r="AB13" i="2"/>
  <c r="S13" i="2"/>
  <c r="Z13" i="2"/>
  <c r="AG13" i="2"/>
  <c r="AF12" i="8"/>
  <c r="AC13" i="2"/>
  <c r="AB12" i="8"/>
  <c r="AA13" i="2"/>
  <c r="Q13" i="2"/>
  <c r="P12" i="8"/>
  <c r="P13" i="2"/>
  <c r="O12" i="8"/>
  <c r="W13" i="2"/>
  <c r="V12" i="8"/>
  <c r="T13" i="2"/>
  <c r="S12" i="8"/>
  <c r="Y13" i="2"/>
  <c r="X12" i="8"/>
  <c r="N13" i="2"/>
  <c r="M12" i="8"/>
  <c r="L13" i="2"/>
  <c r="R13" i="2"/>
  <c r="I13" i="2"/>
  <c r="H12" i="8"/>
  <c r="X13" i="2"/>
  <c r="W12" i="8"/>
  <c r="AD13" i="2"/>
  <c r="K13" i="2"/>
  <c r="K135" i="2"/>
  <c r="M13" i="2"/>
  <c r="H13" i="2"/>
  <c r="AE12" i="8"/>
  <c r="AE135" i="2"/>
  <c r="N135" i="2"/>
  <c r="Z12" i="8"/>
  <c r="D5" i="8"/>
  <c r="E5" i="8"/>
  <c r="F5" i="8"/>
  <c r="G5" i="8"/>
  <c r="H5" i="8"/>
  <c r="I5" i="8"/>
  <c r="J5" i="8"/>
  <c r="K5" i="8"/>
  <c r="L5" i="8"/>
  <c r="I12" i="8"/>
  <c r="D12" i="8"/>
  <c r="D19" i="8"/>
  <c r="L135" i="2"/>
  <c r="Y12" i="8"/>
  <c r="Q12" i="8"/>
  <c r="J12" i="8"/>
  <c r="AD135" i="2"/>
  <c r="W135" i="2"/>
  <c r="E19" i="8"/>
  <c r="C17" i="2"/>
  <c r="C66" i="2"/>
  <c r="C68" i="2"/>
  <c r="C71" i="2"/>
  <c r="C73" i="2"/>
  <c r="C75" i="2"/>
  <c r="K111" i="2"/>
  <c r="D111" i="2"/>
  <c r="C5" i="9"/>
  <c r="C18" i="2"/>
  <c r="C7" i="6"/>
  <c r="B6" i="5"/>
  <c r="C6" i="6"/>
  <c r="AG111" i="2"/>
  <c r="Z111" i="2"/>
  <c r="N111" i="2"/>
  <c r="M5" i="9"/>
  <c r="X111" i="2"/>
  <c r="W8" i="6"/>
  <c r="S111" i="2"/>
  <c r="R5" i="9"/>
  <c r="R11" i="9"/>
  <c r="O111" i="2"/>
  <c r="N8" i="6"/>
  <c r="R111" i="2"/>
  <c r="Q5" i="9"/>
  <c r="Q11" i="9"/>
  <c r="V111" i="2"/>
  <c r="AA111" i="2"/>
  <c r="W5" i="9"/>
  <c r="W11" i="9"/>
  <c r="N5" i="9"/>
  <c r="N11" i="9"/>
  <c r="M8" i="6"/>
  <c r="C8" i="6"/>
  <c r="R8" i="6"/>
  <c r="J8" i="6"/>
  <c r="J5" i="9"/>
  <c r="J11" i="9"/>
  <c r="M5" i="8"/>
  <c r="B20" i="21"/>
  <c r="B25" i="21"/>
  <c r="B29" i="21"/>
  <c r="U8" i="6"/>
  <c r="U5" i="9"/>
  <c r="U11" i="9"/>
  <c r="Q8" i="6"/>
  <c r="F19" i="8"/>
  <c r="AF8" i="6"/>
  <c r="AF5" i="9"/>
  <c r="AF11" i="9"/>
  <c r="M11" i="9"/>
  <c r="C11" i="9"/>
  <c r="J111" i="2"/>
  <c r="Y111" i="2"/>
  <c r="G111" i="2"/>
  <c r="H111" i="2"/>
  <c r="AD111" i="2"/>
  <c r="M111" i="2"/>
  <c r="AF111" i="2"/>
  <c r="Q111" i="2"/>
  <c r="I111" i="2"/>
  <c r="AC111" i="2"/>
  <c r="P111" i="2"/>
  <c r="L111" i="2"/>
  <c r="U111" i="2"/>
  <c r="F111" i="2"/>
  <c r="AE111" i="2"/>
  <c r="AB111" i="2"/>
  <c r="T111" i="2"/>
  <c r="W111" i="2"/>
  <c r="E111" i="2"/>
  <c r="C19" i="8"/>
  <c r="B10" i="21"/>
  <c r="B12" i="21"/>
  <c r="B16" i="21"/>
  <c r="AF135" i="2"/>
  <c r="Y135" i="2"/>
  <c r="X135" i="2"/>
  <c r="E135" i="2"/>
  <c r="AA135" i="2"/>
  <c r="I135" i="2"/>
  <c r="U135" i="2"/>
  <c r="G135" i="2"/>
  <c r="R135" i="2"/>
  <c r="O135" i="2"/>
  <c r="S135" i="2"/>
  <c r="H135" i="2"/>
  <c r="AC135" i="2"/>
  <c r="Z135" i="2"/>
  <c r="Q135" i="2"/>
  <c r="AG135" i="2"/>
  <c r="B36" i="21"/>
  <c r="M135" i="2"/>
  <c r="B23" i="21"/>
  <c r="P135" i="2"/>
  <c r="T135" i="2"/>
  <c r="V135" i="2"/>
  <c r="F135" i="2"/>
  <c r="J135" i="2"/>
  <c r="AB135" i="2"/>
  <c r="Z8" i="6"/>
  <c r="Z5" i="9"/>
  <c r="Z11" i="9"/>
  <c r="Y5" i="9"/>
  <c r="Y11" i="9"/>
  <c r="Y8" i="6"/>
  <c r="C96" i="2"/>
  <c r="C102" i="2"/>
  <c r="N12" i="8"/>
  <c r="R12" i="8"/>
  <c r="AA12" i="8"/>
  <c r="K12" i="8"/>
  <c r="T5" i="9"/>
  <c r="T11" i="9"/>
  <c r="T8" i="6"/>
  <c r="X5" i="9"/>
  <c r="X11" i="9"/>
  <c r="X8" i="6"/>
  <c r="H5" i="9"/>
  <c r="H11" i="9"/>
  <c r="H8" i="6"/>
  <c r="AA8" i="6"/>
  <c r="AA5" i="9"/>
  <c r="AA11" i="9"/>
  <c r="P5" i="9"/>
  <c r="P11" i="9"/>
  <c r="P8" i="6"/>
  <c r="AC113" i="2"/>
  <c r="AB113" i="2"/>
  <c r="AF113" i="2"/>
  <c r="AA113" i="2"/>
  <c r="Y113" i="2"/>
  <c r="G113" i="2"/>
  <c r="I113" i="2"/>
  <c r="L113" i="2"/>
  <c r="F113" i="2"/>
  <c r="W113" i="2"/>
  <c r="J113" i="2"/>
  <c r="D113" i="2"/>
  <c r="E113" i="2"/>
  <c r="V113" i="2"/>
  <c r="H113" i="2"/>
  <c r="Z113" i="2"/>
  <c r="U113" i="2"/>
  <c r="Q113" i="2"/>
  <c r="X113" i="2"/>
  <c r="S113" i="2"/>
  <c r="M113" i="2"/>
  <c r="R113" i="2"/>
  <c r="T113" i="2"/>
  <c r="K113" i="2"/>
  <c r="N113" i="2"/>
  <c r="AE113" i="2"/>
  <c r="O113" i="2"/>
  <c r="P113" i="2"/>
  <c r="AG113" i="2"/>
  <c r="AD113" i="2"/>
  <c r="S5" i="9"/>
  <c r="S11" i="9"/>
  <c r="S8" i="6"/>
  <c r="I5" i="9"/>
  <c r="I11" i="9"/>
  <c r="I8" i="6"/>
  <c r="AD5" i="9"/>
  <c r="AD11" i="9"/>
  <c r="AD8" i="6"/>
  <c r="AE8" i="6"/>
  <c r="AE5" i="9"/>
  <c r="AE11" i="9"/>
  <c r="E8" i="6"/>
  <c r="E5" i="9"/>
  <c r="E11" i="9"/>
  <c r="L5" i="9"/>
  <c r="L11" i="9"/>
  <c r="L8" i="6"/>
  <c r="AC8" i="6"/>
  <c r="AC5" i="9"/>
  <c r="AC11" i="9"/>
  <c r="K5" i="9"/>
  <c r="K11" i="9"/>
  <c r="K8" i="6"/>
  <c r="G8" i="6"/>
  <c r="G5" i="9"/>
  <c r="G11" i="9"/>
  <c r="N5" i="8"/>
  <c r="D8" i="6"/>
  <c r="D5" i="9"/>
  <c r="D11" i="9"/>
  <c r="O5" i="9"/>
  <c r="O11" i="9"/>
  <c r="O8" i="6"/>
  <c r="F8" i="6"/>
  <c r="F5" i="9"/>
  <c r="F11" i="9"/>
  <c r="AB8" i="6"/>
  <c r="AB5" i="9"/>
  <c r="AB11" i="9"/>
  <c r="V5" i="9"/>
  <c r="V11" i="9"/>
  <c r="V8" i="6"/>
  <c r="AC6" i="9"/>
  <c r="AC12" i="9"/>
  <c r="Q6" i="9"/>
  <c r="Q12" i="9"/>
  <c r="F6" i="9"/>
  <c r="F12" i="9"/>
  <c r="G115" i="2"/>
  <c r="AF6" i="9"/>
  <c r="AF12" i="9"/>
  <c r="L6" i="9"/>
  <c r="L12" i="9"/>
  <c r="E115" i="2"/>
  <c r="D6" i="9"/>
  <c r="D12" i="9"/>
  <c r="X6" i="9"/>
  <c r="X12" i="9"/>
  <c r="U6" i="9"/>
  <c r="U12" i="9"/>
  <c r="O6" i="9"/>
  <c r="O12" i="9"/>
  <c r="R6" i="9"/>
  <c r="R12" i="9"/>
  <c r="D116" i="2"/>
  <c r="D118" i="2" s="1"/>
  <c r="D115" i="2"/>
  <c r="C113" i="2"/>
  <c r="C114" i="2"/>
  <c r="C6" i="9"/>
  <c r="C12" i="9"/>
  <c r="Z6" i="9"/>
  <c r="Z12" i="9"/>
  <c r="N6" i="9"/>
  <c r="N12" i="9"/>
  <c r="W6" i="9"/>
  <c r="W12" i="9"/>
  <c r="I6" i="9"/>
  <c r="I12" i="9"/>
  <c r="AE6" i="9"/>
  <c r="AE12" i="9"/>
  <c r="AD6" i="9"/>
  <c r="AD12" i="9"/>
  <c r="P6" i="9"/>
  <c r="P12" i="9"/>
  <c r="AA6" i="9"/>
  <c r="AA12" i="9"/>
  <c r="O5" i="8"/>
  <c r="M6" i="9"/>
  <c r="M12" i="9"/>
  <c r="T6" i="9"/>
  <c r="T12" i="9"/>
  <c r="F115" i="2"/>
  <c r="E6" i="9"/>
  <c r="E12" i="9"/>
  <c r="AB6" i="9"/>
  <c r="AB12" i="9"/>
  <c r="V6" i="9"/>
  <c r="V12" i="9"/>
  <c r="J6" i="9"/>
  <c r="J12" i="9"/>
  <c r="Y6" i="9"/>
  <c r="Y12" i="9"/>
  <c r="K6" i="9"/>
  <c r="K12" i="9"/>
  <c r="S6" i="9"/>
  <c r="S12" i="9"/>
  <c r="H115" i="2"/>
  <c r="G6" i="9"/>
  <c r="G12" i="9"/>
  <c r="H6" i="9"/>
  <c r="H12" i="9"/>
  <c r="P5" i="8"/>
  <c r="G20" i="9"/>
  <c r="D20" i="9"/>
  <c r="C20" i="9"/>
  <c r="F20" i="9"/>
  <c r="E20" i="9"/>
  <c r="Q5" i="8"/>
  <c r="R5" i="8"/>
  <c r="S5" i="8"/>
  <c r="T5" i="8"/>
  <c r="U5" i="8"/>
  <c r="V5" i="8"/>
  <c r="W5" i="8"/>
  <c r="X5" i="8"/>
  <c r="Y5" i="8"/>
  <c r="Z5" i="8"/>
  <c r="AA5" i="8"/>
  <c r="AB5" i="8"/>
  <c r="AC5" i="8"/>
  <c r="AD5" i="8"/>
  <c r="AE5" i="8"/>
  <c r="AF5" i="8"/>
  <c r="B33" i="21"/>
  <c r="B38" i="21"/>
  <c r="B42" i="21"/>
  <c r="I115" i="2" l="1"/>
  <c r="H15" i="9"/>
  <c r="H20" i="9" s="1"/>
  <c r="J44" i="2"/>
  <c r="D122" i="2"/>
  <c r="C14" i="8" s="1"/>
  <c r="D120" i="2"/>
  <c r="C18" i="9"/>
  <c r="I43" i="2"/>
  <c r="C17" i="8"/>
  <c r="E45" i="2"/>
  <c r="E116" i="2" l="1"/>
  <c r="E118" i="2" s="1"/>
  <c r="D17" i="8"/>
  <c r="D16" i="9"/>
  <c r="F45" i="2"/>
  <c r="C22" i="8"/>
  <c r="C20" i="8"/>
  <c r="C27" i="8" s="1"/>
  <c r="C6" i="8" s="1"/>
  <c r="J43" i="2"/>
  <c r="H16" i="8"/>
  <c r="H19" i="8" s="1"/>
  <c r="C25" i="8"/>
  <c r="C24" i="8"/>
  <c r="K44" i="2"/>
  <c r="J115" i="2"/>
  <c r="I15" i="9"/>
  <c r="I20" i="9" s="1"/>
  <c r="C7" i="9"/>
  <c r="C13" i="9" s="1"/>
  <c r="C23" i="9" s="1"/>
  <c r="C25" i="9" s="1"/>
  <c r="C10" i="4" s="1"/>
  <c r="C9" i="6"/>
  <c r="K43" i="2" l="1"/>
  <c r="I16" i="8"/>
  <c r="I19" i="8" s="1"/>
  <c r="C10" i="6"/>
  <c r="C6" i="4"/>
  <c r="C12" i="6"/>
  <c r="C7" i="8"/>
  <c r="K115" i="2"/>
  <c r="J15" i="9"/>
  <c r="J20" i="9" s="1"/>
  <c r="L44" i="2"/>
  <c r="G45" i="2"/>
  <c r="E17" i="8"/>
  <c r="E16" i="9"/>
  <c r="F116" i="2"/>
  <c r="F118" i="2" s="1"/>
  <c r="C18" i="6"/>
  <c r="C19" i="6" s="1"/>
  <c r="C20" i="6" s="1"/>
  <c r="D18" i="9"/>
  <c r="D21" i="9"/>
  <c r="D22" i="8"/>
  <c r="D20" i="8"/>
  <c r="E120" i="2"/>
  <c r="E122" i="2"/>
  <c r="D14" i="8" s="1"/>
  <c r="L43" i="2" l="1"/>
  <c r="J16" i="8"/>
  <c r="J19" i="8" s="1"/>
  <c r="D24" i="8"/>
  <c r="D27" i="8" s="1"/>
  <c r="D6" i="8" s="1"/>
  <c r="D25" i="8"/>
  <c r="E21" i="9"/>
  <c r="E18" i="9"/>
  <c r="F122" i="2"/>
  <c r="E14" i="8" s="1"/>
  <c r="D7" i="9"/>
  <c r="D13" i="9" s="1"/>
  <c r="D9" i="6"/>
  <c r="H45" i="2"/>
  <c r="G116" i="2"/>
  <c r="G118" i="2" s="1"/>
  <c r="G122" i="2" s="1"/>
  <c r="F14" i="8" s="1"/>
  <c r="F17" i="8"/>
  <c r="F16" i="9"/>
  <c r="K15" i="9"/>
  <c r="K20" i="9" s="1"/>
  <c r="M44" i="2"/>
  <c r="L115" i="2"/>
  <c r="D7" i="6"/>
  <c r="D12" i="6" s="1"/>
  <c r="B7" i="5"/>
  <c r="B8" i="5" s="1"/>
  <c r="E22" i="8"/>
  <c r="E20" i="8"/>
  <c r="G120" i="2"/>
  <c r="F120" i="2"/>
  <c r="C23" i="6"/>
  <c r="F24" i="8" l="1"/>
  <c r="F25" i="8"/>
  <c r="E9" i="6"/>
  <c r="E10" i="6" s="1"/>
  <c r="E7" i="9"/>
  <c r="E13" i="9" s="1"/>
  <c r="C7" i="5"/>
  <c r="E7" i="6"/>
  <c r="E12" i="6" s="1"/>
  <c r="D6" i="4"/>
  <c r="D7" i="8"/>
  <c r="D10" i="6"/>
  <c r="I45" i="2"/>
  <c r="G16" i="9"/>
  <c r="H116" i="2"/>
  <c r="H118" i="2" s="1"/>
  <c r="G17" i="8"/>
  <c r="B10" i="5"/>
  <c r="E8" i="7"/>
  <c r="N44" i="2"/>
  <c r="M115" i="2"/>
  <c r="L15" i="9"/>
  <c r="L20" i="9" s="1"/>
  <c r="F18" i="9"/>
  <c r="F21" i="9"/>
  <c r="E24" i="8"/>
  <c r="E27" i="8"/>
  <c r="E6" i="8" s="1"/>
  <c r="E25" i="8"/>
  <c r="K16" i="8"/>
  <c r="K19" i="8" s="1"/>
  <c r="M43" i="2"/>
  <c r="D23" i="9"/>
  <c r="D25" i="9"/>
  <c r="F20" i="8"/>
  <c r="F27" i="8" s="1"/>
  <c r="F6" i="8" s="1"/>
  <c r="F22" i="8"/>
  <c r="F9" i="6"/>
  <c r="F7" i="9"/>
  <c r="F13" i="9" s="1"/>
  <c r="F23" i="9" s="1"/>
  <c r="F25" i="9" s="1"/>
  <c r="H120" i="2" l="1"/>
  <c r="H122" i="2"/>
  <c r="G14" i="8" s="1"/>
  <c r="G21" i="9"/>
  <c r="G18" i="9"/>
  <c r="F18" i="6"/>
  <c r="F10" i="4"/>
  <c r="D18" i="6"/>
  <c r="D19" i="6" s="1"/>
  <c r="D20" i="6" s="1"/>
  <c r="D10" i="4"/>
  <c r="E25" i="9"/>
  <c r="E23" i="9"/>
  <c r="F10" i="6"/>
  <c r="E7" i="8"/>
  <c r="E6" i="4"/>
  <c r="N43" i="2"/>
  <c r="L16" i="8"/>
  <c r="L19" i="8" s="1"/>
  <c r="F7" i="6"/>
  <c r="F12" i="6" s="1"/>
  <c r="D7" i="5"/>
  <c r="H16" i="9"/>
  <c r="J45" i="2"/>
  <c r="H17" i="8"/>
  <c r="I116" i="2"/>
  <c r="I118" i="2" s="1"/>
  <c r="F7" i="8"/>
  <c r="F6" i="4"/>
  <c r="M15" i="9"/>
  <c r="M20" i="9" s="1"/>
  <c r="N115" i="2"/>
  <c r="O44" i="2"/>
  <c r="G20" i="8"/>
  <c r="G22" i="8"/>
  <c r="E10" i="4" l="1"/>
  <c r="E18" i="6"/>
  <c r="E19" i="6" s="1"/>
  <c r="E20" i="6" s="1"/>
  <c r="F19" i="6" s="1"/>
  <c r="F20" i="6" s="1"/>
  <c r="G9" i="6"/>
  <c r="G7" i="9"/>
  <c r="G13" i="9" s="1"/>
  <c r="H22" i="8"/>
  <c r="H20" i="8"/>
  <c r="G7" i="6"/>
  <c r="E7" i="5"/>
  <c r="P44" i="2"/>
  <c r="O115" i="2"/>
  <c r="N15" i="9"/>
  <c r="N20" i="9" s="1"/>
  <c r="H18" i="9"/>
  <c r="H21" i="9"/>
  <c r="G24" i="8"/>
  <c r="G25" i="8"/>
  <c r="G27" i="8"/>
  <c r="G6" i="8" s="1"/>
  <c r="M16" i="8"/>
  <c r="M19" i="8" s="1"/>
  <c r="O43" i="2"/>
  <c r="I122" i="2"/>
  <c r="H14" i="8" s="1"/>
  <c r="K45" i="2"/>
  <c r="I16" i="9"/>
  <c r="I17" i="8"/>
  <c r="J116" i="2"/>
  <c r="J118" i="2" s="1"/>
  <c r="J122" i="2" s="1"/>
  <c r="I14" i="8" s="1"/>
  <c r="I120" i="2"/>
  <c r="G23" i="9" l="1"/>
  <c r="G25" i="9" s="1"/>
  <c r="H9" i="6"/>
  <c r="H7" i="9"/>
  <c r="H13" i="9" s="1"/>
  <c r="O15" i="9"/>
  <c r="O20" i="9" s="1"/>
  <c r="P115" i="2"/>
  <c r="Q44" i="2"/>
  <c r="J120" i="2"/>
  <c r="I22" i="8"/>
  <c r="I20" i="8"/>
  <c r="I18" i="9"/>
  <c r="I21" i="9"/>
  <c r="H24" i="8"/>
  <c r="H27" i="8" s="1"/>
  <c r="H6" i="8" s="1"/>
  <c r="H25" i="8"/>
  <c r="L45" i="2"/>
  <c r="K116" i="2"/>
  <c r="K118" i="2" s="1"/>
  <c r="J16" i="9"/>
  <c r="J17" i="8"/>
  <c r="G7" i="8"/>
  <c r="G6" i="4"/>
  <c r="H10" i="6"/>
  <c r="G10" i="6"/>
  <c r="G12" i="6"/>
  <c r="I25" i="8"/>
  <c r="I24" i="8"/>
  <c r="I27" i="8" s="1"/>
  <c r="I6" i="8" s="1"/>
  <c r="P43" i="2"/>
  <c r="N16" i="8"/>
  <c r="N19" i="8" s="1"/>
  <c r="I9" i="6" l="1"/>
  <c r="I7" i="9"/>
  <c r="I13" i="9" s="1"/>
  <c r="I23" i="9" s="1"/>
  <c r="I25" i="9" s="1"/>
  <c r="J22" i="8"/>
  <c r="J20" i="8"/>
  <c r="Q43" i="2"/>
  <c r="O16" i="8"/>
  <c r="O19" i="8" s="1"/>
  <c r="J18" i="9"/>
  <c r="J21" i="9"/>
  <c r="H23" i="9"/>
  <c r="H25" i="9" s="1"/>
  <c r="H7" i="6"/>
  <c r="H12" i="6" s="1"/>
  <c r="F7" i="5"/>
  <c r="K122" i="2"/>
  <c r="J14" i="8" s="1"/>
  <c r="K120" i="2"/>
  <c r="H7" i="8"/>
  <c r="H6" i="4"/>
  <c r="L116" i="2"/>
  <c r="L118" i="2" s="1"/>
  <c r="K17" i="8"/>
  <c r="M45" i="2"/>
  <c r="K16" i="9"/>
  <c r="Q115" i="2"/>
  <c r="P15" i="9"/>
  <c r="P20" i="9" s="1"/>
  <c r="R44" i="2"/>
  <c r="G10" i="4"/>
  <c r="G18" i="6"/>
  <c r="G19" i="6" s="1"/>
  <c r="G20" i="6" s="1"/>
  <c r="I7" i="8" l="1"/>
  <c r="I6" i="4"/>
  <c r="I10" i="6"/>
  <c r="P16" i="8"/>
  <c r="P19" i="8" s="1"/>
  <c r="R43" i="2"/>
  <c r="K18" i="9"/>
  <c r="K21" i="9"/>
  <c r="L122" i="2"/>
  <c r="K14" i="8" s="1"/>
  <c r="L120" i="2"/>
  <c r="G7" i="5"/>
  <c r="I7" i="6"/>
  <c r="I12" i="6" s="1"/>
  <c r="J25" i="8"/>
  <c r="J27" i="8"/>
  <c r="J6" i="8" s="1"/>
  <c r="J24" i="8"/>
  <c r="H18" i="6"/>
  <c r="H19" i="6" s="1"/>
  <c r="H20" i="6" s="1"/>
  <c r="H10" i="4"/>
  <c r="J9" i="6"/>
  <c r="J7" i="9"/>
  <c r="J13" i="9" s="1"/>
  <c r="L17" i="8"/>
  <c r="L16" i="9"/>
  <c r="N45" i="2"/>
  <c r="M116" i="2"/>
  <c r="M118" i="2" s="1"/>
  <c r="K22" i="8"/>
  <c r="K20" i="8"/>
  <c r="Q15" i="9"/>
  <c r="Q20" i="9" s="1"/>
  <c r="S44" i="2"/>
  <c r="R115" i="2"/>
  <c r="I18" i="6"/>
  <c r="I10" i="4"/>
  <c r="K9" i="6" l="1"/>
  <c r="K7" i="9"/>
  <c r="K13" i="9" s="1"/>
  <c r="M122" i="2"/>
  <c r="L14" i="8" s="1"/>
  <c r="M120" i="2"/>
  <c r="L18" i="9"/>
  <c r="L21" i="9"/>
  <c r="Q16" i="8"/>
  <c r="Q19" i="8" s="1"/>
  <c r="S43" i="2"/>
  <c r="J10" i="6"/>
  <c r="K24" i="8"/>
  <c r="K25" i="8"/>
  <c r="K27" i="8" s="1"/>
  <c r="K6" i="8" s="1"/>
  <c r="O45" i="2"/>
  <c r="M17" i="8"/>
  <c r="M16" i="9"/>
  <c r="N116" i="2"/>
  <c r="N118" i="2" s="1"/>
  <c r="I19" i="6"/>
  <c r="I20" i="6" s="1"/>
  <c r="L22" i="8"/>
  <c r="L20" i="8"/>
  <c r="J23" i="9"/>
  <c r="J25" i="9"/>
  <c r="S115" i="2"/>
  <c r="R15" i="9"/>
  <c r="R20" i="9" s="1"/>
  <c r="T44" i="2"/>
  <c r="J6" i="4"/>
  <c r="J7" i="8"/>
  <c r="H7" i="5"/>
  <c r="J7" i="6"/>
  <c r="J12" i="6" s="1"/>
  <c r="L9" i="6" l="1"/>
  <c r="L7" i="9"/>
  <c r="L13" i="9" s="1"/>
  <c r="J10" i="4"/>
  <c r="J18" i="6"/>
  <c r="J19" i="6" s="1"/>
  <c r="J20" i="6" s="1"/>
  <c r="S15" i="9"/>
  <c r="S20" i="9" s="1"/>
  <c r="T115" i="2"/>
  <c r="U44" i="2"/>
  <c r="L25" i="8"/>
  <c r="L27" i="8" s="1"/>
  <c r="L6" i="8" s="1"/>
  <c r="L24" i="8"/>
  <c r="M22" i="8"/>
  <c r="M20" i="8"/>
  <c r="K23" i="9"/>
  <c r="K25" i="9"/>
  <c r="I7" i="5"/>
  <c r="K7" i="6"/>
  <c r="K12" i="6" s="1"/>
  <c r="N122" i="2"/>
  <c r="M14" i="8" s="1"/>
  <c r="N120" i="2"/>
  <c r="K6" i="4"/>
  <c r="K7" i="8"/>
  <c r="K10" i="6"/>
  <c r="P45" i="2"/>
  <c r="N17" i="8"/>
  <c r="N16" i="9"/>
  <c r="O116" i="2"/>
  <c r="O118" i="2" s="1"/>
  <c r="M21" i="9"/>
  <c r="M18" i="9"/>
  <c r="R16" i="8"/>
  <c r="R19" i="8" s="1"/>
  <c r="T43" i="2"/>
  <c r="S16" i="8" l="1"/>
  <c r="S19" i="8" s="1"/>
  <c r="U43" i="2"/>
  <c r="K10" i="4"/>
  <c r="K18" i="6"/>
  <c r="K19" i="6" s="1"/>
  <c r="K20" i="6" s="1"/>
  <c r="L7" i="6"/>
  <c r="L12" i="6" s="1"/>
  <c r="J7" i="5"/>
  <c r="O17" i="8"/>
  <c r="P116" i="2"/>
  <c r="P118" i="2" s="1"/>
  <c r="O16" i="9"/>
  <c r="Q45" i="2"/>
  <c r="L23" i="9"/>
  <c r="L25" i="9"/>
  <c r="T15" i="9"/>
  <c r="T20" i="9" s="1"/>
  <c r="V44" i="2"/>
  <c r="U115" i="2"/>
  <c r="O120" i="2"/>
  <c r="O122" i="2"/>
  <c r="N14" i="8" s="1"/>
  <c r="N18" i="9"/>
  <c r="N21" i="9"/>
  <c r="M9" i="6"/>
  <c r="M7" i="9"/>
  <c r="M13" i="9" s="1"/>
  <c r="N22" i="8"/>
  <c r="N20" i="8"/>
  <c r="M24" i="8"/>
  <c r="M27" i="8" s="1"/>
  <c r="M6" i="8" s="1"/>
  <c r="M25" i="8"/>
  <c r="L7" i="8"/>
  <c r="L6" i="4"/>
  <c r="L10" i="6"/>
  <c r="O20" i="8" l="1"/>
  <c r="O22" i="8"/>
  <c r="M23" i="9"/>
  <c r="M25" i="9"/>
  <c r="M6" i="4"/>
  <c r="M7" i="8"/>
  <c r="M10" i="6"/>
  <c r="P16" i="9"/>
  <c r="R45" i="2"/>
  <c r="P17" i="8"/>
  <c r="Q116" i="2"/>
  <c r="Q118" i="2" s="1"/>
  <c r="K7" i="5"/>
  <c r="M7" i="6"/>
  <c r="M12" i="6" s="1"/>
  <c r="N24" i="8"/>
  <c r="N25" i="8"/>
  <c r="N27" i="8"/>
  <c r="N6" i="8" s="1"/>
  <c r="O21" i="9"/>
  <c r="O18" i="9"/>
  <c r="V43" i="2"/>
  <c r="T16" i="8"/>
  <c r="T19" i="8" s="1"/>
  <c r="W44" i="2"/>
  <c r="V115" i="2"/>
  <c r="U15" i="9"/>
  <c r="U20" i="9" s="1"/>
  <c r="L18" i="6"/>
  <c r="L19" i="6" s="1"/>
  <c r="L20" i="6" s="1"/>
  <c r="L10" i="4"/>
  <c r="N9" i="6"/>
  <c r="N7" i="9"/>
  <c r="N13" i="9" s="1"/>
  <c r="P120" i="2"/>
  <c r="P122" i="2"/>
  <c r="O14" i="8" s="1"/>
  <c r="Q120" i="2" l="1"/>
  <c r="Q122" i="2"/>
  <c r="P14" i="8" s="1"/>
  <c r="P22" i="8"/>
  <c r="P20" i="8"/>
  <c r="P18" i="9"/>
  <c r="P21" i="9"/>
  <c r="O25" i="8"/>
  <c r="O27" i="8" s="1"/>
  <c r="O6" i="8" s="1"/>
  <c r="O24" i="8"/>
  <c r="N23" i="9"/>
  <c r="N25" i="9"/>
  <c r="W43" i="2"/>
  <c r="U16" i="8"/>
  <c r="U19" i="8" s="1"/>
  <c r="N6" i="4"/>
  <c r="N7" i="8"/>
  <c r="N10" i="6"/>
  <c r="S45" i="2"/>
  <c r="Q16" i="9"/>
  <c r="R116" i="2"/>
  <c r="R118" i="2" s="1"/>
  <c r="Q17" i="8"/>
  <c r="M10" i="4"/>
  <c r="M18" i="6"/>
  <c r="M19" i="6" s="1"/>
  <c r="M20" i="6" s="1"/>
  <c r="V15" i="9"/>
  <c r="V20" i="9" s="1"/>
  <c r="X44" i="2"/>
  <c r="W115" i="2"/>
  <c r="N7" i="6"/>
  <c r="N12" i="6" s="1"/>
  <c r="L7" i="5"/>
  <c r="O9" i="6"/>
  <c r="O7" i="9"/>
  <c r="O13" i="9" s="1"/>
  <c r="O23" i="9" s="1"/>
  <c r="O25" i="9" s="1"/>
  <c r="O10" i="4" l="1"/>
  <c r="O18" i="6"/>
  <c r="Q20" i="8"/>
  <c r="Q22" i="8"/>
  <c r="X43" i="2"/>
  <c r="V16" i="8"/>
  <c r="V19" i="8" s="1"/>
  <c r="R122" i="2"/>
  <c r="Q14" i="8" s="1"/>
  <c r="R120" i="2"/>
  <c r="N10" i="4"/>
  <c r="N18" i="6"/>
  <c r="N19" i="6" s="1"/>
  <c r="N20" i="6" s="1"/>
  <c r="O6" i="4"/>
  <c r="O7" i="8"/>
  <c r="O10" i="6"/>
  <c r="Q18" i="9"/>
  <c r="Q21" i="9"/>
  <c r="P24" i="8"/>
  <c r="P25" i="8"/>
  <c r="P27" i="8"/>
  <c r="P6" i="8" s="1"/>
  <c r="O7" i="6"/>
  <c r="O12" i="6" s="1"/>
  <c r="M7" i="5"/>
  <c r="R16" i="9"/>
  <c r="T45" i="2"/>
  <c r="S116" i="2"/>
  <c r="S118" i="2" s="1"/>
  <c r="R17" i="8"/>
  <c r="Y44" i="2"/>
  <c r="W15" i="9"/>
  <c r="W20" i="9" s="1"/>
  <c r="X115" i="2"/>
  <c r="P9" i="6"/>
  <c r="P7" i="9"/>
  <c r="P13" i="9" s="1"/>
  <c r="Q9" i="6" l="1"/>
  <c r="Q7" i="9"/>
  <c r="Q13" i="9" s="1"/>
  <c r="R18" i="9"/>
  <c r="R21" i="9"/>
  <c r="W16" i="8"/>
  <c r="W19" i="8" s="1"/>
  <c r="Y43" i="2"/>
  <c r="Q24" i="8"/>
  <c r="Q27" i="8" s="1"/>
  <c r="Q6" i="8" s="1"/>
  <c r="Q25" i="8"/>
  <c r="N7" i="5"/>
  <c r="P7" i="6"/>
  <c r="P12" i="6" s="1"/>
  <c r="P23" i="9"/>
  <c r="P25" i="9"/>
  <c r="S122" i="2"/>
  <c r="R14" i="8" s="1"/>
  <c r="S120" i="2"/>
  <c r="S16" i="9"/>
  <c r="U45" i="2"/>
  <c r="T116" i="2"/>
  <c r="T118" i="2" s="1"/>
  <c r="S17" i="8"/>
  <c r="O19" i="6"/>
  <c r="O20" i="6" s="1"/>
  <c r="P7" i="8"/>
  <c r="P6" i="4"/>
  <c r="P10" i="6"/>
  <c r="X15" i="9"/>
  <c r="X20" i="9" s="1"/>
  <c r="Z44" i="2"/>
  <c r="Y115" i="2"/>
  <c r="R22" i="8"/>
  <c r="R20" i="8"/>
  <c r="P10" i="4" l="1"/>
  <c r="P18" i="6"/>
  <c r="P19" i="6" s="1"/>
  <c r="P20" i="6" s="1"/>
  <c r="R25" i="8"/>
  <c r="R24" i="8"/>
  <c r="R27" i="8"/>
  <c r="R6" i="8" s="1"/>
  <c r="X16" i="8"/>
  <c r="X19" i="8" s="1"/>
  <c r="Z43" i="2"/>
  <c r="Q7" i="6"/>
  <c r="Q12" i="6" s="1"/>
  <c r="O7" i="5"/>
  <c r="R9" i="6"/>
  <c r="R7" i="9"/>
  <c r="R13" i="9" s="1"/>
  <c r="T122" i="2"/>
  <c r="S14" i="8" s="1"/>
  <c r="T120" i="2"/>
  <c r="Q23" i="9"/>
  <c r="Q25" i="9"/>
  <c r="S21" i="9"/>
  <c r="S18" i="9"/>
  <c r="S20" i="8"/>
  <c r="S22" i="8"/>
  <c r="Y15" i="9"/>
  <c r="Y20" i="9" s="1"/>
  <c r="AA44" i="2"/>
  <c r="Z115" i="2"/>
  <c r="T17" i="8"/>
  <c r="V45" i="2"/>
  <c r="U116" i="2"/>
  <c r="U118" i="2" s="1"/>
  <c r="T16" i="9"/>
  <c r="Q7" i="8"/>
  <c r="Q6" i="4"/>
  <c r="Q10" i="6"/>
  <c r="Q18" i="6" l="1"/>
  <c r="Q19" i="6" s="1"/>
  <c r="Q20" i="6" s="1"/>
  <c r="Q10" i="4"/>
  <c r="AA43" i="2"/>
  <c r="Y16" i="8"/>
  <c r="Y19" i="8" s="1"/>
  <c r="P7" i="5"/>
  <c r="R7" i="6"/>
  <c r="R12" i="6" s="1"/>
  <c r="T20" i="8"/>
  <c r="T22" i="8"/>
  <c r="Z15" i="9"/>
  <c r="Z20" i="9" s="1"/>
  <c r="AA115" i="2"/>
  <c r="AB44" i="2"/>
  <c r="T18" i="9"/>
  <c r="T21" i="9"/>
  <c r="S7" i="9"/>
  <c r="S13" i="9" s="1"/>
  <c r="S9" i="6"/>
  <c r="R23" i="9"/>
  <c r="R25" i="9" s="1"/>
  <c r="S24" i="8"/>
  <c r="S25" i="8"/>
  <c r="S27" i="8" s="1"/>
  <c r="S6" i="8" s="1"/>
  <c r="U120" i="2"/>
  <c r="U122" i="2"/>
  <c r="T14" i="8" s="1"/>
  <c r="R6" i="4"/>
  <c r="R7" i="8"/>
  <c r="R10" i="6"/>
  <c r="W45" i="2"/>
  <c r="U17" i="8"/>
  <c r="U16" i="9"/>
  <c r="V116" i="2"/>
  <c r="V118" i="2" s="1"/>
  <c r="R18" i="6" l="1"/>
  <c r="R19" i="6" s="1"/>
  <c r="R20" i="6" s="1"/>
  <c r="R10" i="4"/>
  <c r="V122" i="2"/>
  <c r="U14" i="8" s="1"/>
  <c r="V120" i="2"/>
  <c r="U18" i="9"/>
  <c r="U21" i="9"/>
  <c r="S7" i="8"/>
  <c r="S6" i="4"/>
  <c r="S10" i="6"/>
  <c r="S23" i="9"/>
  <c r="S25" i="9"/>
  <c r="U22" i="8"/>
  <c r="U20" i="8"/>
  <c r="Q7" i="5"/>
  <c r="S7" i="6"/>
  <c r="S12" i="6" s="1"/>
  <c r="W116" i="2"/>
  <c r="W118" i="2" s="1"/>
  <c r="X45" i="2"/>
  <c r="V16" i="9"/>
  <c r="V17" i="8"/>
  <c r="AC44" i="2"/>
  <c r="AB115" i="2"/>
  <c r="AA15" i="9"/>
  <c r="AA20" i="9" s="1"/>
  <c r="AB43" i="2"/>
  <c r="Z16" i="8"/>
  <c r="Z19" i="8" s="1"/>
  <c r="T25" i="8"/>
  <c r="T24" i="8"/>
  <c r="T27" i="8"/>
  <c r="T6" i="8" s="1"/>
  <c r="T9" i="6"/>
  <c r="T7" i="9"/>
  <c r="T13" i="9" s="1"/>
  <c r="W120" i="2" l="1"/>
  <c r="W122" i="2"/>
  <c r="V14" i="8" s="1"/>
  <c r="T23" i="9"/>
  <c r="T25" i="9"/>
  <c r="AB15" i="9"/>
  <c r="AB20" i="9" s="1"/>
  <c r="AD44" i="2"/>
  <c r="AC115" i="2"/>
  <c r="U9" i="6"/>
  <c r="U7" i="9"/>
  <c r="U13" i="9" s="1"/>
  <c r="S18" i="6"/>
  <c r="S19" i="6" s="1"/>
  <c r="S20" i="6" s="1"/>
  <c r="S10" i="4"/>
  <c r="U24" i="8"/>
  <c r="U25" i="8"/>
  <c r="U27" i="8"/>
  <c r="U6" i="8" s="1"/>
  <c r="AC43" i="2"/>
  <c r="AA16" i="8"/>
  <c r="AA19" i="8" s="1"/>
  <c r="T7" i="6"/>
  <c r="T12" i="6" s="1"/>
  <c r="R7" i="5"/>
  <c r="T7" i="8"/>
  <c r="T6" i="4"/>
  <c r="T10" i="6"/>
  <c r="V22" i="8"/>
  <c r="V20" i="8"/>
  <c r="V18" i="9"/>
  <c r="V21" i="9"/>
  <c r="W16" i="9"/>
  <c r="W17" i="8"/>
  <c r="X116" i="2"/>
  <c r="X118" i="2" s="1"/>
  <c r="Y45" i="2"/>
  <c r="AD115" i="2" l="1"/>
  <c r="AC15" i="9"/>
  <c r="AC20" i="9" s="1"/>
  <c r="AE44" i="2"/>
  <c r="AB16" i="8"/>
  <c r="AB19" i="8" s="1"/>
  <c r="AD43" i="2"/>
  <c r="T10" i="4"/>
  <c r="T18" i="6"/>
  <c r="T19" i="6" s="1"/>
  <c r="T20" i="6" s="1"/>
  <c r="X120" i="2"/>
  <c r="X122" i="2"/>
  <c r="W14" i="8" s="1"/>
  <c r="X16" i="9"/>
  <c r="Z45" i="2"/>
  <c r="X17" i="8"/>
  <c r="Y116" i="2"/>
  <c r="Y118" i="2" s="1"/>
  <c r="W22" i="8"/>
  <c r="W20" i="8"/>
  <c r="U23" i="9"/>
  <c r="U25" i="9" s="1"/>
  <c r="V24" i="8"/>
  <c r="V27" i="8" s="1"/>
  <c r="V6" i="8" s="1"/>
  <c r="V25" i="8"/>
  <c r="W18" i="9"/>
  <c r="W21" i="9"/>
  <c r="U7" i="6"/>
  <c r="U12" i="6" s="1"/>
  <c r="S7" i="5"/>
  <c r="U7" i="8"/>
  <c r="U6" i="4"/>
  <c r="U10" i="6"/>
  <c r="V9" i="6"/>
  <c r="V7" i="9"/>
  <c r="V13" i="9" s="1"/>
  <c r="V7" i="6" l="1"/>
  <c r="V12" i="6" s="1"/>
  <c r="T7" i="5"/>
  <c r="AC16" i="8"/>
  <c r="AC19" i="8" s="1"/>
  <c r="AE43" i="2"/>
  <c r="Y120" i="2"/>
  <c r="Y122" i="2"/>
  <c r="X14" i="8" s="1"/>
  <c r="Y17" i="8"/>
  <c r="Z116" i="2"/>
  <c r="Z118" i="2" s="1"/>
  <c r="Y16" i="9"/>
  <c r="AA45" i="2"/>
  <c r="X18" i="9"/>
  <c r="X21" i="9"/>
  <c r="AD15" i="9"/>
  <c r="AD20" i="9" s="1"/>
  <c r="AE115" i="2"/>
  <c r="AF44" i="2"/>
  <c r="W9" i="6"/>
  <c r="W7" i="9"/>
  <c r="W13" i="9" s="1"/>
  <c r="V23" i="9"/>
  <c r="V25" i="9" s="1"/>
  <c r="U10" i="4"/>
  <c r="U18" i="6"/>
  <c r="U19" i="6" s="1"/>
  <c r="U20" i="6" s="1"/>
  <c r="V7" i="8"/>
  <c r="V6" i="4"/>
  <c r="V10" i="6"/>
  <c r="X22" i="8"/>
  <c r="X20" i="8"/>
  <c r="W24" i="8"/>
  <c r="W25" i="8"/>
  <c r="W27" i="8"/>
  <c r="W6" i="8" s="1"/>
  <c r="Z120" i="2" l="1"/>
  <c r="Z122" i="2"/>
  <c r="Y14" i="8" s="1"/>
  <c r="AG44" i="2"/>
  <c r="AE15" i="9"/>
  <c r="AE20" i="9" s="1"/>
  <c r="AF115" i="2"/>
  <c r="W7" i="8"/>
  <c r="W6" i="4"/>
  <c r="W10" i="6"/>
  <c r="X7" i="9"/>
  <c r="X13" i="9" s="1"/>
  <c r="X9" i="6"/>
  <c r="Y20" i="8"/>
  <c r="Y22" i="8"/>
  <c r="X24" i="8"/>
  <c r="X25" i="8"/>
  <c r="X27" i="8" s="1"/>
  <c r="X6" i="8" s="1"/>
  <c r="V10" i="4"/>
  <c r="V18" i="6"/>
  <c r="V19" i="6" s="1"/>
  <c r="V20" i="6" s="1"/>
  <c r="AA116" i="2"/>
  <c r="AA118" i="2" s="1"/>
  <c r="Z17" i="8"/>
  <c r="AB45" i="2"/>
  <c r="Z16" i="9"/>
  <c r="AD16" i="8"/>
  <c r="AD19" i="8" s="1"/>
  <c r="AF43" i="2"/>
  <c r="W23" i="9"/>
  <c r="W25" i="9"/>
  <c r="Y18" i="9"/>
  <c r="Y21" i="9"/>
  <c r="U7" i="5"/>
  <c r="W7" i="6"/>
  <c r="W12" i="6" s="1"/>
  <c r="AE16" i="8" l="1"/>
  <c r="AE19" i="8" s="1"/>
  <c r="AG43" i="2"/>
  <c r="AF16" i="8" s="1"/>
  <c r="AF19" i="8" s="1"/>
  <c r="Z18" i="9"/>
  <c r="Z21" i="9"/>
  <c r="AA17" i="8"/>
  <c r="AA16" i="9"/>
  <c r="AC45" i="2"/>
  <c r="AB116" i="2"/>
  <c r="AB118" i="2" s="1"/>
  <c r="Z22" i="8"/>
  <c r="Z20" i="8"/>
  <c r="X7" i="6"/>
  <c r="X12" i="6" s="1"/>
  <c r="V7" i="5"/>
  <c r="AA122" i="2"/>
  <c r="Z14" i="8" s="1"/>
  <c r="AA120" i="2"/>
  <c r="AF15" i="9"/>
  <c r="AF20" i="9" s="1"/>
  <c r="AG115" i="2"/>
  <c r="W18" i="6"/>
  <c r="W19" i="6" s="1"/>
  <c r="W20" i="6" s="1"/>
  <c r="W10" i="4"/>
  <c r="X7" i="8"/>
  <c r="X6" i="4"/>
  <c r="X10" i="6"/>
  <c r="Y25" i="8"/>
  <c r="Y24" i="8"/>
  <c r="Y27" i="8" s="1"/>
  <c r="Y6" i="8" s="1"/>
  <c r="X23" i="9"/>
  <c r="X25" i="9"/>
  <c r="Y7" i="9"/>
  <c r="Y13" i="9" s="1"/>
  <c r="Y9" i="6"/>
  <c r="Z7" i="9" l="1"/>
  <c r="Z13" i="9" s="1"/>
  <c r="Z9" i="6"/>
  <c r="AB17" i="8"/>
  <c r="AD45" i="2"/>
  <c r="AC116" i="2"/>
  <c r="AC118" i="2" s="1"/>
  <c r="AB16" i="9"/>
  <c r="Y7" i="8"/>
  <c r="Y6" i="4"/>
  <c r="Y10" i="6"/>
  <c r="W7" i="5"/>
  <c r="Y7" i="6"/>
  <c r="Y12" i="6" s="1"/>
  <c r="Z24" i="8"/>
  <c r="Z25" i="8"/>
  <c r="Z27" i="8" s="1"/>
  <c r="Z6" i="8" s="1"/>
  <c r="X10" i="4"/>
  <c r="X18" i="6"/>
  <c r="X19" i="6" s="1"/>
  <c r="X20" i="6" s="1"/>
  <c r="AA18" i="9"/>
  <c r="AA21" i="9"/>
  <c r="Y23" i="9"/>
  <c r="Y25" i="9" s="1"/>
  <c r="AB120" i="2"/>
  <c r="AB122" i="2"/>
  <c r="AA14" i="8" s="1"/>
  <c r="AA22" i="8"/>
  <c r="AA20" i="8"/>
  <c r="AC120" i="2" l="1"/>
  <c r="AC122" i="2"/>
  <c r="AB14" i="8" s="1"/>
  <c r="Y10" i="4"/>
  <c r="Y18" i="6"/>
  <c r="Y19" i="6" s="1"/>
  <c r="Y20" i="6" s="1"/>
  <c r="AC17" i="8"/>
  <c r="AC16" i="9"/>
  <c r="AD116" i="2"/>
  <c r="AD118" i="2" s="1"/>
  <c r="AE45" i="2"/>
  <c r="AA25" i="8"/>
  <c r="AA24" i="8"/>
  <c r="AA27" i="8" s="1"/>
  <c r="AA6" i="8" s="1"/>
  <c r="Z7" i="6"/>
  <c r="Z12" i="6" s="1"/>
  <c r="X7" i="5"/>
  <c r="AB20" i="8"/>
  <c r="AB22" i="8"/>
  <c r="AB18" i="9"/>
  <c r="AB21" i="9"/>
  <c r="Z6" i="4"/>
  <c r="Z7" i="8"/>
  <c r="Z10" i="6"/>
  <c r="AA7" i="9"/>
  <c r="AA13" i="9" s="1"/>
  <c r="AA23" i="9" s="1"/>
  <c r="AA25" i="9" s="1"/>
  <c r="AA9" i="6"/>
  <c r="Z23" i="9"/>
  <c r="Z25" i="9"/>
  <c r="Z18" i="6" l="1"/>
  <c r="Z19" i="6" s="1"/>
  <c r="Z20" i="6" s="1"/>
  <c r="Z10" i="4"/>
  <c r="AE116" i="2"/>
  <c r="AE118" i="2" s="1"/>
  <c r="AF45" i="2"/>
  <c r="AD17" i="8"/>
  <c r="AD16" i="9"/>
  <c r="AA10" i="4"/>
  <c r="AA18" i="6"/>
  <c r="AC22" i="8"/>
  <c r="AC20" i="8"/>
  <c r="AD122" i="2"/>
  <c r="AC14" i="8" s="1"/>
  <c r="AD120" i="2"/>
  <c r="AB24" i="8"/>
  <c r="AB27" i="8" s="1"/>
  <c r="AB6" i="8" s="1"/>
  <c r="AB25" i="8"/>
  <c r="AA6" i="4"/>
  <c r="AA7" i="8"/>
  <c r="AA10" i="6"/>
  <c r="AC18" i="9"/>
  <c r="AC21" i="9"/>
  <c r="Y7" i="5"/>
  <c r="AA7" i="6"/>
  <c r="AA12" i="6" s="1"/>
  <c r="AB7" i="9"/>
  <c r="AB13" i="9" s="1"/>
  <c r="AB9" i="6"/>
  <c r="AA19" i="6" l="1"/>
  <c r="AA20" i="6" s="1"/>
  <c r="AD18" i="9"/>
  <c r="AD21" i="9"/>
  <c r="AD20" i="8"/>
  <c r="AD22" i="8"/>
  <c r="AB6" i="4"/>
  <c r="AB7" i="8"/>
  <c r="AB10" i="6"/>
  <c r="Z7" i="5"/>
  <c r="AB7" i="6"/>
  <c r="AB12" i="6" s="1"/>
  <c r="AC9" i="6"/>
  <c r="AC7" i="9"/>
  <c r="AC13" i="9" s="1"/>
  <c r="AG45" i="2"/>
  <c r="AE16" i="9"/>
  <c r="AE17" i="8"/>
  <c r="AF116" i="2"/>
  <c r="AF118" i="2" s="1"/>
  <c r="AC24" i="8"/>
  <c r="AC25" i="8"/>
  <c r="AC27" i="8" s="1"/>
  <c r="AC6" i="8" s="1"/>
  <c r="AE120" i="2"/>
  <c r="AE122" i="2"/>
  <c r="AD14" i="8" s="1"/>
  <c r="AB23" i="9"/>
  <c r="AB25" i="9"/>
  <c r="AD25" i="8" l="1"/>
  <c r="AD24" i="8"/>
  <c r="AD27" i="8" s="1"/>
  <c r="AD6" i="8" s="1"/>
  <c r="AB10" i="4"/>
  <c r="AB18" i="6"/>
  <c r="AB19" i="6" s="1"/>
  <c r="AB20" i="6" s="1"/>
  <c r="AC23" i="9"/>
  <c r="AC25" i="9" s="1"/>
  <c r="AF120" i="2"/>
  <c r="AF122" i="2"/>
  <c r="AE14" i="8" s="1"/>
  <c r="AE18" i="9"/>
  <c r="AE21" i="9"/>
  <c r="AD9" i="6"/>
  <c r="AD7" i="9"/>
  <c r="AD13" i="9" s="1"/>
  <c r="AC6" i="4"/>
  <c r="AC7" i="8"/>
  <c r="AC10" i="6"/>
  <c r="AE22" i="8"/>
  <c r="AE20" i="8"/>
  <c r="AA7" i="5"/>
  <c r="AC7" i="6"/>
  <c r="AC12" i="6" s="1"/>
  <c r="AF17" i="8"/>
  <c r="AF16" i="9"/>
  <c r="AG116" i="2"/>
  <c r="AG118" i="2" s="1"/>
  <c r="AD23" i="9" l="1"/>
  <c r="AD25" i="9"/>
  <c r="AE9" i="6"/>
  <c r="AE7" i="9"/>
  <c r="AE13" i="9" s="1"/>
  <c r="AF21" i="9"/>
  <c r="AF18" i="9"/>
  <c r="AC10" i="4"/>
  <c r="AC18" i="6"/>
  <c r="AC19" i="6" s="1"/>
  <c r="AC20" i="6" s="1"/>
  <c r="AG120" i="2"/>
  <c r="AG122" i="2"/>
  <c r="AF14" i="8" s="1"/>
  <c r="AF22" i="8"/>
  <c r="AF20" i="8"/>
  <c r="AB7" i="5"/>
  <c r="AD7" i="6"/>
  <c r="AD12" i="6" s="1"/>
  <c r="AD7" i="8"/>
  <c r="AD6" i="4"/>
  <c r="AD10" i="6"/>
  <c r="AE24" i="8"/>
  <c r="AE27" i="8"/>
  <c r="AE6" i="8" s="1"/>
  <c r="AE25" i="8"/>
  <c r="AE23" i="9" l="1"/>
  <c r="AE25" i="9"/>
  <c r="AE6" i="4"/>
  <c r="AE7" i="8"/>
  <c r="AE10" i="6"/>
  <c r="AF25" i="8"/>
  <c r="AF24" i="8"/>
  <c r="AF27" i="8"/>
  <c r="AF6" i="8" s="1"/>
  <c r="AD10" i="4"/>
  <c r="AD18" i="6"/>
  <c r="AD19" i="6" s="1"/>
  <c r="AD20" i="6" s="1"/>
  <c r="AC7" i="5"/>
  <c r="AE7" i="6"/>
  <c r="AE12" i="6" s="1"/>
  <c r="AF7" i="9"/>
  <c r="AF13" i="9" s="1"/>
  <c r="AF9" i="6"/>
  <c r="AF7" i="8" l="1"/>
  <c r="AF6" i="4"/>
  <c r="AF10" i="6"/>
  <c r="AF23" i="9"/>
  <c r="AF25" i="9"/>
  <c r="AE18" i="6"/>
  <c r="AE19" i="6" s="1"/>
  <c r="AE20" i="6" s="1"/>
  <c r="AE10" i="4"/>
  <c r="AD7" i="5"/>
  <c r="AF7" i="6"/>
  <c r="AF12" i="6" s="1"/>
  <c r="AE7" i="5" s="1"/>
  <c r="AF18" i="6" l="1"/>
  <c r="AF19" i="6" s="1"/>
  <c r="AF20" i="6" s="1"/>
  <c r="AF10" i="4"/>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<sst xmlns="http://schemas.openxmlformats.org/spreadsheetml/2006/main" count="276" uniqueCount="203">
  <si>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</si>
  <si>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</si>
  <si>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</si>
  <si>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</si>
  <si>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</si>
  <si>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</si>
  <si>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</si>
  <si>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</si>
  <si>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</si>
  <si>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</si>
  <si>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</si>
  <si>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</si>
  <si>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</si>
  <si>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</si>
  <si>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</si>
  <si>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</si>
  <si>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</si>
  <si>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</si>
  <si>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</si>
  <si>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</si>
  <si>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</si>
  <si>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</si>
  <si>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</si>
  <si>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</si>
  <si>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</si>
  <si>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</si>
  <si>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</si>
  <si>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</si>
  <si>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</si>
  <si>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</si>
  <si>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</si>
  <si>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</si>
  <si>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</si>
  <si>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</si>
  <si>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</si>
  <si>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</si>
  <si>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</si>
  <si>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</si>
  <si>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</si>
  <si>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</si>
  <si>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</si>
  <si>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</si>
  <si>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</si>
  <si>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</si>
  <si>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</si>
  <si>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</si>
  <si>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</si>
  <si>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</si>
  <si>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</si>
  <si>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</si>
  <si>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</si>
  <si>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</si>
  <si>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</si>
  <si>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</si>
  <si>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</si>
  <si>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</si>
  <si>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</si>
  <si>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</si>
  <si>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</si>
  <si>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</si>
  <si>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</si>
  <si>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</si>
  <si>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</si>
  <si>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</si>
  <si>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</si>
  <si>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</si>
  <si>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</si>
  <si>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</si>
  <si>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</si>
  <si>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</si>
  <si>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</si>
  <si>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</si>
  <si>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</si>
  <si>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</si>
  <si>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</si>
  <si>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</si>
  <si>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</si>
  <si>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</si>
  <si>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</si>
  <si>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</si>
  <si>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</si>
  <si>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</si>
  <si>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</si>
  <si>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</si>
  <si>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</si>
  <si>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</si>
  <si>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</si>
  <si>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</si>
  <si>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</si>
  <si>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</si>
  <si>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</si>
  <si>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</si>
  <si>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</si>
  <si>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</si>
  <si>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</si>
  <si>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</si>
  <si>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</si>
  <si>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</si>
  <si>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</si>
  <si>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</si>
  <si>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</si>
  <si>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</si>
  <si>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</si>
  <si>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</si>
  <si>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</si>
  <si>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</si>
  <si>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</si>
  <si>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</si>
  <si>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</si>
  <si>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</si>
  <si>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</si>
  <si>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</si>
  <si>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</si>
  <si>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</si>
  <si>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</si>
  <si>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</si>
  <si>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</si>
  <si>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</si>
  <si>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</si>
  <si>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</si>
  <si>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</si>
  <si>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</si>
  <si>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</si>
  <si>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</si>
  <si>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</si>
  <si>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</si>
  <si>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</si>
  <si>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</si>
  <si>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</si>
  <si>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</si>
  <si>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</si>
  <si>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</si>
  <si>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</si>
  <si>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</si>
  <si>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</si>
  <si>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</si>
  <si>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</si>
  <si>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</si>
  <si>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</si>
  <si>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</si>
  <si>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</si>
  <si>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</si>
  <si>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</si>
  <si>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</si>
  <si>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</si>
  <si>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</si>
  <si>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</si>
  <si>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</si>
  <si>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</si>
  <si>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</si>
  <si>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</si>
  <si>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</si>
  <si>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</si>
  <si>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</si>
  <si>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</si>
  <si>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</si>
  <si>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</si>
  <si>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</si>
  <si>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</si>
  <si>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</si>
  <si>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</si>
  <si>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</si>
  <si>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</si>
  <si>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</si>
  <si>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</si>
  <si>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</si>
  <si>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</si>
  <si>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</si>
  <si>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</si>
  <si>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</si>
  <si>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</si>
  <si>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</si>
  <si>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</si>
  <si>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Watercare's growth investment for water and wastewater was taken from their RFI table G1, line G1.3. 
Auckland Council's stormwater growth investment was taken from their RFI table G1, line G1.3; it was adjusted for projected inflation as per their forecast inflation in table G5. As forecasts for stormwater growth investment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</si>
  <si>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</si>
  <si>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</si>
  <si>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</si>
  <si>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</si>
  <si>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</si>
  <si>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</si>
  <si>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</si>
  <si>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</si>
  <si>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</si>
  <si>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</si>
  <si>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</si>
  <si>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</si>
  <si>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</si>
  <si>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</si>
  <si>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</si>
  <si>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</si>
  <si>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</si>
  <si>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</si>
  <si>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</si>
  <si>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RFI Table A1; Line A1.43</t>
  </si>
  <si>
    <t>Auckland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</si>
  <si>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</si>
  <si>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</si>
  <si>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</si>
  <si>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</si>
  <si>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</si>
  <si>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For Auckland Council (stormwater): RFI Table F10; Line F10.62.
For Watercare: RFI Table F10; Lines F10.62 + F10.70.</t>
  </si>
  <si>
    <t>For Auckland Council (stormwater): RFI Table E2b; Line E2b.21.
For Watercare: RFI Table E1 and E2; Lines E1.22 + E2.21.</t>
  </si>
  <si>
    <t>In line with international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</si>
</sst>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
      <sz val="12"/>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0" fontId="19" fillId="0" borderId="0" xfId="0" applyFont="1" applyAlignment="1">
      <alignment horizontal="left" vertical="center"/>
    </xf>
    <xf numFmtId="1" fontId="17" fillId="0" borderId="0" xfId="2" applyNumberFormat="1" applyFont="1" applyFill="1" applyAlignment="1">
      <alignment horizontal="right" vertical="center"/>
    </xf>
    <xf numFmtId="2" fontId="16" fillId="0" borderId="0" xfId="2" applyNumberFormat="1" applyFont="1" applyFill="1" applyAlignment="1">
      <alignment horizontal="right" vertical="center"/>
    </xf>
    <xf numFmtId="166" fontId="16" fillId="0" borderId="0" xfId="2" applyNumberFormat="1" applyFont="1" applyFill="1" applyAlignment="1">
      <alignment horizontal="right" vertical="center"/>
    </xf>
    <xf numFmtId="9" fontId="16" fillId="0" borderId="0" xfId="3" applyFont="1" applyFill="1" applyAlignment="1">
      <alignment horizontal="right" vertical="center"/>
    </xf>
    <xf numFmtId="167" fontId="16" fillId="0" borderId="0" xfId="0" applyNumberFormat="1" applyFont="1" applyAlignment="1">
      <alignment horizontal="right" vertical="center"/>
    </xf>
    <xf numFmtId="3" fontId="16" fillId="0" borderId="0" xfId="1" applyNumberFormat="1" applyFont="1" applyFill="1" applyAlignment="1">
      <alignment horizontal="right" vertical="center"/>
    </xf>
    <xf numFmtId="0" fontId="16" fillId="0" borderId="0" xfId="0" applyFont="1" applyFill="1" applyAlignment="1">
      <alignment horizontal="right" vertical="center"/>
    </xf>
    <xf numFmtId="166" fontId="17" fillId="0" borderId="0" xfId="2" applyNumberFormat="1" applyFont="1" applyFill="1" applyAlignment="1">
      <alignment horizontal="right" vertical="center"/>
    </xf>
    <xf numFmtId="173" fontId="16" fillId="0" borderId="0" xfId="0" applyNumberFormat="1" applyFont="1" applyFill="1" applyAlignment="1">
      <alignment horizontal="right" vertical="center"/>
    </xf>
    <xf numFmtId="167" fontId="16" fillId="0" borderId="0" xfId="0" applyNumberFormat="1" applyFont="1" applyFill="1" applyAlignment="1">
      <alignment horizontal="right" vertical="center"/>
    </xf>
    <xf numFmtId="0" fontId="17" fillId="0" borderId="0" xfId="0" applyFont="1" applyFill="1" applyAlignment="1">
      <alignment horizontal="right" vertic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194</v>
      </c>
      <c r="C2" s="171"/>
      <c r="D2" s="60"/>
      <c r="E2" s="14"/>
      <c r="F2" s="60"/>
    </row>
    <row r="3" spans="1:6" x14ac:dyDescent="0.35">
      <c r="C3" s="14"/>
      <c r="D3" s="14"/>
    </row>
    <row r="4" spans="1:6" x14ac:dyDescent="0.35">
      <c r="A4" s="14" t="s">
        <v>155</v>
      </c>
      <c r="B4" s="14"/>
      <c r="D4" s="14"/>
    </row>
    <row r="6" spans="1:6" ht="21" x14ac:dyDescent="0.5">
      <c r="A6" s="15" t="s">
        <v>164</v>
      </c>
    </row>
    <row r="7" spans="1:6" ht="241" customHeight="1" x14ac:dyDescent="0.35">
      <c r="A7" s="107">
        <v>1</v>
      </c>
      <c r="B7" s="104" t="s">
        <v>165</v>
      </c>
    </row>
    <row r="8" spans="1:6" ht="408" customHeight="1" x14ac:dyDescent="0.35">
      <c r="A8" s="107">
        <v>2</v>
      </c>
      <c r="B8" s="104" t="s">
        <v>186</v>
      </c>
    </row>
    <row r="9" spans="1:6" ht="195.5" customHeight="1" x14ac:dyDescent="0.35">
      <c r="A9" s="107">
        <f>A8+1</f>
        <v>3</v>
      </c>
      <c r="B9" s="105" t="s">
        <v>169</v>
      </c>
    </row>
    <row r="10" spans="1:6" ht="236" customHeight="1" x14ac:dyDescent="0.35">
      <c r="A10" s="107">
        <v>4</v>
      </c>
      <c r="B10" s="105" t="s">
        <v>170</v>
      </c>
    </row>
    <row r="11" spans="1:6" ht="21" x14ac:dyDescent="0.35">
      <c r="A11" s="107">
        <f>A10+1</f>
        <v>5</v>
      </c>
      <c r="B11" s="63" t="s">
        <v>184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161</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187</v>
      </c>
      <c r="B6" s="1">
        <f>Assumptions!C17</f>
        <v>23213236902.219433</v>
      </c>
      <c r="C6" s="12">
        <f ca="1">B6+Depreciation!C18+'Cash Flow'!C13</f>
        <v>23881965609.210197</v>
      </c>
      <c r="D6" s="1">
        <f ca="1">C6+Depreciation!D18</f>
        <v>25246067486.894539</v>
      </c>
      <c r="E6" s="1">
        <f ca="1">D6+Depreciation!E18</f>
        <v>26672841964.841034</v>
      </c>
      <c r="F6" s="1">
        <f ca="1">E6+Depreciation!F18</f>
        <v>28164903249.143711</v>
      </c>
      <c r="G6" s="1">
        <f ca="1">F6+Depreciation!G18</f>
        <v>29713877237.09824</v>
      </c>
      <c r="H6" s="1">
        <f ca="1">G6+Depreciation!H18</f>
        <v>31321764950.043419</v>
      </c>
      <c r="I6" s="1">
        <f ca="1">H6+Depreciation!I18</f>
        <v>32990634969.248444</v>
      </c>
      <c r="J6" s="1">
        <f ca="1">I6+Depreciation!J18</f>
        <v>34722625667.021149</v>
      </c>
      <c r="K6" s="1">
        <f ca="1">J6+Depreciation!K18</f>
        <v>36519947510.568993</v>
      </c>
      <c r="L6" s="1">
        <f ca="1">K6+Depreciation!L18</f>
        <v>38392015415.626884</v>
      </c>
      <c r="M6" s="1">
        <f ca="1">L6+Depreciation!M18</f>
        <v>40341683756.66909</v>
      </c>
      <c r="N6" s="1">
        <f ca="1">M6+Depreciation!N18</f>
        <v>42371910661.666634</v>
      </c>
      <c r="O6" s="1">
        <f ca="1">N6+Depreciation!O18</f>
        <v>44485761665.377884</v>
      </c>
      <c r="P6" s="1">
        <f ca="1">O6+Depreciation!P18</f>
        <v>46686413488.487</v>
      </c>
      <c r="Q6" s="1">
        <f ca="1">P6+Depreciation!Q18</f>
        <v>48978902142.091728</v>
      </c>
      <c r="R6" s="1">
        <f ca="1">Q6+Depreciation!R18</f>
        <v>51366774361.385498</v>
      </c>
      <c r="S6" s="1">
        <f ca="1">R6+Depreciation!S18</f>
        <v>53853707635.760384</v>
      </c>
      <c r="T6" s="1">
        <f ca="1">S6+Depreciation!T18</f>
        <v>56443514882.880661</v>
      </c>
      <c r="U6" s="1">
        <f ca="1">T6+Depreciation!U18</f>
        <v>59140149286.235107</v>
      </c>
      <c r="V6" s="1">
        <f ca="1">U6+Depreciation!V18</f>
        <v>61952390498.411079</v>
      </c>
      <c r="W6" s="1">
        <f ca="1">V6+Depreciation!W18</f>
        <v>64884876001.544121</v>
      </c>
      <c r="X6" s="1">
        <f ca="1">W6+Depreciation!X18</f>
        <v>67942421695.254219</v>
      </c>
      <c r="Y6" s="1">
        <f ca="1">X6+Depreciation!Y18</f>
        <v>71130028566.583099</v>
      </c>
      <c r="Z6" s="1">
        <f ca="1">Y6+Depreciation!Z18</f>
        <v>74452889604.107986</v>
      </c>
      <c r="AA6" s="1">
        <f ca="1">Z6+Depreciation!AA18</f>
        <v>77916396965.029205</v>
      </c>
      <c r="AB6" s="1">
        <f ca="1">AA6+Depreciation!AB18</f>
        <v>81526149404.34169</v>
      </c>
      <c r="AC6" s="1">
        <f ca="1">AB6+Depreciation!AC18</f>
        <v>85287959975.524887</v>
      </c>
      <c r="AD6" s="1">
        <f ca="1">AC6+Depreciation!AD18</f>
        <v>89207864012.520676</v>
      </c>
      <c r="AE6" s="1">
        <f ca="1">AD6+Depreciation!AE18</f>
        <v>93292127403.116165</v>
      </c>
      <c r="AF6" s="1"/>
      <c r="AG6" s="1"/>
      <c r="AH6" s="1"/>
      <c r="AI6" s="1"/>
      <c r="AJ6" s="1"/>
      <c r="AK6" s="1"/>
      <c r="AL6" s="1"/>
      <c r="AM6" s="1"/>
      <c r="AN6" s="1"/>
      <c r="AO6" s="1"/>
      <c r="AP6" s="1"/>
    </row>
    <row r="7" spans="1:42" x14ac:dyDescent="0.35">
      <c r="A7" t="s">
        <v>12</v>
      </c>
      <c r="B7" s="1">
        <f>Depreciation!C12</f>
        <v>12113553311.937885</v>
      </c>
      <c r="C7" s="1">
        <f>Depreciation!D12</f>
        <v>12655141619.491095</v>
      </c>
      <c r="D7" s="1">
        <f>Depreciation!E12</f>
        <v>13233082093.062262</v>
      </c>
      <c r="E7" s="1">
        <f>Depreciation!F12</f>
        <v>13849146684.8496</v>
      </c>
      <c r="F7" s="1">
        <f>Depreciation!G12</f>
        <v>14504940429.168409</v>
      </c>
      <c r="G7" s="1">
        <f>Depreciation!H12</f>
        <v>15202127274.818714</v>
      </c>
      <c r="H7" s="1">
        <f>Depreciation!I12</f>
        <v>15942432118.516006</v>
      </c>
      <c r="I7" s="1">
        <f>Depreciation!J12</f>
        <v>16727642906.298223</v>
      </c>
      <c r="J7" s="1">
        <f>Depreciation!K12</f>
        <v>17559612805.141205</v>
      </c>
      <c r="K7" s="1">
        <f>Depreciation!L12</f>
        <v>18440418719.298355</v>
      </c>
      <c r="L7" s="1">
        <f>Depreciation!M12</f>
        <v>19372219597.604046</v>
      </c>
      <c r="M7" s="1">
        <f>Depreciation!N12</f>
        <v>20357259477.165222</v>
      </c>
      <c r="N7" s="1">
        <f>Depreciation!O12</f>
        <v>21397870635.677395</v>
      </c>
      <c r="O7" s="1">
        <f>Depreciation!P12</f>
        <v>22496476856.142284</v>
      </c>
      <c r="P7" s="1">
        <f>Depreciation!Q12</f>
        <v>23655635036.534924</v>
      </c>
      <c r="Q7" s="1">
        <f>Depreciation!R12</f>
        <v>24878003797.143059</v>
      </c>
      <c r="R7" s="1">
        <f>Depreciation!S12</f>
        <v>26166347300.647144</v>
      </c>
      <c r="S7" s="1">
        <f>Depreciation!T12</f>
        <v>27523539210.481144</v>
      </c>
      <c r="T7" s="1">
        <f>Depreciation!U12</f>
        <v>28952566792.354431</v>
      </c>
      <c r="U7" s="1">
        <f>Depreciation!V12</f>
        <v>30456637764.761845</v>
      </c>
      <c r="V7" s="1">
        <f>Depreciation!W12</f>
        <v>32039091580.453735</v>
      </c>
      <c r="W7" s="1">
        <f>Depreciation!X12</f>
        <v>33703404572.72456</v>
      </c>
      <c r="X7" s="1">
        <f>Depreciation!Y12</f>
        <v>35453195296.168106</v>
      </c>
      <c r="Y7" s="1">
        <f>Depreciation!Z12</f>
        <v>37292230069.07534</v>
      </c>
      <c r="Z7" s="1">
        <f>Depreciation!AA12</f>
        <v>39224428724.911133</v>
      </c>
      <c r="AA7" s="1">
        <f>Depreciation!AB12</f>
        <v>41253870580.575455</v>
      </c>
      <c r="AB7" s="1">
        <f>Depreciation!AC12</f>
        <v>43384800629.433762</v>
      </c>
      <c r="AC7" s="1">
        <f>Depreciation!AD12</f>
        <v>45621635967.390259</v>
      </c>
      <c r="AD7" s="1">
        <f>Depreciation!AE12</f>
        <v>47968972460.577209</v>
      </c>
      <c r="AE7" s="1">
        <f>Depreciation!AF12</f>
        <v>50431591663.543282</v>
      </c>
      <c r="AF7" s="1"/>
      <c r="AG7" s="1"/>
      <c r="AH7" s="1"/>
      <c r="AI7" s="1"/>
      <c r="AJ7" s="1"/>
      <c r="AK7" s="1"/>
      <c r="AL7" s="1"/>
      <c r="AM7" s="1"/>
      <c r="AN7" s="1"/>
      <c r="AO7" s="1"/>
      <c r="AP7" s="1"/>
    </row>
    <row r="8" spans="1:42" x14ac:dyDescent="0.35">
      <c r="A8" t="s">
        <v>188</v>
      </c>
      <c r="B8" s="1">
        <f t="shared" ref="B8:AE8" si="1">B6-B7</f>
        <v>11099683590.281548</v>
      </c>
      <c r="C8" s="1">
        <f t="shared" ca="1" si="1"/>
        <v>11226823989.719103</v>
      </c>
      <c r="D8" s="1">
        <f ca="1">D6-D7</f>
        <v>12012985393.832277</v>
      </c>
      <c r="E8" s="1">
        <f t="shared" ca="1" si="1"/>
        <v>12823695279.991434</v>
      </c>
      <c r="F8" s="1">
        <f t="shared" ca="1" si="1"/>
        <v>13659962819.975302</v>
      </c>
      <c r="G8" s="1">
        <f t="shared" ca="1" si="1"/>
        <v>14511749962.279526</v>
      </c>
      <c r="H8" s="1">
        <f t="shared" ca="1" si="1"/>
        <v>15379332831.527412</v>
      </c>
      <c r="I8" s="1">
        <f t="shared" ca="1" si="1"/>
        <v>16262992062.95022</v>
      </c>
      <c r="J8" s="1">
        <f t="shared" ca="1" si="1"/>
        <v>17163012861.879944</v>
      </c>
      <c r="K8" s="1">
        <f t="shared" ca="1" si="1"/>
        <v>18079528791.270638</v>
      </c>
      <c r="L8" s="1">
        <f t="shared" ca="1" si="1"/>
        <v>19019795818.022839</v>
      </c>
      <c r="M8" s="1">
        <f t="shared" ca="1" si="1"/>
        <v>19984424279.503868</v>
      </c>
      <c r="N8" s="1">
        <f t="shared" ca="1" si="1"/>
        <v>20974040025.989239</v>
      </c>
      <c r="O8" s="1">
        <f t="shared" ca="1" si="1"/>
        <v>21989284809.2356</v>
      </c>
      <c r="P8" s="1">
        <f t="shared" ca="1" si="1"/>
        <v>23030778451.952076</v>
      </c>
      <c r="Q8" s="1">
        <f t="shared" ca="1" si="1"/>
        <v>24100898344.948669</v>
      </c>
      <c r="R8" s="1">
        <f t="shared" ca="1" si="1"/>
        <v>25200427060.738354</v>
      </c>
      <c r="S8" s="1">
        <f t="shared" ca="1" si="1"/>
        <v>26330168425.27924</v>
      </c>
      <c r="T8" s="1">
        <f t="shared" ca="1" si="1"/>
        <v>27490948090.52623</v>
      </c>
      <c r="U8" s="1">
        <f t="shared" ca="1" si="1"/>
        <v>28683511521.473263</v>
      </c>
      <c r="V8" s="1">
        <f t="shared" ca="1" si="1"/>
        <v>29913298917.957344</v>
      </c>
      <c r="W8" s="1">
        <f t="shared" ca="1" si="1"/>
        <v>31181471428.819561</v>
      </c>
      <c r="X8" s="1">
        <f t="shared" ca="1" si="1"/>
        <v>32489226399.086113</v>
      </c>
      <c r="Y8" s="1">
        <f t="shared" ca="1" si="1"/>
        <v>33837798497.507759</v>
      </c>
      <c r="Z8" s="1">
        <f t="shared" ca="1" si="1"/>
        <v>35228460879.196854</v>
      </c>
      <c r="AA8" s="1">
        <f t="shared" ca="1" si="1"/>
        <v>36662526384.453751</v>
      </c>
      <c r="AB8" s="1">
        <f t="shared" ca="1" si="1"/>
        <v>38141348774.907928</v>
      </c>
      <c r="AC8" s="1">
        <f t="shared" ca="1" si="1"/>
        <v>39666324008.134628</v>
      </c>
      <c r="AD8" s="1">
        <f t="shared" ca="1" si="1"/>
        <v>41238891551.943466</v>
      </c>
      <c r="AE8" s="1">
        <f t="shared" ca="1" si="1"/>
        <v>42860535739.572884</v>
      </c>
      <c r="AF8" s="1"/>
      <c r="AG8" s="1"/>
      <c r="AH8" s="1"/>
      <c r="AI8" s="1"/>
      <c r="AJ8" s="1"/>
      <c r="AK8" s="1"/>
      <c r="AL8" s="1"/>
      <c r="AM8" s="1"/>
      <c r="AN8" s="1"/>
      <c r="AO8" s="1"/>
      <c r="AP8" s="1"/>
    </row>
    <row r="10" spans="1:42" x14ac:dyDescent="0.35">
      <c r="A10" t="s">
        <v>17</v>
      </c>
      <c r="B10" s="1">
        <f>B8-B11</f>
        <v>8279776590.2815475</v>
      </c>
      <c r="C10" s="1">
        <f ca="1">C8-C11</f>
        <v>7771701562.4988203</v>
      </c>
      <c r="D10" s="1">
        <f ca="1">D8-D11</f>
        <v>8059748723.8401241</v>
      </c>
      <c r="E10" s="1">
        <f t="shared" ref="E10:AE10" ca="1" si="2">E8-E11</f>
        <v>8496438021.4268627</v>
      </c>
      <c r="F10" s="1">
        <f t="shared" ca="1" si="2"/>
        <v>9006523331.2027206</v>
      </c>
      <c r="G10" s="1">
        <f ca="1">G8-G11</f>
        <v>9593872708.6815376</v>
      </c>
      <c r="H10" s="1">
        <f t="shared" ca="1" si="2"/>
        <v>10233052036.008217</v>
      </c>
      <c r="I10" s="1">
        <f t="shared" ca="1" si="2"/>
        <v>10911392363.761295</v>
      </c>
      <c r="J10" s="1">
        <f t="shared" ca="1" si="2"/>
        <v>11612099528.43457</v>
      </c>
      <c r="K10" s="1">
        <f t="shared" ca="1" si="2"/>
        <v>12338810744.237173</v>
      </c>
      <c r="L10" s="1">
        <f t="shared" ca="1" si="2"/>
        <v>13090056757.966732</v>
      </c>
      <c r="M10" s="1">
        <f t="shared" ca="1" si="2"/>
        <v>13847072364.943558</v>
      </c>
      <c r="N10" s="1">
        <f t="shared" ca="1" si="2"/>
        <v>14610352133.268431</v>
      </c>
      <c r="O10" s="1">
        <f t="shared" ca="1" si="2"/>
        <v>15380470233.243916</v>
      </c>
      <c r="P10" s="1">
        <f t="shared" ca="1" si="2"/>
        <v>16158049417.89872</v>
      </c>
      <c r="Q10" s="1">
        <f t="shared" ca="1" si="2"/>
        <v>16942239188.871651</v>
      </c>
      <c r="R10" s="1">
        <f t="shared" ca="1" si="2"/>
        <v>17733513045.217056</v>
      </c>
      <c r="S10" s="1">
        <f t="shared" ca="1" si="2"/>
        <v>18532424647.479935</v>
      </c>
      <c r="T10" s="1">
        <f t="shared" ca="1" si="2"/>
        <v>19339615342.630646</v>
      </c>
      <c r="U10" s="1">
        <f t="shared" ca="1" si="2"/>
        <v>20155719625.868103</v>
      </c>
      <c r="V10" s="1">
        <f t="shared" ca="1" si="2"/>
        <v>20976704161.382477</v>
      </c>
      <c r="W10" s="1">
        <f t="shared" ca="1" si="2"/>
        <v>21802439091.079044</v>
      </c>
      <c r="X10" s="1">
        <f t="shared" ca="1" si="2"/>
        <v>22632824166.717354</v>
      </c>
      <c r="Y10" s="1">
        <f t="shared" ca="1" si="2"/>
        <v>23467793324.860672</v>
      </c>
      <c r="Z10" s="1">
        <f t="shared" ca="1" si="2"/>
        <v>24307319655.634056</v>
      </c>
      <c r="AA10" s="1">
        <f t="shared" ca="1" si="2"/>
        <v>25151420792.212303</v>
      </c>
      <c r="AB10" s="1">
        <f t="shared" ca="1" si="2"/>
        <v>26000164749.581196</v>
      </c>
      <c r="AC10" s="1">
        <f t="shared" ca="1" si="2"/>
        <v>26853676242.829269</v>
      </c>
      <c r="AD10" s="1">
        <f t="shared" ca="1" si="2"/>
        <v>27712143517.035118</v>
      </c>
      <c r="AE10" s="1">
        <f t="shared" ca="1" si="2"/>
        <v>28575825722.723923</v>
      </c>
      <c r="AF10" s="1"/>
      <c r="AG10" s="1"/>
      <c r="AH10" s="1"/>
      <c r="AI10" s="1"/>
      <c r="AJ10" s="1"/>
      <c r="AK10" s="1"/>
      <c r="AL10" s="1"/>
      <c r="AM10" s="1"/>
      <c r="AN10" s="1"/>
      <c r="AO10" s="1"/>
    </row>
    <row r="11" spans="1:42" x14ac:dyDescent="0.35">
      <c r="A11" t="s">
        <v>9</v>
      </c>
      <c r="B11" s="1">
        <f>Assumptions!$C$20</f>
        <v>2819907000</v>
      </c>
      <c r="C11" s="1">
        <f ca="1">'Debt worksheet'!D5</f>
        <v>3455122427.2202826</v>
      </c>
      <c r="D11" s="1">
        <f ca="1">'Debt worksheet'!E5</f>
        <v>3953236669.9921532</v>
      </c>
      <c r="E11" s="1">
        <f ca="1">'Debt worksheet'!F5</f>
        <v>4327257258.5645714</v>
      </c>
      <c r="F11" s="1">
        <f ca="1">'Debt worksheet'!G5</f>
        <v>4653439488.7725811</v>
      </c>
      <c r="G11" s="1">
        <f ca="1">'Debt worksheet'!H5</f>
        <v>4917877253.5979881</v>
      </c>
      <c r="H11" s="1">
        <f ca="1">'Debt worksheet'!I5</f>
        <v>5146280795.5191946</v>
      </c>
      <c r="I11" s="1">
        <f ca="1">'Debt worksheet'!J5</f>
        <v>5351599699.1889238</v>
      </c>
      <c r="J11" s="1">
        <f ca="1">'Debt worksheet'!K5</f>
        <v>5550913333.4453726</v>
      </c>
      <c r="K11" s="1">
        <f ca="1">'Debt worksheet'!L5</f>
        <v>5740718047.0334644</v>
      </c>
      <c r="L11" s="1">
        <f ca="1">'Debt worksheet'!M5</f>
        <v>5929739060.0561066</v>
      </c>
      <c r="M11" s="1">
        <f ca="1">'Debt worksheet'!N5</f>
        <v>6137351914.5603104</v>
      </c>
      <c r="N11" s="1">
        <f ca="1">'Debt worksheet'!O5</f>
        <v>6363687892.720808</v>
      </c>
      <c r="O11" s="1">
        <f ca="1">'Debt worksheet'!P5</f>
        <v>6608814575.9916849</v>
      </c>
      <c r="P11" s="1">
        <f ca="1">'Debt worksheet'!Q5</f>
        <v>6872729034.0533562</v>
      </c>
      <c r="Q11" s="1">
        <f ca="1">'Debt worksheet'!R5</f>
        <v>7158659156.0770187</v>
      </c>
      <c r="R11" s="1">
        <f ca="1">'Debt worksheet'!S5</f>
        <v>7466914015.5212975</v>
      </c>
      <c r="S11" s="1">
        <f ca="1">'Debt worksheet'!T5</f>
        <v>7797743777.7993069</v>
      </c>
      <c r="T11" s="1">
        <f ca="1">'Debt worksheet'!U5</f>
        <v>8151332747.8955841</v>
      </c>
      <c r="U11" s="1">
        <f ca="1">'Debt worksheet'!V5</f>
        <v>8527791895.6051607</v>
      </c>
      <c r="V11" s="1">
        <f ca="1">'Debt worksheet'!W5</f>
        <v>8936594756.5748653</v>
      </c>
      <c r="W11" s="1">
        <f ca="1">'Debt worksheet'!X5</f>
        <v>9379032337.7405167</v>
      </c>
      <c r="X11" s="1">
        <f ca="1">'Debt worksheet'!Y5</f>
        <v>9856402232.3687572</v>
      </c>
      <c r="Y11" s="1">
        <f ca="1">'Debt worksheet'!Z5</f>
        <v>10370005172.647087</v>
      </c>
      <c r="Z11" s="1">
        <f ca="1">'Debt worksheet'!AA5</f>
        <v>10921141223.562798</v>
      </c>
      <c r="AA11" s="1">
        <f ca="1">'Debt worksheet'!AB5</f>
        <v>11511105592.241447</v>
      </c>
      <c r="AB11" s="1">
        <f ca="1">'Debt worksheet'!AC5</f>
        <v>12141184025.326733</v>
      </c>
      <c r="AC11" s="1">
        <f ca="1">'Debt worksheet'!AD5</f>
        <v>12812647765.305357</v>
      </c>
      <c r="AD11" s="1">
        <f ca="1">'Debt worksheet'!AE5</f>
        <v>13526748034.908348</v>
      </c>
      <c r="AE11" s="1">
        <f ca="1">'Debt worksheet'!AF5</f>
        <v>14284710016.848961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162</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161793846.16259599</v>
      </c>
      <c r="D5" s="4">
        <f ca="1">'Profit and Loss'!D9</f>
        <v>324399327.35926044</v>
      </c>
      <c r="E5" s="4">
        <f ca="1">'Profit and Loss'!E9</f>
        <v>474813415.80290878</v>
      </c>
      <c r="F5" s="4">
        <f ca="1">'Profit and Loss'!F9</f>
        <v>549814462.30732775</v>
      </c>
      <c r="G5" s="4">
        <f ca="1">'Profit and Loss'!G9</f>
        <v>628742478.81031084</v>
      </c>
      <c r="H5" s="4">
        <f ca="1">'Profit and Loss'!H9</f>
        <v>682297325.37367022</v>
      </c>
      <c r="I5" s="4">
        <f ca="1">'Profit and Loss'!I9</f>
        <v>723246271.83800352</v>
      </c>
      <c r="J5" s="4">
        <f ca="1">'Profit and Loss'!J9</f>
        <v>747466275.73404348</v>
      </c>
      <c r="K5" s="4">
        <f ca="1">'Profit and Loss'!K9</f>
        <v>775547231.11677432</v>
      </c>
      <c r="L5" s="4">
        <f ca="1">'Profit and Loss'!L9</f>
        <v>802240977.87810206</v>
      </c>
      <c r="M5" s="4">
        <f ca="1">'Profit and Loss'!M9</f>
        <v>810254608.23231614</v>
      </c>
      <c r="N5" s="4">
        <f ca="1">'Profit and Loss'!N9</f>
        <v>818851047.2758708</v>
      </c>
      <c r="O5" s="4">
        <f ca="1">'Profit and Loss'!O9</f>
        <v>828113161.92820334</v>
      </c>
      <c r="P5" s="4">
        <f ca="1">'Profit and Loss'!P9</f>
        <v>838131144.58255136</v>
      </c>
      <c r="Q5" s="4">
        <f ca="1">'Profit and Loss'!Q9</f>
        <v>847400351.18842494</v>
      </c>
      <c r="R5" s="4">
        <f ca="1">'Profit and Loss'!R9</f>
        <v>857248599.24135482</v>
      </c>
      <c r="S5" s="4">
        <f ca="1">'Profit and Loss'!S9</f>
        <v>867760008.59279084</v>
      </c>
      <c r="T5" s="4">
        <f ca="1">'Profit and Loss'!T9</f>
        <v>879026367.1900028</v>
      </c>
      <c r="U5" s="4">
        <f ca="1">'Profit and Loss'!U9</f>
        <v>891147673.77158761</v>
      </c>
      <c r="V5" s="4">
        <f ca="1">'Profit and Loss'!V9</f>
        <v>899367378.79885614</v>
      </c>
      <c r="W5" s="4">
        <f ca="1">'Profit and Loss'!W9</f>
        <v>907594106.27550435</v>
      </c>
      <c r="X5" s="4">
        <f ca="1">'Profit and Loss'!X9</f>
        <v>915862806.81103122</v>
      </c>
      <c r="Y5" s="4">
        <f ca="1">'Profit and Loss'!Y9</f>
        <v>924213207.60699773</v>
      </c>
      <c r="Z5" s="4">
        <f ca="1">'Profit and Loss'!Z9</f>
        <v>932690213.7019496</v>
      </c>
      <c r="AA5" s="4">
        <f ca="1">'Profit and Loss'!AA9</f>
        <v>941344336.40677428</v>
      </c>
      <c r="AB5" s="4">
        <f ca="1">'Profit and Loss'!AB9</f>
        <v>950232150.56287241</v>
      </c>
      <c r="AC5" s="4">
        <f ca="1">'Profit and Loss'!AC9</f>
        <v>959416782.3462745</v>
      </c>
      <c r="AD5" s="4">
        <f ca="1">'Profit and Loss'!AD9</f>
        <v>968968429.43630505</v>
      </c>
      <c r="AE5" s="4">
        <f ca="1">'Profit and Loss'!AE9</f>
        <v>978964915.46794069</v>
      </c>
      <c r="AF5" s="4">
        <f ca="1">'Profit and Loss'!AF9</f>
        <v>989492280.7927947</v>
      </c>
      <c r="AG5" s="4"/>
      <c r="AH5" s="4"/>
      <c r="AI5" s="4"/>
      <c r="AJ5" s="4"/>
      <c r="AK5" s="4"/>
      <c r="AL5" s="4"/>
      <c r="AM5" s="4"/>
      <c r="AN5" s="4"/>
      <c r="AO5" s="4"/>
      <c r="AP5" s="4"/>
    </row>
    <row r="6" spans="1:42" x14ac:dyDescent="0.35">
      <c r="A6" t="s">
        <v>21</v>
      </c>
      <c r="C6" s="4">
        <f>Depreciation!C8+Depreciation!C9</f>
        <v>506934860.82816875</v>
      </c>
      <c r="D6" s="4">
        <f>Depreciation!D8+Depreciation!D9</f>
        <v>541588307.55321062</v>
      </c>
      <c r="E6" s="4">
        <f>Depreciation!E8+Depreciation!E9</f>
        <v>577940473.57116699</v>
      </c>
      <c r="F6" s="4">
        <f>Depreciation!F8+Depreciation!F9</f>
        <v>616064591.78733826</v>
      </c>
      <c r="G6" s="4">
        <f>Depreciation!G8+Depreciation!G9</f>
        <v>655793744.31880903</v>
      </c>
      <c r="H6" s="4">
        <f>Depreciation!H8+Depreciation!H9</f>
        <v>697186845.6503042</v>
      </c>
      <c r="I6" s="4">
        <f>Depreciation!I8+Depreciation!I9</f>
        <v>740304843.69729185</v>
      </c>
      <c r="J6" s="4">
        <f>Depreciation!J8+Depreciation!J9</f>
        <v>785210787.78221619</v>
      </c>
      <c r="K6" s="4">
        <f>Depreciation!K8+Depreciation!K9</f>
        <v>831969898.84298098</v>
      </c>
      <c r="L6" s="4">
        <f>Depreciation!L8+Depreciation!L9</f>
        <v>880805914.15715075</v>
      </c>
      <c r="M6" s="4">
        <f>Depreciation!M8+Depreciation!M9</f>
        <v>931800878.30568802</v>
      </c>
      <c r="N6" s="4">
        <f>Depreciation!N8+Depreciation!N9</f>
        <v>985039879.56117392</v>
      </c>
      <c r="O6" s="4">
        <f>Depreciation!O8+Depreciation!O9</f>
        <v>1040611158.5121737</v>
      </c>
      <c r="P6" s="4">
        <f>Depreciation!P8+Depreciation!P9</f>
        <v>1098606220.4648924</v>
      </c>
      <c r="Q6" s="4">
        <f>Depreciation!Q8+Depreciation!Q9</f>
        <v>1159158180.3926406</v>
      </c>
      <c r="R6" s="4">
        <f>Depreciation!R8+Depreciation!R9</f>
        <v>1222368760.6081367</v>
      </c>
      <c r="S6" s="4">
        <f>Depreciation!S8+Depreciation!S9</f>
        <v>1288343503.5040863</v>
      </c>
      <c r="T6" s="4">
        <f>Depreciation!T8+Depreciation!T9</f>
        <v>1357191909.8339996</v>
      </c>
      <c r="U6" s="4">
        <f>Depreciation!U8+Depreciation!U9</f>
        <v>1429027581.8732843</v>
      </c>
      <c r="V6" s="4">
        <f>Depreciation!V8+Depreciation!V9</f>
        <v>1504070972.407414</v>
      </c>
      <c r="W6" s="4">
        <f>Depreciation!W8+Depreciation!W9</f>
        <v>1582453815.6918895</v>
      </c>
      <c r="X6" s="4">
        <f>Depreciation!X8+Depreciation!X9</f>
        <v>1664312992.2708259</v>
      </c>
      <c r="Y6" s="4">
        <f>Depreciation!Y8+Depreciation!Y9</f>
        <v>1749790723.4435458</v>
      </c>
      <c r="Z6" s="4">
        <f>Depreciation!Z8+Depreciation!Z9</f>
        <v>1839034772.9072347</v>
      </c>
      <c r="AA6" s="4">
        <f>Depreciation!AA8+Depreciation!AA9</f>
        <v>1932198655.8357937</v>
      </c>
      <c r="AB6" s="4">
        <f>Depreciation!AB8+Depreciation!AB9</f>
        <v>2029441855.6643226</v>
      </c>
      <c r="AC6" s="4">
        <f>Depreciation!AC8+Depreciation!AC9</f>
        <v>2130930048.8583019</v>
      </c>
      <c r="AD6" s="4">
        <f>Depreciation!AD8+Depreciation!AD9</f>
        <v>2236835337.9564962</v>
      </c>
      <c r="AE6" s="4">
        <f>Depreciation!AE8+Depreciation!AE9</f>
        <v>2347336493.1869431</v>
      </c>
      <c r="AF6" s="4">
        <f>Depreciation!AF8+Depreciation!AF9</f>
        <v>2462619202.9660716</v>
      </c>
      <c r="AG6" s="4"/>
      <c r="AH6" s="4"/>
      <c r="AI6" s="4"/>
      <c r="AJ6" s="4"/>
      <c r="AK6" s="4"/>
      <c r="AL6" s="4"/>
      <c r="AM6" s="4"/>
      <c r="AN6" s="4"/>
      <c r="AO6" s="4"/>
      <c r="AP6" s="4"/>
    </row>
    <row r="7" spans="1:42" x14ac:dyDescent="0.35">
      <c r="A7" t="s">
        <v>23</v>
      </c>
      <c r="C7" s="4">
        <f ca="1">C6+C5</f>
        <v>668728706.99076474</v>
      </c>
      <c r="D7" s="4">
        <f ca="1">D6+D5</f>
        <v>865987634.91247106</v>
      </c>
      <c r="E7" s="4">
        <f t="shared" ref="E7:AF7" ca="1" si="1">E6+E5</f>
        <v>1052753889.3740758</v>
      </c>
      <c r="F7" s="4">
        <f t="shared" ca="1" si="1"/>
        <v>1165879054.094666</v>
      </c>
      <c r="G7" s="4">
        <f ca="1">G6+G5</f>
        <v>1284536223.1291199</v>
      </c>
      <c r="H7" s="4">
        <f t="shared" ca="1" si="1"/>
        <v>1379484171.0239744</v>
      </c>
      <c r="I7" s="4">
        <f t="shared" ca="1" si="1"/>
        <v>1463551115.5352955</v>
      </c>
      <c r="J7" s="4">
        <f t="shared" ca="1" si="1"/>
        <v>1532677063.5162597</v>
      </c>
      <c r="K7" s="4">
        <f t="shared" ca="1" si="1"/>
        <v>1607517129.9597554</v>
      </c>
      <c r="L7" s="4">
        <f t="shared" ca="1" si="1"/>
        <v>1683046892.0352528</v>
      </c>
      <c r="M7" s="4">
        <f t="shared" ca="1" si="1"/>
        <v>1742055486.5380042</v>
      </c>
      <c r="N7" s="4">
        <f t="shared" ca="1" si="1"/>
        <v>1803890926.8370447</v>
      </c>
      <c r="O7" s="4">
        <f t="shared" ca="1" si="1"/>
        <v>1868724320.440377</v>
      </c>
      <c r="P7" s="4">
        <f t="shared" ca="1" si="1"/>
        <v>1936737365.0474439</v>
      </c>
      <c r="Q7" s="4">
        <f t="shared" ca="1" si="1"/>
        <v>2006558531.5810657</v>
      </c>
      <c r="R7" s="4">
        <f t="shared" ca="1" si="1"/>
        <v>2079617359.8494916</v>
      </c>
      <c r="S7" s="4">
        <f t="shared" ca="1" si="1"/>
        <v>2156103512.0968771</v>
      </c>
      <c r="T7" s="4">
        <f t="shared" ca="1" si="1"/>
        <v>2236218277.0240026</v>
      </c>
      <c r="U7" s="4">
        <f t="shared" ca="1" si="1"/>
        <v>2320175255.6448717</v>
      </c>
      <c r="V7" s="4">
        <f t="shared" ca="1" si="1"/>
        <v>2403438351.2062702</v>
      </c>
      <c r="W7" s="4">
        <f t="shared" ca="1" si="1"/>
        <v>2490047921.9673939</v>
      </c>
      <c r="X7" s="4">
        <f t="shared" ca="1" si="1"/>
        <v>2580175799.0818572</v>
      </c>
      <c r="Y7" s="4">
        <f t="shared" ca="1" si="1"/>
        <v>2674003931.0505438</v>
      </c>
      <c r="Z7" s="4">
        <f t="shared" ca="1" si="1"/>
        <v>2771724986.6091843</v>
      </c>
      <c r="AA7" s="4">
        <f t="shared" ca="1" si="1"/>
        <v>2873542992.242568</v>
      </c>
      <c r="AB7" s="4">
        <f t="shared" ca="1" si="1"/>
        <v>2979674006.2271948</v>
      </c>
      <c r="AC7" s="4">
        <f t="shared" ca="1" si="1"/>
        <v>3090346831.2045765</v>
      </c>
      <c r="AD7" s="4">
        <f t="shared" ca="1" si="1"/>
        <v>3205803767.3928013</v>
      </c>
      <c r="AE7" s="4">
        <f t="shared" ca="1" si="1"/>
        <v>3326301408.6548839</v>
      </c>
      <c r="AF7" s="4">
        <f t="shared" ca="1" si="1"/>
        <v>3452111483.7588663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1303944134.2110474</v>
      </c>
      <c r="D10" s="9">
        <f>Investment!D25</f>
        <v>1364101877.6843414</v>
      </c>
      <c r="E10" s="9">
        <f>Investment!E25</f>
        <v>1426774477.9464939</v>
      </c>
      <c r="F10" s="9">
        <f>Investment!F25</f>
        <v>1492061284.3026757</v>
      </c>
      <c r="G10" s="9">
        <f>Investment!G25</f>
        <v>1548973987.9545274</v>
      </c>
      <c r="H10" s="9">
        <f>Investment!H25</f>
        <v>1607887712.9451807</v>
      </c>
      <c r="I10" s="9">
        <f>Investment!I25</f>
        <v>1668870019.2050247</v>
      </c>
      <c r="J10" s="9">
        <f>Investment!J25</f>
        <v>1731990697.7727084</v>
      </c>
      <c r="K10" s="9">
        <f>Investment!K25</f>
        <v>1797321843.5478468</v>
      </c>
      <c r="L10" s="9">
        <f>Investment!L25</f>
        <v>1872067905.0578952</v>
      </c>
      <c r="M10" s="9">
        <f>Investment!M25</f>
        <v>1949668341.0422082</v>
      </c>
      <c r="N10" s="9">
        <f>Investment!N25</f>
        <v>2030226904.9975424</v>
      </c>
      <c r="O10" s="9">
        <f>Investment!O25</f>
        <v>2113851003.7112541</v>
      </c>
      <c r="P10" s="9">
        <f>Investment!P25</f>
        <v>2200651823.1091156</v>
      </c>
      <c r="Q10" s="9">
        <f>Investment!Q25</f>
        <v>2292488653.6047287</v>
      </c>
      <c r="R10" s="9">
        <f>Investment!R25</f>
        <v>2387872219.2937698</v>
      </c>
      <c r="S10" s="9">
        <f>Investment!S25</f>
        <v>2486933274.3748865</v>
      </c>
      <c r="T10" s="9">
        <f>Investment!T25</f>
        <v>2589807247.1202803</v>
      </c>
      <c r="U10" s="9">
        <f>Investment!U25</f>
        <v>2696634403.3544483</v>
      </c>
      <c r="V10" s="9">
        <f>Investment!V25</f>
        <v>2812241212.1759748</v>
      </c>
      <c r="W10" s="9">
        <f>Investment!W25</f>
        <v>2932485503.1330442</v>
      </c>
      <c r="X10" s="9">
        <f>Investment!X25</f>
        <v>3057545693.7100983</v>
      </c>
      <c r="Y10" s="9">
        <f>Investment!Y25</f>
        <v>3187606871.3288746</v>
      </c>
      <c r="Z10" s="9">
        <f>Investment!Z25</f>
        <v>3322861037.5248938</v>
      </c>
      <c r="AA10" s="9">
        <f>Investment!AA25</f>
        <v>3463507360.9212184</v>
      </c>
      <c r="AB10" s="9">
        <f>Investment!AB25</f>
        <v>3609752439.3124809</v>
      </c>
      <c r="AC10" s="9">
        <f>Investment!AC25</f>
        <v>3761810571.1832008</v>
      </c>
      <c r="AD10" s="9">
        <f>Investment!AD25</f>
        <v>3919904036.9957924</v>
      </c>
      <c r="AE10" s="9">
        <f>Investment!AE25</f>
        <v>4084263390.5954967</v>
      </c>
      <c r="AF10" s="9">
        <f>Investment!AF25</f>
        <v>4255127761.0916977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-635215427.22028267</v>
      </c>
      <c r="D12" s="1">
        <f t="shared" ref="D12:AF12" ca="1" si="2">D7-D9-D10</f>
        <v>-498114242.77187037</v>
      </c>
      <c r="E12" s="1">
        <f ca="1">E7-E9-E10</f>
        <v>-374020588.57241809</v>
      </c>
      <c r="F12" s="1">
        <f t="shared" ca="1" si="2"/>
        <v>-326182230.20800972</v>
      </c>
      <c r="G12" s="1">
        <f ca="1">G7-G9-G10</f>
        <v>-264437764.82540751</v>
      </c>
      <c r="H12" s="1">
        <f t="shared" ca="1" si="2"/>
        <v>-228403541.92120624</v>
      </c>
      <c r="I12" s="1">
        <f t="shared" ca="1" si="2"/>
        <v>-205318903.66972923</v>
      </c>
      <c r="J12" s="1">
        <f t="shared" ca="1" si="2"/>
        <v>-199313634.25644875</v>
      </c>
      <c r="K12" s="1">
        <f t="shared" ca="1" si="2"/>
        <v>-189804713.58809137</v>
      </c>
      <c r="L12" s="1">
        <f t="shared" ca="1" si="2"/>
        <v>-189021013.02264237</v>
      </c>
      <c r="M12" s="1">
        <f t="shared" ca="1" si="2"/>
        <v>-207612854.50420403</v>
      </c>
      <c r="N12" s="1">
        <f t="shared" ca="1" si="2"/>
        <v>-226335978.16049767</v>
      </c>
      <c r="O12" s="1">
        <f t="shared" ca="1" si="2"/>
        <v>-245126683.27087712</v>
      </c>
      <c r="P12" s="1">
        <f t="shared" ca="1" si="2"/>
        <v>-263914458.06167173</v>
      </c>
      <c r="Q12" s="1">
        <f t="shared" ca="1" si="2"/>
        <v>-285930122.02366304</v>
      </c>
      <c r="R12" s="1">
        <f t="shared" ca="1" si="2"/>
        <v>-308254859.44427824</v>
      </c>
      <c r="S12" s="1">
        <f t="shared" ca="1" si="2"/>
        <v>-330829762.27800941</v>
      </c>
      <c r="T12" s="1">
        <f t="shared" ca="1" si="2"/>
        <v>-353588970.09627771</v>
      </c>
      <c r="U12" s="1">
        <f t="shared" ca="1" si="2"/>
        <v>-376459147.70957661</v>
      </c>
      <c r="V12" s="1">
        <f t="shared" ca="1" si="2"/>
        <v>-408802860.96970463</v>
      </c>
      <c r="W12" s="1">
        <f t="shared" ca="1" si="2"/>
        <v>-442437581.16565037</v>
      </c>
      <c r="X12" s="1">
        <f t="shared" ca="1" si="2"/>
        <v>-477369894.62824106</v>
      </c>
      <c r="Y12" s="1">
        <f t="shared" ca="1" si="2"/>
        <v>-513602940.2783308</v>
      </c>
      <c r="Z12" s="1">
        <f t="shared" ca="1" si="2"/>
        <v>-551136050.9157095</v>
      </c>
      <c r="AA12" s="1">
        <f t="shared" ca="1" si="2"/>
        <v>-589964368.67865038</v>
      </c>
      <c r="AB12" s="1">
        <f t="shared" ca="1" si="2"/>
        <v>-630078433.08528614</v>
      </c>
      <c r="AC12" s="1">
        <f t="shared" ca="1" si="2"/>
        <v>-671463739.97862434</v>
      </c>
      <c r="AD12" s="1">
        <f t="shared" ca="1" si="2"/>
        <v>-714100269.6029911</v>
      </c>
      <c r="AE12" s="1">
        <f t="shared" ca="1" si="2"/>
        <v>-757961981.94061279</v>
      </c>
      <c r="AF12" s="1">
        <f t="shared" ca="1" si="2"/>
        <v>-803016277.33283138</v>
      </c>
      <c r="AG12" s="1"/>
      <c r="AH12" s="1"/>
      <c r="AI12" s="1"/>
      <c r="AJ12" s="1"/>
      <c r="AK12" s="1"/>
      <c r="AL12" s="1"/>
      <c r="AM12" s="1"/>
      <c r="AN12" s="1"/>
      <c r="AO12" s="1"/>
      <c r="AP12" s="1"/>
    </row>
    <row r="13" spans="1:42" x14ac:dyDescent="0.35">
      <c r="A13" t="s">
        <v>19</v>
      </c>
      <c r="C13" s="1">
        <f ca="1">C12</f>
        <v>-635215427.22028267</v>
      </c>
      <c r="D13" s="1">
        <f ca="1">D12</f>
        <v>-498114242.77187037</v>
      </c>
      <c r="E13" s="1">
        <f ca="1">E12</f>
        <v>-374020588.57241809</v>
      </c>
      <c r="F13" s="1">
        <f t="shared" ref="F13:AF13" ca="1" si="3">F12</f>
        <v>-326182230.20800972</v>
      </c>
      <c r="G13" s="1">
        <f ca="1">G12</f>
        <v>-264437764.82540751</v>
      </c>
      <c r="H13" s="1">
        <f t="shared" ca="1" si="3"/>
        <v>-228403541.92120624</v>
      </c>
      <c r="I13" s="1">
        <f t="shared" ca="1" si="3"/>
        <v>-205318903.66972923</v>
      </c>
      <c r="J13" s="1">
        <f t="shared" ca="1" si="3"/>
        <v>-199313634.25644875</v>
      </c>
      <c r="K13" s="1">
        <f t="shared" ca="1" si="3"/>
        <v>-189804713.58809137</v>
      </c>
      <c r="L13" s="1">
        <f t="shared" ca="1" si="3"/>
        <v>-189021013.02264237</v>
      </c>
      <c r="M13" s="1">
        <f t="shared" ca="1" si="3"/>
        <v>-207612854.50420403</v>
      </c>
      <c r="N13" s="1">
        <f t="shared" ca="1" si="3"/>
        <v>-226335978.16049767</v>
      </c>
      <c r="O13" s="1">
        <f t="shared" ca="1" si="3"/>
        <v>-245126683.27087712</v>
      </c>
      <c r="P13" s="1">
        <f t="shared" ca="1" si="3"/>
        <v>-263914458.06167173</v>
      </c>
      <c r="Q13" s="1">
        <f t="shared" ca="1" si="3"/>
        <v>-285930122.02366304</v>
      </c>
      <c r="R13" s="1">
        <f t="shared" ca="1" si="3"/>
        <v>-308254859.44427824</v>
      </c>
      <c r="S13" s="1">
        <f t="shared" ca="1" si="3"/>
        <v>-330829762.27800941</v>
      </c>
      <c r="T13" s="1">
        <f t="shared" ca="1" si="3"/>
        <v>-353588970.09627771</v>
      </c>
      <c r="U13" s="1">
        <f t="shared" ca="1" si="3"/>
        <v>-376459147.70957661</v>
      </c>
      <c r="V13" s="1">
        <f t="shared" ca="1" si="3"/>
        <v>-408802860.96970463</v>
      </c>
      <c r="W13" s="1">
        <f t="shared" ca="1" si="3"/>
        <v>-442437581.16565037</v>
      </c>
      <c r="X13" s="1">
        <f t="shared" ca="1" si="3"/>
        <v>-477369894.62824106</v>
      </c>
      <c r="Y13" s="1">
        <f t="shared" ca="1" si="3"/>
        <v>-513602940.2783308</v>
      </c>
      <c r="Z13" s="1">
        <f t="shared" ca="1" si="3"/>
        <v>-551136050.9157095</v>
      </c>
      <c r="AA13" s="1">
        <f t="shared" ca="1" si="3"/>
        <v>-589964368.67865038</v>
      </c>
      <c r="AB13" s="1">
        <f t="shared" ca="1" si="3"/>
        <v>-630078433.08528614</v>
      </c>
      <c r="AC13" s="1">
        <f t="shared" ca="1" si="3"/>
        <v>-671463739.97862434</v>
      </c>
      <c r="AD13" s="1">
        <f t="shared" ca="1" si="3"/>
        <v>-714100269.6029911</v>
      </c>
      <c r="AE13" s="1">
        <f t="shared" ca="1" si="3"/>
        <v>-757961981.94061279</v>
      </c>
      <c r="AF13" s="1">
        <f t="shared" ca="1" si="3"/>
        <v>-803016277.33283138</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136</v>
      </c>
      <c r="C6" s="9">
        <f>Assumptions!C17</f>
        <v>23213236902.219433</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11606618451.109716</v>
      </c>
      <c r="D7" s="9">
        <f>C12</f>
        <v>12113553311.937885</v>
      </c>
      <c r="E7" s="9">
        <f>D12</f>
        <v>12655141619.491095</v>
      </c>
      <c r="F7" s="9">
        <f t="shared" ref="F7:H7" si="1">E12</f>
        <v>13233082093.062262</v>
      </c>
      <c r="G7" s="9">
        <f t="shared" si="1"/>
        <v>13849146684.8496</v>
      </c>
      <c r="H7" s="9">
        <f t="shared" si="1"/>
        <v>14504940429.168409</v>
      </c>
      <c r="I7" s="9">
        <f t="shared" ref="I7" si="2">H12</f>
        <v>15202127274.818714</v>
      </c>
      <c r="J7" s="9">
        <f t="shared" ref="J7" si="3">I12</f>
        <v>15942432118.516006</v>
      </c>
      <c r="K7" s="9">
        <f t="shared" ref="K7" si="4">J12</f>
        <v>16727642906.298223</v>
      </c>
      <c r="L7" s="9">
        <f t="shared" ref="L7" si="5">K12</f>
        <v>17559612805.141205</v>
      </c>
      <c r="M7" s="9">
        <f t="shared" ref="M7" si="6">L12</f>
        <v>18440418719.298355</v>
      </c>
      <c r="N7" s="9">
        <f t="shared" ref="N7" si="7">M12</f>
        <v>19372219597.604046</v>
      </c>
      <c r="O7" s="9">
        <f t="shared" ref="O7" si="8">N12</f>
        <v>20357259477.165222</v>
      </c>
      <c r="P7" s="9">
        <f t="shared" ref="P7" si="9">O12</f>
        <v>21397870635.677395</v>
      </c>
      <c r="Q7" s="9">
        <f t="shared" ref="Q7" si="10">P12</f>
        <v>22496476856.142284</v>
      </c>
      <c r="R7" s="9">
        <f t="shared" ref="R7" si="11">Q12</f>
        <v>23655635036.534924</v>
      </c>
      <c r="S7" s="9">
        <f t="shared" ref="S7" si="12">R12</f>
        <v>24878003797.143059</v>
      </c>
      <c r="T7" s="9">
        <f t="shared" ref="T7" si="13">S12</f>
        <v>26166347300.647144</v>
      </c>
      <c r="U7" s="9">
        <f t="shared" ref="U7" si="14">T12</f>
        <v>27523539210.481144</v>
      </c>
      <c r="V7" s="9">
        <f t="shared" ref="V7" si="15">U12</f>
        <v>28952566792.354431</v>
      </c>
      <c r="W7" s="9">
        <f t="shared" ref="W7" si="16">V12</f>
        <v>30456637764.761845</v>
      </c>
      <c r="X7" s="9">
        <f t="shared" ref="X7" si="17">W12</f>
        <v>32039091580.453735</v>
      </c>
      <c r="Y7" s="9">
        <f t="shared" ref="Y7" si="18">X12</f>
        <v>33703404572.72456</v>
      </c>
      <c r="Z7" s="9">
        <f t="shared" ref="Z7" si="19">Y12</f>
        <v>35453195296.168106</v>
      </c>
      <c r="AA7" s="9">
        <f t="shared" ref="AA7" si="20">Z12</f>
        <v>37292230069.07534</v>
      </c>
      <c r="AB7" s="9">
        <f t="shared" ref="AB7" si="21">AA12</f>
        <v>39224428724.911133</v>
      </c>
      <c r="AC7" s="9">
        <f t="shared" ref="AC7" si="22">AB12</f>
        <v>41253870580.575455</v>
      </c>
      <c r="AD7" s="9">
        <f t="shared" ref="AD7" si="23">AC12</f>
        <v>43384800629.433762</v>
      </c>
      <c r="AE7" s="9">
        <f t="shared" ref="AE7" si="24">AD12</f>
        <v>45621635967.390259</v>
      </c>
      <c r="AF7" s="9">
        <f t="shared" ref="AF7" si="25">AE12</f>
        <v>47968972460.577209</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137</v>
      </c>
      <c r="C8" s="9">
        <f>Assumptions!D111*Assumptions!D11</f>
        <v>489074849.99624974</v>
      </c>
      <c r="D8" s="9">
        <f>Assumptions!E111*Assumptions!E11</f>
        <v>504725245.19612974</v>
      </c>
      <c r="E8" s="9">
        <f>Assumptions!F111*Assumptions!F11</f>
        <v>520876453.04240584</v>
      </c>
      <c r="F8" s="9">
        <f>Assumptions!G111*Assumptions!G11</f>
        <v>537544499.53976285</v>
      </c>
      <c r="G8" s="9">
        <f>Assumptions!H111*Assumptions!H11</f>
        <v>554745923.52503526</v>
      </c>
      <c r="H8" s="9">
        <f>Assumptions!I111*Assumptions!I11</f>
        <v>572497793.07783639</v>
      </c>
      <c r="I8" s="9">
        <f>Assumptions!J111*Assumptions!J11</f>
        <v>590817722.45632708</v>
      </c>
      <c r="J8" s="9">
        <f>Assumptions!K111*Assumptions!K11</f>
        <v>609723889.57492959</v>
      </c>
      <c r="K8" s="9">
        <f>Assumptions!L111*Assumptions!L11</f>
        <v>629235054.04132736</v>
      </c>
      <c r="L8" s="9">
        <f>Assumptions!M111*Assumptions!M11</f>
        <v>649370575.77064979</v>
      </c>
      <c r="M8" s="9">
        <f>Assumptions!N111*Assumptions!N11</f>
        <v>670150434.19531059</v>
      </c>
      <c r="N8" s="9">
        <f>Assumptions!O111*Assumptions!O11</f>
        <v>691595248.08956051</v>
      </c>
      <c r="O8" s="9">
        <f>Assumptions!P111*Assumptions!P11</f>
        <v>713726296.02842653</v>
      </c>
      <c r="P8" s="9">
        <f>Assumptions!Q111*Assumptions!Q11</f>
        <v>736565537.5013361</v>
      </c>
      <c r="Q8" s="9">
        <f>Assumptions!R111*Assumptions!R11</f>
        <v>760135634.7013787</v>
      </c>
      <c r="R8" s="9">
        <f>Assumptions!S111*Assumptions!S11</f>
        <v>784459975.01182294</v>
      </c>
      <c r="S8" s="9">
        <f>Assumptions!T111*Assumptions!T11</f>
        <v>809562694.21220136</v>
      </c>
      <c r="T8" s="9">
        <f>Assumptions!U111*Assumptions!U11</f>
        <v>835468700.4269917</v>
      </c>
      <c r="U8" s="9">
        <f>Assumptions!V111*Assumptions!V11</f>
        <v>862203698.84065533</v>
      </c>
      <c r="V8" s="9">
        <f>Assumptions!W111*Assumptions!W11</f>
        <v>889794217.20355642</v>
      </c>
      <c r="W8" s="9">
        <f>Assumptions!X111*Assumptions!X11</f>
        <v>918267632.15407038</v>
      </c>
      <c r="X8" s="9">
        <f>Assumptions!Y111*Assumptions!Y11</f>
        <v>947652196.38300049</v>
      </c>
      <c r="Y8" s="9">
        <f>Assumptions!Z111*Assumptions!Z11</f>
        <v>977977066.66725636</v>
      </c>
      <c r="Z8" s="9">
        <f>Assumptions!AA111*Assumptions!AA11</f>
        <v>1009272332.8006086</v>
      </c>
      <c r="AA8" s="9">
        <f>Assumptions!AB111*Assumptions!AB11</f>
        <v>1041569047.4502283</v>
      </c>
      <c r="AB8" s="9">
        <f>Assumptions!AC111*Assumptions!AC11</f>
        <v>1074899256.9686353</v>
      </c>
      <c r="AC8" s="9">
        <f>Assumptions!AD111*Assumptions!AD11</f>
        <v>1109296033.1916316</v>
      </c>
      <c r="AD8" s="9">
        <f>Assumptions!AE111*Assumptions!AE11</f>
        <v>1144793506.2537642</v>
      </c>
      <c r="AE8" s="9">
        <f>Assumptions!AF111*Assumptions!AF11</f>
        <v>1181426898.4538844</v>
      </c>
      <c r="AF8" s="9">
        <f>Assumptions!AG111*Assumptions!AG11</f>
        <v>1219232559.2044086</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17860010.831919033</v>
      </c>
      <c r="D9" s="9">
        <f>Assumptions!E120*Assumptions!E11</f>
        <v>36863062.357080877</v>
      </c>
      <c r="E9" s="9">
        <f>Assumptions!F120*Assumptions!F11</f>
        <v>57064020.528761201</v>
      </c>
      <c r="F9" s="9">
        <f>Assumptions!G120*Assumptions!G11</f>
        <v>78520092.247575402</v>
      </c>
      <c r="G9" s="9">
        <f>Assumptions!H120*Assumptions!H11</f>
        <v>101047820.79377379</v>
      </c>
      <c r="H9" s="9">
        <f>Assumptions!I120*Assumptions!I11</f>
        <v>124689052.5724678</v>
      </c>
      <c r="I9" s="9">
        <f>Assumptions!J120*Assumptions!J11</f>
        <v>149487121.2409648</v>
      </c>
      <c r="J9" s="9">
        <f>Assumptions!K120*Assumptions!K11</f>
        <v>175486898.2072866</v>
      </c>
      <c r="K9" s="9">
        <f>Assumptions!L120*Assumptions!L11</f>
        <v>202734844.80165365</v>
      </c>
      <c r="L9" s="9">
        <f>Assumptions!M120*Assumptions!M11</f>
        <v>231435338.38650095</v>
      </c>
      <c r="M9" s="9">
        <f>Assumptions!N120*Assumptions!N11</f>
        <v>261650444.1103774</v>
      </c>
      <c r="N9" s="9">
        <f>Assumptions!O120*Assumptions!O11</f>
        <v>293444631.47161347</v>
      </c>
      <c r="O9" s="9">
        <f>Assumptions!P120*Assumptions!P11</f>
        <v>326884862.48374707</v>
      </c>
      <c r="P9" s="9">
        <f>Assumptions!Q120*Assumptions!Q11</f>
        <v>362040682.96355623</v>
      </c>
      <c r="Q9" s="9">
        <f>Assumptions!R120*Assumptions!R11</f>
        <v>399022545.69126201</v>
      </c>
      <c r="R9" s="9">
        <f>Assumptions!S120*Assumptions!S11</f>
        <v>437908785.59631366</v>
      </c>
      <c r="S9" s="9">
        <f>Assumptions!T120*Assumptions!T11</f>
        <v>478780809.29188484</v>
      </c>
      <c r="T9" s="9">
        <f>Assumptions!U120*Assumptions!U11</f>
        <v>521723209.40700781</v>
      </c>
      <c r="U9" s="9">
        <f>Assumptions!V120*Assumptions!V11</f>
        <v>566823883.03262913</v>
      </c>
      <c r="V9" s="9">
        <f>Assumptions!W120*Assumptions!W11</f>
        <v>614276755.20385754</v>
      </c>
      <c r="W9" s="9">
        <f>Assumptions!X120*Assumptions!X11</f>
        <v>664186183.53781915</v>
      </c>
      <c r="X9" s="9">
        <f>Assumptions!Y120*Assumptions!Y11</f>
        <v>716660795.88782537</v>
      </c>
      <c r="Y9" s="9">
        <f>Assumptions!Z120*Assumptions!Z11</f>
        <v>771813656.77628934</v>
      </c>
      <c r="Z9" s="9">
        <f>Assumptions!AA120*Assumptions!AA11</f>
        <v>829762440.10662591</v>
      </c>
      <c r="AA9" s="9">
        <f>Assumptions!AB120*Assumptions!AB11</f>
        <v>890629608.3855654</v>
      </c>
      <c r="AB9" s="9">
        <f>Assumptions!AC120*Assumptions!AC11</f>
        <v>954542598.69568729</v>
      </c>
      <c r="AC9" s="9">
        <f>Assumptions!AD120*Assumptions!AD11</f>
        <v>1021634015.6666703</v>
      </c>
      <c r="AD9" s="9">
        <f>Assumptions!AE120*Assumptions!AE11</f>
        <v>1092041831.7027321</v>
      </c>
      <c r="AE9" s="9">
        <f>Assumptions!AF120*Assumptions!AF11</f>
        <v>1165909594.7330589</v>
      </c>
      <c r="AF9" s="9">
        <f>Assumptions!AG120*Assumptions!AG11</f>
        <v>1243386643.761663</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506934860.82816875</v>
      </c>
      <c r="D10" s="9">
        <f>SUM($C$8:D9)</f>
        <v>1048523168.3813794</v>
      </c>
      <c r="E10" s="9">
        <f>SUM($C$8:E9)</f>
        <v>1626463641.9525464</v>
      </c>
      <c r="F10" s="9">
        <f>SUM($C$8:F9)</f>
        <v>2242528233.7398844</v>
      </c>
      <c r="G10" s="9">
        <f>SUM($C$8:G9)</f>
        <v>2898321978.0586939</v>
      </c>
      <c r="H10" s="9">
        <f>SUM($C$8:H9)</f>
        <v>3595508823.7089982</v>
      </c>
      <c r="I10" s="9">
        <f>SUM($C$8:I9)</f>
        <v>4335813667.4062901</v>
      </c>
      <c r="J10" s="9">
        <f>SUM($C$8:J9)</f>
        <v>5121024455.1885052</v>
      </c>
      <c r="K10" s="9">
        <f>SUM($C$8:K9)</f>
        <v>5952994354.0314865</v>
      </c>
      <c r="L10" s="9">
        <f>SUM($C$8:L9)</f>
        <v>6833800268.1886377</v>
      </c>
      <c r="M10" s="9">
        <f>SUM($C$8:M9)</f>
        <v>7765601146.4943256</v>
      </c>
      <c r="N10" s="9">
        <f>SUM($C$8:N9)</f>
        <v>8750641026.0555</v>
      </c>
      <c r="O10" s="9">
        <f>SUM($C$8:O9)</f>
        <v>9791252184.5676727</v>
      </c>
      <c r="P10" s="9">
        <f>SUM($C$8:P9)</f>
        <v>10889858405.032564</v>
      </c>
      <c r="Q10" s="9">
        <f>SUM($C$8:Q9)</f>
        <v>12049016585.425205</v>
      </c>
      <c r="R10" s="9">
        <f>SUM($C$8:R9)</f>
        <v>13271385346.033342</v>
      </c>
      <c r="S10" s="9">
        <f>SUM($C$8:S9)</f>
        <v>14559728849.53743</v>
      </c>
      <c r="T10" s="9">
        <f>SUM($C$8:T9)</f>
        <v>15916920759.371429</v>
      </c>
      <c r="U10" s="9">
        <f>SUM($C$8:U9)</f>
        <v>17345948341.244717</v>
      </c>
      <c r="V10" s="9">
        <f>SUM($C$8:V9)</f>
        <v>18850019313.65213</v>
      </c>
      <c r="W10" s="9">
        <f>SUM($C$8:W9)</f>
        <v>20432473129.344021</v>
      </c>
      <c r="X10" s="9">
        <f>SUM($C$8:X9)</f>
        <v>22096786121.614845</v>
      </c>
      <c r="Y10" s="9">
        <f>SUM($C$8:Y9)</f>
        <v>23846576845.058392</v>
      </c>
      <c r="Z10" s="9">
        <f>SUM($C$8:Z9)</f>
        <v>25685611617.96563</v>
      </c>
      <c r="AA10" s="9">
        <f>SUM($C$8:AA9)</f>
        <v>27617810273.801426</v>
      </c>
      <c r="AB10" s="9">
        <f>SUM($C$8:AB9)</f>
        <v>29647252129.465748</v>
      </c>
      <c r="AC10" s="9">
        <f>SUM($C$8:AC9)</f>
        <v>31778182178.324051</v>
      </c>
      <c r="AD10" s="9">
        <f>SUM($C$8:AD9)</f>
        <v>34015017516.280548</v>
      </c>
      <c r="AE10" s="9">
        <f>SUM($C$8:AE9)</f>
        <v>36362354009.467499</v>
      </c>
      <c r="AF10" s="9">
        <f>SUM($C$8:AF9)</f>
        <v>38824973212.433571</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12113553311.937885</v>
      </c>
      <c r="D12" s="9">
        <f>D7+D8+D9</f>
        <v>12655141619.491095</v>
      </c>
      <c r="E12" s="9">
        <f>E7+E8+E9</f>
        <v>13233082093.062262</v>
      </c>
      <c r="F12" s="9">
        <f t="shared" ref="F12:H12" si="26">F7+F8+F9</f>
        <v>13849146684.8496</v>
      </c>
      <c r="G12" s="9">
        <f t="shared" si="26"/>
        <v>14504940429.168409</v>
      </c>
      <c r="H12" s="9">
        <f t="shared" si="26"/>
        <v>15202127274.818714</v>
      </c>
      <c r="I12" s="9">
        <f t="shared" ref="I12:AF12" si="27">I7+I8+I9</f>
        <v>15942432118.516006</v>
      </c>
      <c r="J12" s="9">
        <f t="shared" si="27"/>
        <v>16727642906.298223</v>
      </c>
      <c r="K12" s="9">
        <f t="shared" si="27"/>
        <v>17559612805.141205</v>
      </c>
      <c r="L12" s="9">
        <f t="shared" si="27"/>
        <v>18440418719.298355</v>
      </c>
      <c r="M12" s="9">
        <f t="shared" si="27"/>
        <v>19372219597.604046</v>
      </c>
      <c r="N12" s="9">
        <f t="shared" si="27"/>
        <v>20357259477.165222</v>
      </c>
      <c r="O12" s="9">
        <f t="shared" si="27"/>
        <v>21397870635.677395</v>
      </c>
      <c r="P12" s="9">
        <f t="shared" si="27"/>
        <v>22496476856.142284</v>
      </c>
      <c r="Q12" s="9">
        <f t="shared" si="27"/>
        <v>23655635036.534924</v>
      </c>
      <c r="R12" s="9">
        <f t="shared" si="27"/>
        <v>24878003797.143059</v>
      </c>
      <c r="S12" s="9">
        <f t="shared" si="27"/>
        <v>26166347300.647144</v>
      </c>
      <c r="T12" s="9">
        <f t="shared" si="27"/>
        <v>27523539210.481144</v>
      </c>
      <c r="U12" s="9">
        <f t="shared" si="27"/>
        <v>28952566792.354431</v>
      </c>
      <c r="V12" s="9">
        <f t="shared" si="27"/>
        <v>30456637764.761845</v>
      </c>
      <c r="W12" s="9">
        <f t="shared" si="27"/>
        <v>32039091580.453735</v>
      </c>
      <c r="X12" s="9">
        <f t="shared" si="27"/>
        <v>33703404572.72456</v>
      </c>
      <c r="Y12" s="9">
        <f t="shared" si="27"/>
        <v>35453195296.168106</v>
      </c>
      <c r="Z12" s="9">
        <f t="shared" si="27"/>
        <v>37292230069.07534</v>
      </c>
      <c r="AA12" s="9">
        <f t="shared" si="27"/>
        <v>39224428724.911133</v>
      </c>
      <c r="AB12" s="9">
        <f t="shared" si="27"/>
        <v>41253870580.575455</v>
      </c>
      <c r="AC12" s="9">
        <f t="shared" si="27"/>
        <v>43384800629.433762</v>
      </c>
      <c r="AD12" s="9">
        <f t="shared" si="27"/>
        <v>45621635967.390259</v>
      </c>
      <c r="AE12" s="9">
        <f t="shared" si="27"/>
        <v>47968972460.577209</v>
      </c>
      <c r="AF12" s="9">
        <f t="shared" si="27"/>
        <v>50431591663.543282</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1303944134.2110474</v>
      </c>
      <c r="D18" s="9">
        <f>Investment!D25</f>
        <v>1364101877.6843414</v>
      </c>
      <c r="E18" s="9">
        <f>Investment!E25</f>
        <v>1426774477.9464939</v>
      </c>
      <c r="F18" s="9">
        <f>Investment!F25</f>
        <v>1492061284.3026757</v>
      </c>
      <c r="G18" s="9">
        <f>Investment!G25</f>
        <v>1548973987.9545274</v>
      </c>
      <c r="H18" s="9">
        <f>Investment!H25</f>
        <v>1607887712.9451807</v>
      </c>
      <c r="I18" s="9">
        <f>Investment!I25</f>
        <v>1668870019.2050247</v>
      </c>
      <c r="J18" s="9">
        <f>Investment!J25</f>
        <v>1731990697.7727084</v>
      </c>
      <c r="K18" s="9">
        <f>Investment!K25</f>
        <v>1797321843.5478468</v>
      </c>
      <c r="L18" s="9">
        <f>Investment!L25</f>
        <v>1872067905.0578952</v>
      </c>
      <c r="M18" s="9">
        <f>Investment!M25</f>
        <v>1949668341.0422082</v>
      </c>
      <c r="N18" s="9">
        <f>Investment!N25</f>
        <v>2030226904.9975424</v>
      </c>
      <c r="O18" s="9">
        <f>Investment!O25</f>
        <v>2113851003.7112541</v>
      </c>
      <c r="P18" s="9">
        <f>Investment!P25</f>
        <v>2200651823.1091156</v>
      </c>
      <c r="Q18" s="9">
        <f>Investment!Q25</f>
        <v>2292488653.6047287</v>
      </c>
      <c r="R18" s="9">
        <f>Investment!R25</f>
        <v>2387872219.2937698</v>
      </c>
      <c r="S18" s="9">
        <f>Investment!S25</f>
        <v>2486933274.3748865</v>
      </c>
      <c r="T18" s="9">
        <f>Investment!T25</f>
        <v>2589807247.1202803</v>
      </c>
      <c r="U18" s="9">
        <f>Investment!U25</f>
        <v>2696634403.3544483</v>
      </c>
      <c r="V18" s="9">
        <f>Investment!V25</f>
        <v>2812241212.1759748</v>
      </c>
      <c r="W18" s="9">
        <f>Investment!W25</f>
        <v>2932485503.1330442</v>
      </c>
      <c r="X18" s="9">
        <f>Investment!X25</f>
        <v>3057545693.7100983</v>
      </c>
      <c r="Y18" s="9">
        <f>Investment!Y25</f>
        <v>3187606871.3288746</v>
      </c>
      <c r="Z18" s="9">
        <f>Investment!Z25</f>
        <v>3322861037.5248938</v>
      </c>
      <c r="AA18" s="9">
        <f>Investment!AA25</f>
        <v>3463507360.9212184</v>
      </c>
      <c r="AB18" s="9">
        <f>Investment!AB25</f>
        <v>3609752439.3124809</v>
      </c>
      <c r="AC18" s="9">
        <f>Investment!AC25</f>
        <v>3761810571.1832008</v>
      </c>
      <c r="AD18" s="9">
        <f>Investment!AD25</f>
        <v>3919904036.9957924</v>
      </c>
      <c r="AE18" s="9">
        <f>Investment!AE25</f>
        <v>4084263390.5954967</v>
      </c>
      <c r="AF18" s="9">
        <f>Investment!AF25</f>
        <v>4255127761.0916977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12910562585.320765</v>
      </c>
      <c r="D19" s="9">
        <f>D18+C20</f>
        <v>13767729602.176937</v>
      </c>
      <c r="E19" s="9">
        <f>E18+D20</f>
        <v>14652915772.570221</v>
      </c>
      <c r="F19" s="9">
        <f t="shared" ref="F19:AF19" si="28">F18+E20</f>
        <v>15567036583.301729</v>
      </c>
      <c r="G19" s="9">
        <f t="shared" si="28"/>
        <v>16499945979.468918</v>
      </c>
      <c r="H19" s="9">
        <f t="shared" si="28"/>
        <v>17452039948.095287</v>
      </c>
      <c r="I19" s="9">
        <f t="shared" si="28"/>
        <v>18423723121.650009</v>
      </c>
      <c r="J19" s="9">
        <f t="shared" si="28"/>
        <v>19415408975.72543</v>
      </c>
      <c r="K19" s="9">
        <f t="shared" si="28"/>
        <v>20427520031.491062</v>
      </c>
      <c r="L19" s="9">
        <f t="shared" si="28"/>
        <v>21467618037.705975</v>
      </c>
      <c r="M19" s="9">
        <f t="shared" si="28"/>
        <v>22536480464.591034</v>
      </c>
      <c r="N19" s="9">
        <f t="shared" si="28"/>
        <v>23634906491.282887</v>
      </c>
      <c r="O19" s="9">
        <f t="shared" si="28"/>
        <v>24763717615.432964</v>
      </c>
      <c r="P19" s="9">
        <f t="shared" si="28"/>
        <v>25923758280.029907</v>
      </c>
      <c r="Q19" s="9">
        <f t="shared" si="28"/>
        <v>27117640713.169746</v>
      </c>
      <c r="R19" s="9">
        <f t="shared" si="28"/>
        <v>28346354752.070877</v>
      </c>
      <c r="S19" s="9">
        <f t="shared" si="28"/>
        <v>29610919265.837627</v>
      </c>
      <c r="T19" s="9">
        <f t="shared" si="28"/>
        <v>30912383009.453823</v>
      </c>
      <c r="U19" s="9">
        <f t="shared" si="28"/>
        <v>32251825502.974274</v>
      </c>
      <c r="V19" s="9">
        <f t="shared" si="28"/>
        <v>33635039133.276962</v>
      </c>
      <c r="W19" s="9">
        <f t="shared" si="28"/>
        <v>35063453664.002594</v>
      </c>
      <c r="X19" s="9">
        <f t="shared" si="28"/>
        <v>36538545542.020798</v>
      </c>
      <c r="Y19" s="9">
        <f t="shared" si="28"/>
        <v>38061839421.078842</v>
      </c>
      <c r="Z19" s="9">
        <f t="shared" si="28"/>
        <v>39634909735.160187</v>
      </c>
      <c r="AA19" s="9">
        <f t="shared" si="28"/>
        <v>41259382323.174171</v>
      </c>
      <c r="AB19" s="9">
        <f t="shared" si="28"/>
        <v>42936936106.650864</v>
      </c>
      <c r="AC19" s="9">
        <f t="shared" si="28"/>
        <v>44669304822.169739</v>
      </c>
      <c r="AD19" s="9">
        <f t="shared" si="28"/>
        <v>46458278810.30722</v>
      </c>
      <c r="AE19" s="9">
        <f t="shared" si="28"/>
        <v>48305706862.94622</v>
      </c>
      <c r="AF19" s="9">
        <f t="shared" si="28"/>
        <v>50213498130.850975</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12403627724.492596</v>
      </c>
      <c r="D20" s="9">
        <f>D19-D8-D9</f>
        <v>13226141294.623728</v>
      </c>
      <c r="E20" s="9">
        <f t="shared" ref="E20:AF20" si="29">E19-E8-E9</f>
        <v>14074975298.999054</v>
      </c>
      <c r="F20" s="9">
        <f t="shared" si="29"/>
        <v>14950971991.514391</v>
      </c>
      <c r="G20" s="9">
        <f t="shared" si="29"/>
        <v>15844152235.150108</v>
      </c>
      <c r="H20" s="9">
        <f t="shared" si="29"/>
        <v>16754853102.444983</v>
      </c>
      <c r="I20" s="9">
        <f t="shared" si="29"/>
        <v>17683418277.952721</v>
      </c>
      <c r="J20" s="9">
        <f t="shared" si="29"/>
        <v>18630198187.943214</v>
      </c>
      <c r="K20" s="9">
        <f t="shared" si="29"/>
        <v>19595550132.648079</v>
      </c>
      <c r="L20" s="9">
        <f t="shared" si="29"/>
        <v>20586812123.548824</v>
      </c>
      <c r="M20" s="9">
        <f t="shared" si="29"/>
        <v>21604679586.285343</v>
      </c>
      <c r="N20" s="9">
        <f t="shared" si="29"/>
        <v>22649866611.72171</v>
      </c>
      <c r="O20" s="9">
        <f t="shared" si="29"/>
        <v>23723106456.920792</v>
      </c>
      <c r="P20" s="9">
        <f t="shared" si="29"/>
        <v>24825152059.565018</v>
      </c>
      <c r="Q20" s="9">
        <f t="shared" si="29"/>
        <v>25958482532.777107</v>
      </c>
      <c r="R20" s="9">
        <f t="shared" si="29"/>
        <v>27123985991.462742</v>
      </c>
      <c r="S20" s="9">
        <f t="shared" si="29"/>
        <v>28322575762.333542</v>
      </c>
      <c r="T20" s="9">
        <f t="shared" si="29"/>
        <v>29555191099.619823</v>
      </c>
      <c r="U20" s="9">
        <f t="shared" si="29"/>
        <v>30822797921.100986</v>
      </c>
      <c r="V20" s="9">
        <f t="shared" si="29"/>
        <v>32130968160.869549</v>
      </c>
      <c r="W20" s="9">
        <f t="shared" si="29"/>
        <v>33480999848.310703</v>
      </c>
      <c r="X20" s="9">
        <f t="shared" si="29"/>
        <v>34874232549.749969</v>
      </c>
      <c r="Y20" s="9">
        <f t="shared" si="29"/>
        <v>36312048697.635292</v>
      </c>
      <c r="Z20" s="9">
        <f t="shared" si="29"/>
        <v>37795874962.252953</v>
      </c>
      <c r="AA20" s="9">
        <f t="shared" si="29"/>
        <v>39327183667.338379</v>
      </c>
      <c r="AB20" s="9">
        <f t="shared" si="29"/>
        <v>40907494250.986542</v>
      </c>
      <c r="AC20" s="9">
        <f t="shared" si="29"/>
        <v>42538374773.311432</v>
      </c>
      <c r="AD20" s="9">
        <f t="shared" si="29"/>
        <v>44221443472.350723</v>
      </c>
      <c r="AE20" s="9">
        <f t="shared" si="29"/>
        <v>45958370369.759277</v>
      </c>
      <c r="AF20" s="9">
        <f t="shared" si="29"/>
        <v>47750878927.884903</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2819907000</v>
      </c>
      <c r="D22" s="9">
        <f ca="1">'Balance Sheet'!C11</f>
        <v>3455122427.2202826</v>
      </c>
      <c r="E22" s="9">
        <f ca="1">'Balance Sheet'!D11</f>
        <v>3953236669.9921532</v>
      </c>
      <c r="F22" s="9">
        <f ca="1">'Balance Sheet'!E11</f>
        <v>4327257258.5645714</v>
      </c>
      <c r="G22" s="9">
        <f ca="1">'Balance Sheet'!F11</f>
        <v>4653439488.7725811</v>
      </c>
      <c r="H22" s="9">
        <f ca="1">'Balance Sheet'!G11</f>
        <v>4917877253.5979881</v>
      </c>
      <c r="I22" s="9">
        <f ca="1">'Balance Sheet'!H11</f>
        <v>5146280795.5191946</v>
      </c>
      <c r="J22" s="9">
        <f ca="1">'Balance Sheet'!I11</f>
        <v>5351599699.1889238</v>
      </c>
      <c r="K22" s="9">
        <f ca="1">'Balance Sheet'!J11</f>
        <v>5550913333.4453726</v>
      </c>
      <c r="L22" s="9">
        <f ca="1">'Balance Sheet'!K11</f>
        <v>5740718047.0334644</v>
      </c>
      <c r="M22" s="9">
        <f ca="1">'Balance Sheet'!L11</f>
        <v>5929739060.0561066</v>
      </c>
      <c r="N22" s="9">
        <f ca="1">'Balance Sheet'!M11</f>
        <v>6137351914.5603104</v>
      </c>
      <c r="O22" s="9">
        <f ca="1">'Balance Sheet'!N11</f>
        <v>6363687892.720808</v>
      </c>
      <c r="P22" s="9">
        <f ca="1">'Balance Sheet'!O11</f>
        <v>6608814575.9916849</v>
      </c>
      <c r="Q22" s="9">
        <f ca="1">'Balance Sheet'!P11</f>
        <v>6872729034.0533562</v>
      </c>
      <c r="R22" s="9">
        <f ca="1">'Balance Sheet'!Q11</f>
        <v>7158659156.0770187</v>
      </c>
      <c r="S22" s="9">
        <f ca="1">'Balance Sheet'!R11</f>
        <v>7466914015.5212975</v>
      </c>
      <c r="T22" s="9">
        <f ca="1">'Balance Sheet'!S11</f>
        <v>7797743777.7993069</v>
      </c>
      <c r="U22" s="9">
        <f ca="1">'Balance Sheet'!T11</f>
        <v>8151332747.8955841</v>
      </c>
      <c r="V22" s="9">
        <f ca="1">'Balance Sheet'!U11</f>
        <v>8527791895.6051607</v>
      </c>
      <c r="W22" s="9">
        <f ca="1">'Balance Sheet'!V11</f>
        <v>8936594756.5748653</v>
      </c>
      <c r="X22" s="9">
        <f ca="1">'Balance Sheet'!W11</f>
        <v>9379032337.7405167</v>
      </c>
      <c r="Y22" s="9">
        <f ca="1">'Balance Sheet'!X11</f>
        <v>9856402232.3687572</v>
      </c>
      <c r="Z22" s="9">
        <f ca="1">'Balance Sheet'!Y11</f>
        <v>10370005172.647087</v>
      </c>
      <c r="AA22" s="9">
        <f ca="1">'Balance Sheet'!Z11</f>
        <v>10921141223.562798</v>
      </c>
      <c r="AB22" s="9">
        <f ca="1">'Balance Sheet'!AA11</f>
        <v>11511105592.241447</v>
      </c>
      <c r="AC22" s="9">
        <f ca="1">'Balance Sheet'!AB11</f>
        <v>12141184025.326733</v>
      </c>
      <c r="AD22" s="9">
        <f ca="1">'Balance Sheet'!AC11</f>
        <v>12812647765.305357</v>
      </c>
      <c r="AE22" s="9">
        <f ca="1">'Balance Sheet'!AD11</f>
        <v>13526748034.908348</v>
      </c>
      <c r="AF22" s="9">
        <f ca="1">'Balance Sheet'!AE11</f>
        <v>14284710016.848961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9583720724.4925957</v>
      </c>
      <c r="D23" s="9">
        <f t="shared" ref="D23:AF23" ca="1" si="30">D20-D22</f>
        <v>9771018867.4034462</v>
      </c>
      <c r="E23" s="9">
        <f t="shared" ca="1" si="30"/>
        <v>10121738629.006901</v>
      </c>
      <c r="F23" s="9">
        <f t="shared" ca="1" si="30"/>
        <v>10623714732.94982</v>
      </c>
      <c r="G23" s="9">
        <f t="shared" ca="1" si="30"/>
        <v>11190712746.377527</v>
      </c>
      <c r="H23" s="9">
        <f t="shared" ca="1" si="30"/>
        <v>11836975848.846994</v>
      </c>
      <c r="I23" s="9">
        <f t="shared" ca="1" si="30"/>
        <v>12537137482.433525</v>
      </c>
      <c r="J23" s="9">
        <f ca="1">J20-J22</f>
        <v>13278598488.754292</v>
      </c>
      <c r="K23" s="9">
        <f t="shared" ca="1" si="30"/>
        <v>14044636799.202705</v>
      </c>
      <c r="L23" s="9">
        <f t="shared" ca="1" si="30"/>
        <v>14846094076.51536</v>
      </c>
      <c r="M23" s="9">
        <f t="shared" ca="1" si="30"/>
        <v>15674940526.229237</v>
      </c>
      <c r="N23" s="9">
        <f t="shared" ca="1" si="30"/>
        <v>16512514697.1614</v>
      </c>
      <c r="O23" s="9">
        <f t="shared" ca="1" si="30"/>
        <v>17359418564.199982</v>
      </c>
      <c r="P23" s="9">
        <f t="shared" ca="1" si="30"/>
        <v>18216337483.573334</v>
      </c>
      <c r="Q23" s="9">
        <f t="shared" ca="1" si="30"/>
        <v>19085753498.723751</v>
      </c>
      <c r="R23" s="9">
        <f t="shared" ca="1" si="30"/>
        <v>19965326835.385723</v>
      </c>
      <c r="S23" s="9">
        <f t="shared" ca="1" si="30"/>
        <v>20855661746.812244</v>
      </c>
      <c r="T23" s="9">
        <f t="shared" ca="1" si="30"/>
        <v>21757447321.820518</v>
      </c>
      <c r="U23" s="9">
        <f t="shared" ca="1" si="30"/>
        <v>22671465173.205402</v>
      </c>
      <c r="V23" s="9">
        <f t="shared" ca="1" si="30"/>
        <v>23603176265.264389</v>
      </c>
      <c r="W23" s="9">
        <f t="shared" ca="1" si="30"/>
        <v>24544405091.73584</v>
      </c>
      <c r="X23" s="9">
        <f t="shared" ca="1" si="30"/>
        <v>25495200212.009453</v>
      </c>
      <c r="Y23" s="9">
        <f t="shared" ca="1" si="30"/>
        <v>26455646465.266533</v>
      </c>
      <c r="Z23" s="9">
        <f t="shared" ca="1" si="30"/>
        <v>27425869789.605865</v>
      </c>
      <c r="AA23" s="9">
        <f t="shared" ca="1" si="30"/>
        <v>28406042443.775581</v>
      </c>
      <c r="AB23" s="9">
        <f t="shared" ca="1" si="30"/>
        <v>29396388658.745094</v>
      </c>
      <c r="AC23" s="9">
        <f t="shared" ca="1" si="30"/>
        <v>30397190747.984699</v>
      </c>
      <c r="AD23" s="9">
        <f t="shared" ca="1" si="30"/>
        <v>31408795707.045364</v>
      </c>
      <c r="AE23" s="9">
        <f t="shared" ca="1" si="30"/>
        <v>32431622334.850929</v>
      </c>
      <c r="AF23" s="9">
        <f t="shared" ca="1" si="30"/>
        <v>33466168911.035942</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163</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2819907000</v>
      </c>
      <c r="D5" s="1">
        <f ca="1">C5+C6</f>
        <v>3455122427.2202826</v>
      </c>
      <c r="E5" s="1">
        <f t="shared" ref="E5:AF5" ca="1" si="1">D5+D6</f>
        <v>3953236669.9921532</v>
      </c>
      <c r="F5" s="1">
        <f t="shared" ca="1" si="1"/>
        <v>4327257258.5645714</v>
      </c>
      <c r="G5" s="1">
        <f t="shared" ca="1" si="1"/>
        <v>4653439488.7725811</v>
      </c>
      <c r="H5" s="1">
        <f t="shared" ca="1" si="1"/>
        <v>4917877253.5979881</v>
      </c>
      <c r="I5" s="1">
        <f t="shared" ca="1" si="1"/>
        <v>5146280795.5191946</v>
      </c>
      <c r="J5" s="1">
        <f t="shared" ca="1" si="1"/>
        <v>5351599699.1889238</v>
      </c>
      <c r="K5" s="1">
        <f t="shared" ca="1" si="1"/>
        <v>5550913333.4453726</v>
      </c>
      <c r="L5" s="1">
        <f t="shared" ca="1" si="1"/>
        <v>5740718047.0334644</v>
      </c>
      <c r="M5" s="1">
        <f t="shared" ca="1" si="1"/>
        <v>5929739060.0561066</v>
      </c>
      <c r="N5" s="1">
        <f t="shared" ca="1" si="1"/>
        <v>6137351914.5603104</v>
      </c>
      <c r="O5" s="1">
        <f t="shared" ca="1" si="1"/>
        <v>6363687892.720808</v>
      </c>
      <c r="P5" s="1">
        <f t="shared" ca="1" si="1"/>
        <v>6608814575.9916849</v>
      </c>
      <c r="Q5" s="1">
        <f t="shared" ca="1" si="1"/>
        <v>6872729034.0533562</v>
      </c>
      <c r="R5" s="1">
        <f t="shared" ca="1" si="1"/>
        <v>7158659156.0770187</v>
      </c>
      <c r="S5" s="1">
        <f t="shared" ca="1" si="1"/>
        <v>7466914015.5212975</v>
      </c>
      <c r="T5" s="1">
        <f t="shared" ca="1" si="1"/>
        <v>7797743777.7993069</v>
      </c>
      <c r="U5" s="1">
        <f t="shared" ca="1" si="1"/>
        <v>8151332747.8955841</v>
      </c>
      <c r="V5" s="1">
        <f t="shared" ca="1" si="1"/>
        <v>8527791895.6051607</v>
      </c>
      <c r="W5" s="1">
        <f t="shared" ca="1" si="1"/>
        <v>8936594756.5748653</v>
      </c>
      <c r="X5" s="1">
        <f t="shared" ca="1" si="1"/>
        <v>9379032337.7405167</v>
      </c>
      <c r="Y5" s="1">
        <f t="shared" ca="1" si="1"/>
        <v>9856402232.3687572</v>
      </c>
      <c r="Z5" s="1">
        <f t="shared" ca="1" si="1"/>
        <v>10370005172.647087</v>
      </c>
      <c r="AA5" s="1">
        <f t="shared" ca="1" si="1"/>
        <v>10921141223.562798</v>
      </c>
      <c r="AB5" s="1">
        <f t="shared" ca="1" si="1"/>
        <v>11511105592.241447</v>
      </c>
      <c r="AC5" s="1">
        <f t="shared" ca="1" si="1"/>
        <v>12141184025.326733</v>
      </c>
      <c r="AD5" s="1">
        <f t="shared" ca="1" si="1"/>
        <v>12812647765.305357</v>
      </c>
      <c r="AE5" s="1">
        <f t="shared" ca="1" si="1"/>
        <v>13526748034.908348</v>
      </c>
      <c r="AF5" s="1">
        <f t="shared" ca="1" si="1"/>
        <v>14284710016.848961</v>
      </c>
      <c r="AG5" s="1"/>
      <c r="AH5" s="1"/>
      <c r="AI5" s="1"/>
      <c r="AJ5" s="1"/>
      <c r="AK5" s="1"/>
      <c r="AL5" s="1"/>
      <c r="AM5" s="1"/>
      <c r="AN5" s="1"/>
      <c r="AO5" s="1"/>
      <c r="AP5" s="1"/>
    </row>
    <row r="6" spans="1:42" x14ac:dyDescent="0.35">
      <c r="A6" s="63" t="s">
        <v>3</v>
      </c>
      <c r="C6" s="1">
        <f ca="1">-'Cash Flow'!C13</f>
        <v>635215427.22028267</v>
      </c>
      <c r="D6" s="1">
        <f ca="1">-'Cash Flow'!D13</f>
        <v>498114242.77187037</v>
      </c>
      <c r="E6" s="1">
        <f ca="1">-'Cash Flow'!E13</f>
        <v>374020588.57241809</v>
      </c>
      <c r="F6" s="1">
        <f ca="1">-'Cash Flow'!F13</f>
        <v>326182230.20800972</v>
      </c>
      <c r="G6" s="1">
        <f ca="1">-'Cash Flow'!G13</f>
        <v>264437764.82540751</v>
      </c>
      <c r="H6" s="1">
        <f ca="1">-'Cash Flow'!H13</f>
        <v>228403541.92120624</v>
      </c>
      <c r="I6" s="1">
        <f ca="1">-'Cash Flow'!I13</f>
        <v>205318903.66972923</v>
      </c>
      <c r="J6" s="1">
        <f ca="1">-'Cash Flow'!J13</f>
        <v>199313634.25644875</v>
      </c>
      <c r="K6" s="1">
        <f ca="1">-'Cash Flow'!K13</f>
        <v>189804713.58809137</v>
      </c>
      <c r="L6" s="1">
        <f ca="1">-'Cash Flow'!L13</f>
        <v>189021013.02264237</v>
      </c>
      <c r="M6" s="1">
        <f ca="1">-'Cash Flow'!M13</f>
        <v>207612854.50420403</v>
      </c>
      <c r="N6" s="1">
        <f ca="1">-'Cash Flow'!N13</f>
        <v>226335978.16049767</v>
      </c>
      <c r="O6" s="1">
        <f ca="1">-'Cash Flow'!O13</f>
        <v>245126683.27087712</v>
      </c>
      <c r="P6" s="1">
        <f ca="1">-'Cash Flow'!P13</f>
        <v>263914458.06167173</v>
      </c>
      <c r="Q6" s="1">
        <f ca="1">-'Cash Flow'!Q13</f>
        <v>285930122.02366304</v>
      </c>
      <c r="R6" s="1">
        <f ca="1">-'Cash Flow'!R13</f>
        <v>308254859.44427824</v>
      </c>
      <c r="S6" s="1">
        <f ca="1">-'Cash Flow'!S13</f>
        <v>330829762.27800941</v>
      </c>
      <c r="T6" s="1">
        <f ca="1">-'Cash Flow'!T13</f>
        <v>353588970.09627771</v>
      </c>
      <c r="U6" s="1">
        <f ca="1">-'Cash Flow'!U13</f>
        <v>376459147.70957661</v>
      </c>
      <c r="V6" s="1">
        <f ca="1">-'Cash Flow'!V13</f>
        <v>408802860.96970463</v>
      </c>
      <c r="W6" s="1">
        <f ca="1">-'Cash Flow'!W13</f>
        <v>442437581.16565037</v>
      </c>
      <c r="X6" s="1">
        <f ca="1">-'Cash Flow'!X13</f>
        <v>477369894.62824106</v>
      </c>
      <c r="Y6" s="1">
        <f ca="1">-'Cash Flow'!Y13</f>
        <v>513602940.2783308</v>
      </c>
      <c r="Z6" s="1">
        <f ca="1">-'Cash Flow'!Z13</f>
        <v>551136050.9157095</v>
      </c>
      <c r="AA6" s="1">
        <f ca="1">-'Cash Flow'!AA13</f>
        <v>589964368.67865038</v>
      </c>
      <c r="AB6" s="1">
        <f ca="1">-'Cash Flow'!AB13</f>
        <v>630078433.08528614</v>
      </c>
      <c r="AC6" s="1">
        <f ca="1">-'Cash Flow'!AC13</f>
        <v>671463739.97862434</v>
      </c>
      <c r="AD6" s="1">
        <f ca="1">-'Cash Flow'!AD13</f>
        <v>714100269.6029911</v>
      </c>
      <c r="AE6" s="1">
        <f ca="1">-'Cash Flow'!AE13</f>
        <v>757961981.94061279</v>
      </c>
      <c r="AF6" s="1">
        <f ca="1">-'Cash Flow'!AF13</f>
        <v>803016277.33283138</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120929284.9527099</v>
      </c>
      <c r="D8" s="1">
        <f ca="1">IF(SUM(D5:D6)&gt;0,Assumptions!$C$26*SUM(D5:D6),Assumptions!$C$27*(SUM(D5:D6)))</f>
        <v>138363283.44972536</v>
      </c>
      <c r="E8" s="1">
        <f ca="1">IF(SUM(E5:E6)&gt;0,Assumptions!$C$26*SUM(E5:E6),Assumptions!$C$27*(SUM(E5:E6)))</f>
        <v>151454004.04976001</v>
      </c>
      <c r="F8" s="1">
        <f ca="1">IF(SUM(F5:F6)&gt;0,Assumptions!$C$26*SUM(F5:F6),Assumptions!$C$27*(SUM(F5:F6)))</f>
        <v>162870382.10704035</v>
      </c>
      <c r="G8" s="1">
        <f ca="1">IF(SUM(G5:G6)&gt;0,Assumptions!$C$26*SUM(G5:G6),Assumptions!$C$27*(SUM(G5:G6)))</f>
        <v>172125703.87592959</v>
      </c>
      <c r="H8" s="1">
        <f ca="1">IF(SUM(H5:H6)&gt;0,Assumptions!$C$26*SUM(H5:H6),Assumptions!$C$27*(SUM(H5:H6)))</f>
        <v>180119827.84317183</v>
      </c>
      <c r="I8" s="1">
        <f ca="1">IF(SUM(I5:I6)&gt;0,Assumptions!$C$26*SUM(I5:I6),Assumptions!$C$27*(SUM(I5:I6)))</f>
        <v>187305989.47161236</v>
      </c>
      <c r="J8" s="1">
        <f ca="1">IF(SUM(J5:J6)&gt;0,Assumptions!$C$26*SUM(J5:J6),Assumptions!$C$27*(SUM(J5:J6)))</f>
        <v>194281966.67058805</v>
      </c>
      <c r="K8" s="1">
        <f ca="1">IF(SUM(K5:K6)&gt;0,Assumptions!$C$26*SUM(K5:K6),Assumptions!$C$27*(SUM(K5:K6)))</f>
        <v>200925131.64617127</v>
      </c>
      <c r="L8" s="1">
        <f ca="1">IF(SUM(L5:L6)&gt;0,Assumptions!$C$26*SUM(L5:L6),Assumptions!$C$27*(SUM(L5:L6)))</f>
        <v>207540867.10196376</v>
      </c>
      <c r="M8" s="1">
        <f ca="1">IF(SUM(M5:M6)&gt;0,Assumptions!$C$26*SUM(M5:M6),Assumptions!$C$27*(SUM(M5:M6)))</f>
        <v>214807317.00961089</v>
      </c>
      <c r="N8" s="1">
        <f ca="1">IF(SUM(N5:N6)&gt;0,Assumptions!$C$26*SUM(N5:N6),Assumptions!$C$27*(SUM(N5:N6)))</f>
        <v>222729076.24522829</v>
      </c>
      <c r="O8" s="1">
        <f ca="1">IF(SUM(O5:O6)&gt;0,Assumptions!$C$26*SUM(O5:O6),Assumptions!$C$27*(SUM(O5:O6)))</f>
        <v>231308510.15970901</v>
      </c>
      <c r="P8" s="1">
        <f ca="1">IF(SUM(P5:P6)&gt;0,Assumptions!$C$26*SUM(P5:P6),Assumptions!$C$27*(SUM(P5:P6)))</f>
        <v>240545516.1918675</v>
      </c>
      <c r="Q8" s="1">
        <f ca="1">IF(SUM(Q5:Q6)&gt;0,Assumptions!$C$26*SUM(Q5:Q6),Assumptions!$C$27*(SUM(Q5:Q6)))</f>
        <v>250553070.46269569</v>
      </c>
      <c r="R8" s="1">
        <f ca="1">IF(SUM(R5:R6)&gt;0,Assumptions!$C$26*SUM(R5:R6),Assumptions!$C$27*(SUM(R5:R6)))</f>
        <v>261341990.54324543</v>
      </c>
      <c r="S8" s="1">
        <f ca="1">IF(SUM(S5:S6)&gt;0,Assumptions!$C$26*SUM(S5:S6),Assumptions!$C$27*(SUM(S5:S6)))</f>
        <v>272921032.22297579</v>
      </c>
      <c r="T8" s="1">
        <f ca="1">IF(SUM(T5:T6)&gt;0,Assumptions!$C$26*SUM(T5:T6),Assumptions!$C$27*(SUM(T5:T6)))</f>
        <v>285296646.17634547</v>
      </c>
      <c r="U8" s="1">
        <f ca="1">IF(SUM(U5:U6)&gt;0,Assumptions!$C$26*SUM(U5:U6),Assumptions!$C$27*(SUM(U5:U6)))</f>
        <v>298472716.34618068</v>
      </c>
      <c r="V8" s="1">
        <f ca="1">IF(SUM(V5:V6)&gt;0,Assumptions!$C$26*SUM(V5:V6),Assumptions!$C$27*(SUM(V5:V6)))</f>
        <v>312780816.4801203</v>
      </c>
      <c r="W8" s="1">
        <f ca="1">IF(SUM(W5:W6)&gt;0,Assumptions!$C$26*SUM(W5:W6),Assumptions!$C$27*(SUM(W5:W6)))</f>
        <v>328266131.82091814</v>
      </c>
      <c r="X8" s="1">
        <f ca="1">IF(SUM(X5:X6)&gt;0,Assumptions!$C$26*SUM(X5:X6),Assumptions!$C$27*(SUM(X5:X6)))</f>
        <v>344974078.13290656</v>
      </c>
      <c r="Y8" s="1">
        <f ca="1">IF(SUM(Y5:Y6)&gt;0,Assumptions!$C$26*SUM(Y5:Y6),Assumptions!$C$27*(SUM(Y5:Y6)))</f>
        <v>362950181.04264808</v>
      </c>
      <c r="Z8" s="1">
        <f ca="1">IF(SUM(Z5:Z6)&gt;0,Assumptions!$C$26*SUM(Z5:Z6),Assumptions!$C$27*(SUM(Z5:Z6)))</f>
        <v>382239942.82469797</v>
      </c>
      <c r="AA8" s="1">
        <f ca="1">IF(SUM(AA5:AA6)&gt;0,Assumptions!$C$26*SUM(AA5:AA6),Assumptions!$C$27*(SUM(AA5:AA6)))</f>
        <v>402888695.72845072</v>
      </c>
      <c r="AB8" s="1">
        <f ca="1">IF(SUM(AB5:AB6)&gt;0,Assumptions!$C$26*SUM(AB5:AB6),Assumptions!$C$27*(SUM(AB5:AB6)))</f>
        <v>424941440.88643569</v>
      </c>
      <c r="AC8" s="1">
        <f ca="1">IF(SUM(AC5:AC6)&gt;0,Assumptions!$C$26*SUM(AC5:AC6),Assumptions!$C$27*(SUM(AC5:AC6)))</f>
        <v>448442671.78568757</v>
      </c>
      <c r="AD8" s="1">
        <f ca="1">IF(SUM(AD5:AD6)&gt;0,Assumptions!$C$26*SUM(AD5:AD6),Assumptions!$C$27*(SUM(AD5:AD6)))</f>
        <v>473436181.22179222</v>
      </c>
      <c r="AE8" s="1">
        <f ca="1">IF(SUM(AE5:AE6)&gt;0,Assumptions!$C$26*SUM(AE5:AE6),Assumptions!$C$27*(SUM(AE5:AE6)))</f>
        <v>499964850.58971369</v>
      </c>
      <c r="AF8" s="1">
        <f ca="1">IF(SUM(AF5:AF6)&gt;0,Assumptions!$C$26*SUM(AF5:AF6),Assumptions!$C$27*(SUM(AF5:AF6)))</f>
        <v>528070420.29636282</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4" zoomScale="80" zoomScaleNormal="80" workbookViewId="0">
      <selection sqref="A1:XFD1048576"/>
    </sheetView>
  </sheetViews>
  <sheetFormatPr defaultRowHeight="15.5" x14ac:dyDescent="0.35"/>
  <cols>
    <col min="1" max="1" width="107.9140625" style="63" customWidth="1"/>
    <col min="2" max="2" width="18.1640625" style="63" bestFit="1" customWidth="1"/>
    <col min="3" max="3" width="64.75" style="63" customWidth="1"/>
    <col min="4" max="16384" width="8.6640625" style="63"/>
  </cols>
  <sheetData>
    <row r="1" spans="1:3" ht="26" x14ac:dyDescent="0.6">
      <c r="A1" s="13" t="s">
        <v>182</v>
      </c>
    </row>
    <row r="2" spans="1:3" ht="26" x14ac:dyDescent="0.6">
      <c r="A2" s="13"/>
    </row>
    <row r="3" spans="1:3" ht="186" x14ac:dyDescent="0.35">
      <c r="A3" s="173" t="s">
        <v>185</v>
      </c>
    </row>
    <row r="4" spans="1:3" ht="26" x14ac:dyDescent="0.6">
      <c r="A4" s="13"/>
    </row>
    <row r="5" spans="1:3" ht="18.5" x14ac:dyDescent="0.45">
      <c r="A5" s="89" t="s">
        <v>174</v>
      </c>
      <c r="B5" s="90"/>
    </row>
    <row r="6" spans="1:3" ht="18.5" x14ac:dyDescent="0.45">
      <c r="A6" s="90"/>
      <c r="B6" s="90"/>
    </row>
    <row r="7" spans="1:3" ht="51" x14ac:dyDescent="0.45">
      <c r="A7" s="90" t="s">
        <v>96</v>
      </c>
      <c r="B7" s="183">
        <f>Assumptions!C24</f>
        <v>915292686.88999999</v>
      </c>
      <c r="C7" s="179" t="str">
        <f>Assumptions!B24</f>
        <v>For Auckland Council (stormwater): RFI Table F10; Line F10.62.
For Watercare: RFI Table F10; Lines F10.62 + F10.70.</v>
      </c>
    </row>
    <row r="8" spans="1:3" ht="34" x14ac:dyDescent="0.45">
      <c r="A8" s="90" t="s">
        <v>171</v>
      </c>
      <c r="B8" s="184">
        <f>Assumptions!$C$133</f>
        <v>0.7</v>
      </c>
      <c r="C8" s="179" t="s">
        <v>195</v>
      </c>
    </row>
    <row r="9" spans="1:3" ht="18.5" x14ac:dyDescent="0.45">
      <c r="A9" s="90"/>
      <c r="B9" s="185"/>
      <c r="C9" s="179"/>
    </row>
    <row r="10" spans="1:3" ht="51" x14ac:dyDescent="0.45">
      <c r="A10" s="94" t="s">
        <v>102</v>
      </c>
      <c r="B10" s="186">
        <f>Assumptions!C135</f>
        <v>603333.33333333326</v>
      </c>
      <c r="C10" s="179" t="s">
        <v>196</v>
      </c>
    </row>
    <row r="11" spans="1:3" ht="18.5" x14ac:dyDescent="0.45">
      <c r="A11" s="94"/>
      <c r="B11" s="187"/>
      <c r="C11" s="179"/>
    </row>
    <row r="12" spans="1:3" ht="18.5" x14ac:dyDescent="0.45">
      <c r="A12" s="94" t="s">
        <v>181</v>
      </c>
      <c r="B12" s="183">
        <f>(B7*B8)/B10</f>
        <v>1061.9417914193371</v>
      </c>
      <c r="C12" s="179"/>
    </row>
    <row r="13" spans="1:3" ht="18.5" x14ac:dyDescent="0.45">
      <c r="A13" s="96"/>
      <c r="B13" s="188"/>
      <c r="C13" s="179"/>
    </row>
    <row r="14" spans="1:3" ht="18.5" x14ac:dyDescent="0.45">
      <c r="A14" s="94" t="s">
        <v>103</v>
      </c>
      <c r="B14" s="182">
        <v>1</v>
      </c>
      <c r="C14" s="179"/>
    </row>
    <row r="15" spans="1:3" ht="18.5" x14ac:dyDescent="0.45">
      <c r="A15" s="96"/>
      <c r="B15" s="181"/>
      <c r="C15" s="179"/>
    </row>
    <row r="16" spans="1:3" ht="18.5" x14ac:dyDescent="0.45">
      <c r="A16" s="96" t="s">
        <v>176</v>
      </c>
      <c r="B16" s="189">
        <f>B12/B14</f>
        <v>1061.9417914193371</v>
      </c>
      <c r="C16" s="179"/>
    </row>
    <row r="17" spans="1:3" ht="18.5" x14ac:dyDescent="0.45">
      <c r="A17" s="94"/>
      <c r="B17" s="190"/>
      <c r="C17" s="179"/>
    </row>
    <row r="18" spans="1:3" ht="18.5" x14ac:dyDescent="0.45">
      <c r="A18" s="102" t="s">
        <v>175</v>
      </c>
      <c r="B18" s="190"/>
      <c r="C18" s="179"/>
    </row>
    <row r="19" spans="1:3" ht="18.5" x14ac:dyDescent="0.45">
      <c r="A19" s="94"/>
      <c r="B19" s="190"/>
      <c r="C19" s="179"/>
    </row>
    <row r="20" spans="1:3" ht="34" x14ac:dyDescent="0.45">
      <c r="A20" s="94" t="s">
        <v>65</v>
      </c>
      <c r="B20" s="183">
        <f>'Profit and Loss'!L5</f>
        <v>2578212572.7399416</v>
      </c>
      <c r="C20" s="179" t="s">
        <v>197</v>
      </c>
    </row>
    <row r="21" spans="1:3" ht="34" x14ac:dyDescent="0.45">
      <c r="A21" s="94" t="str">
        <f>A8</f>
        <v>Assumed revenue from households</v>
      </c>
      <c r="B21" s="184">
        <f>B8</f>
        <v>0.7</v>
      </c>
      <c r="C21" s="179" t="s">
        <v>195</v>
      </c>
    </row>
    <row r="22" spans="1:3" ht="18.5" x14ac:dyDescent="0.45">
      <c r="A22" s="94"/>
      <c r="B22" s="187"/>
      <c r="C22" s="179"/>
    </row>
    <row r="23" spans="1:3" ht="34" x14ac:dyDescent="0.45">
      <c r="A23" s="94" t="s">
        <v>101</v>
      </c>
      <c r="B23" s="186">
        <f>Assumptions!M135</f>
        <v>744241.47996512428</v>
      </c>
      <c r="C23" s="179" t="s">
        <v>198</v>
      </c>
    </row>
    <row r="24" spans="1:3" ht="18.5" x14ac:dyDescent="0.45">
      <c r="A24" s="94"/>
      <c r="B24" s="187"/>
      <c r="C24" s="179"/>
    </row>
    <row r="25" spans="1:3" ht="18.5" x14ac:dyDescent="0.45">
      <c r="A25" s="94" t="s">
        <v>180</v>
      </c>
      <c r="B25" s="183">
        <f>(B20*B21)/B23</f>
        <v>2424.950569810394</v>
      </c>
      <c r="C25" s="179"/>
    </row>
    <row r="26" spans="1:3" ht="18.5" x14ac:dyDescent="0.45">
      <c r="A26" s="94"/>
      <c r="B26" s="183"/>
      <c r="C26" s="179"/>
    </row>
    <row r="27" spans="1:3" ht="34" x14ac:dyDescent="0.45">
      <c r="A27" s="94" t="s">
        <v>103</v>
      </c>
      <c r="B27" s="182">
        <f>1.022^11</f>
        <v>1.2704566586717592</v>
      </c>
      <c r="C27" s="179" t="s">
        <v>199</v>
      </c>
    </row>
    <row r="28" spans="1:3" ht="18.5" x14ac:dyDescent="0.45">
      <c r="A28" s="96"/>
      <c r="B28" s="188"/>
      <c r="C28" s="179"/>
    </row>
    <row r="29" spans="1:3" ht="18.5" x14ac:dyDescent="0.45">
      <c r="A29" s="96" t="s">
        <v>177</v>
      </c>
      <c r="B29" s="183">
        <f>B25/B27</f>
        <v>1908.7235705825956</v>
      </c>
      <c r="C29" s="179"/>
    </row>
    <row r="30" spans="1:3" ht="18.5" x14ac:dyDescent="0.45">
      <c r="A30" s="96"/>
      <c r="B30" s="188"/>
      <c r="C30" s="179"/>
    </row>
    <row r="31" spans="1:3" ht="18.5" x14ac:dyDescent="0.45">
      <c r="A31" s="102" t="s">
        <v>183</v>
      </c>
      <c r="B31" s="191"/>
      <c r="C31" s="179"/>
    </row>
    <row r="32" spans="1:3" ht="18.5" x14ac:dyDescent="0.45">
      <c r="A32" s="94"/>
      <c r="B32" s="183"/>
      <c r="C32" s="179"/>
    </row>
    <row r="33" spans="1:3" ht="34" x14ac:dyDescent="0.45">
      <c r="A33" s="94" t="s">
        <v>66</v>
      </c>
      <c r="B33" s="183">
        <f>'Profit and Loss'!AF5</f>
        <v>6062471929.416584</v>
      </c>
      <c r="C33" s="179" t="s">
        <v>197</v>
      </c>
    </row>
    <row r="34" spans="1:3" ht="34" x14ac:dyDescent="0.45">
      <c r="A34" s="94" t="str">
        <f>A21</f>
        <v>Assumed revenue from households</v>
      </c>
      <c r="B34" s="184">
        <f>B21</f>
        <v>0.7</v>
      </c>
      <c r="C34" s="179" t="s">
        <v>195</v>
      </c>
    </row>
    <row r="35" spans="1:3" ht="18.5" x14ac:dyDescent="0.45">
      <c r="A35" s="94"/>
      <c r="B35" s="187"/>
      <c r="C35" s="179"/>
    </row>
    <row r="36" spans="1:3" ht="34" x14ac:dyDescent="0.45">
      <c r="A36" s="94" t="s">
        <v>100</v>
      </c>
      <c r="B36" s="186">
        <f>Assumptions!AG135</f>
        <v>1132470.6997854263</v>
      </c>
      <c r="C36" s="179" t="s">
        <v>198</v>
      </c>
    </row>
    <row r="37" spans="1:3" ht="18.5" x14ac:dyDescent="0.45">
      <c r="A37" s="94"/>
      <c r="B37" s="187"/>
      <c r="C37" s="179"/>
    </row>
    <row r="38" spans="1:3" ht="18.5" x14ac:dyDescent="0.45">
      <c r="A38" s="94" t="s">
        <v>179</v>
      </c>
      <c r="B38" s="183">
        <f>(B33*B34)/B36</f>
        <v>3747.3202188769078</v>
      </c>
      <c r="C38" s="179"/>
    </row>
    <row r="39" spans="1:3" ht="18.5" x14ac:dyDescent="0.45">
      <c r="A39" s="94"/>
      <c r="B39" s="187"/>
      <c r="C39" s="179"/>
    </row>
    <row r="40" spans="1:3" ht="34" x14ac:dyDescent="0.45">
      <c r="A40" s="94" t="s">
        <v>103</v>
      </c>
      <c r="B40" s="182">
        <f>1.022^31</f>
        <v>1.9632597808456462</v>
      </c>
      <c r="C40" s="179" t="s">
        <v>199</v>
      </c>
    </row>
    <row r="41" spans="1:3" ht="18.5" x14ac:dyDescent="0.45">
      <c r="A41" s="96"/>
      <c r="B41" s="188"/>
      <c r="C41" s="180"/>
    </row>
    <row r="42" spans="1:3" ht="18.5" x14ac:dyDescent="0.45">
      <c r="A42" s="96" t="s">
        <v>178</v>
      </c>
      <c r="B42" s="183">
        <f>B38/B40</f>
        <v>1908.7235705825965</v>
      </c>
      <c r="C42" s="18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5" activePane="bottomLeft" state="frozen"/>
      <selection sqref="A1:XFD1048576"/>
      <selection pane="bottomLeft" sqref="A1:XFD1048576"/>
    </sheetView>
  </sheetViews>
  <sheetFormatPr defaultColWidth="10.83203125" defaultRowHeight="15.5" x14ac:dyDescent="0.35"/>
  <cols>
    <col min="1" max="1" width="60.6640625" style="76" customWidth="1"/>
    <col min="2" max="2" width="82.83203125" style="76"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158</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192</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135</v>
      </c>
      <c r="C13" s="127">
        <v>2.1211402024470472E-2</v>
      </c>
      <c r="D13" s="128">
        <f t="shared" ref="D13:AG13" si="3">(1+$C$13)^D8</f>
        <v>1.0212114020244705</v>
      </c>
      <c r="E13" s="128">
        <f t="shared" si="3"/>
        <v>1.0428727276247847</v>
      </c>
      <c r="F13" s="128">
        <f t="shared" si="3"/>
        <v>1.0649935203107901</v>
      </c>
      <c r="G13" s="128">
        <f t="shared" si="3"/>
        <v>1.0875835260235582</v>
      </c>
      <c r="H13" s="128">
        <f t="shared" si="3"/>
        <v>1.110652697429235</v>
      </c>
      <c r="I13" s="128">
        <f t="shared" si="3"/>
        <v>1.1342111983039691</v>
      </c>
      <c r="J13" s="128">
        <f t="shared" si="3"/>
        <v>1.158269408011851</v>
      </c>
      <c r="K13" s="128">
        <f t="shared" si="3"/>
        <v>1.1828379260778357</v>
      </c>
      <c r="L13" s="128">
        <f t="shared" si="3"/>
        <v>1.2079275768576636</v>
      </c>
      <c r="M13" s="128">
        <f t="shared" si="3"/>
        <v>1.233549414306836</v>
      </c>
      <c r="N13" s="128">
        <f t="shared" si="3"/>
        <v>1.2597147268507483</v>
      </c>
      <c r="O13" s="128">
        <f t="shared" si="3"/>
        <v>1.2864350423581254</v>
      </c>
      <c r="P13" s="128">
        <f t="shared" si="3"/>
        <v>1.3137221332199502</v>
      </c>
      <c r="Q13" s="128">
        <f t="shared" si="3"/>
        <v>1.3415880215361236</v>
      </c>
      <c r="R13" s="128">
        <f t="shared" si="3"/>
        <v>1.3700449844121403</v>
      </c>
      <c r="S13" s="128">
        <f t="shared" si="3"/>
        <v>1.3991055593681154</v>
      </c>
      <c r="T13" s="128">
        <f t="shared" si="3"/>
        <v>1.4287825498625442</v>
      </c>
      <c r="U13" s="128">
        <f t="shared" si="3"/>
        <v>1.4590890309332267</v>
      </c>
      <c r="V13" s="128">
        <f t="shared" si="3"/>
        <v>1.4900383549578464</v>
      </c>
      <c r="W13" s="128">
        <f t="shared" si="3"/>
        <v>1.5216441575367377</v>
      </c>
      <c r="X13" s="128">
        <f t="shared" si="3"/>
        <v>1.5539203635004362</v>
      </c>
      <c r="Y13" s="128">
        <f t="shared" si="3"/>
        <v>1.5868811930446551</v>
      </c>
      <c r="Z13" s="128">
        <f t="shared" si="3"/>
        <v>1.6205411679953967</v>
      </c>
      <c r="AA13" s="128">
        <f t="shared" si="3"/>
        <v>1.6549151182069519</v>
      </c>
      <c r="AB13" s="128">
        <f t="shared" si="3"/>
        <v>1.6900181880956138</v>
      </c>
      <c r="AC13" s="128">
        <f t="shared" si="3"/>
        <v>1.7258658433119769</v>
      </c>
      <c r="AD13" s="128">
        <f t="shared" si="3"/>
        <v>1.7624738775547688</v>
      </c>
      <c r="AE13" s="128">
        <f t="shared" si="3"/>
        <v>1.7998584195292104</v>
      </c>
      <c r="AF13" s="128">
        <f t="shared" si="3"/>
        <v>1.8380359400529724</v>
      </c>
      <c r="AG13" s="128">
        <f t="shared" si="3"/>
        <v>1.8770232593128615</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189</v>
      </c>
      <c r="B15" s="178" t="s">
        <v>190</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130</v>
      </c>
      <c r="B17" s="77" t="s">
        <v>167</v>
      </c>
      <c r="C17" s="136">
        <f>AVERAGE(C49:C50)</f>
        <v>23213236902.219433</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11606618451.109716</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134</v>
      </c>
      <c r="C20" s="137">
        <v>2819907000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156</v>
      </c>
      <c r="B22" s="178" t="s">
        <v>190</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ht="46.5" x14ac:dyDescent="0.35">
      <c r="A24" s="77" t="s">
        <v>7</v>
      </c>
      <c r="B24" s="106" t="s">
        <v>200</v>
      </c>
      <c r="C24" s="136">
        <v>915292686.88999999</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ht="46.5" x14ac:dyDescent="0.35">
      <c r="A25" s="77" t="s">
        <v>1</v>
      </c>
      <c r="B25" s="106" t="s">
        <v>201</v>
      </c>
      <c r="C25" s="136">
        <v>295409308.83789998</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129</v>
      </c>
      <c r="C31" s="144">
        <v>-0.1</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129</v>
      </c>
      <c r="C32" s="144">
        <v>-0.1</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ht="31" x14ac:dyDescent="0.35">
      <c r="A33" s="81" t="s">
        <v>104</v>
      </c>
      <c r="B33" s="82" t="s">
        <v>126</v>
      </c>
      <c r="C33" s="144">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v>-1.2E-2</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v>-5.0000000000000001E-3</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v>-3.5000000000000001E-3</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v>-1.2E-2</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v>-5.0000000000000001E-3</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v>-3.5000000000000001E-3</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0.98799999999999999</v>
      </c>
      <c r="I43" s="142">
        <f>H43*(1+$C$35)</f>
        <v>0.97614400000000001</v>
      </c>
      <c r="J43" s="142">
        <f>I43*(1+$C$35)</f>
        <v>0.96443027199999998</v>
      </c>
      <c r="K43" s="142">
        <f>J43*(1+$C$35)</f>
        <v>0.95285710873599994</v>
      </c>
      <c r="L43" s="142">
        <f>K43*(1+$C$35)</f>
        <v>0.9414228234311679</v>
      </c>
      <c r="M43" s="142">
        <f>L43*(1+$C$36)</f>
        <v>0.93671570931401205</v>
      </c>
      <c r="N43" s="142">
        <f>M43*(1+$C$36)</f>
        <v>0.93203213076744196</v>
      </c>
      <c r="O43" s="142">
        <f>N43*(1+$C$36)</f>
        <v>0.92737197011360473</v>
      </c>
      <c r="P43" s="142">
        <f>O43*(1+$C$36)</f>
        <v>0.92273511026303667</v>
      </c>
      <c r="Q43" s="142">
        <f>P43*(1+$C$36)</f>
        <v>0.91812143471172147</v>
      </c>
      <c r="R43" s="142">
        <f>Q43*(1+$C$37)</f>
        <v>0.91490800969023045</v>
      </c>
      <c r="S43" s="142">
        <f>R43*(1+$C$37)</f>
        <v>0.91170583165631469</v>
      </c>
      <c r="T43" s="142">
        <f>S43*(1+$C$37)</f>
        <v>0.90851486124551761</v>
      </c>
      <c r="U43" s="142">
        <f>T43*(1+$C$37)</f>
        <v>0.90533505923115831</v>
      </c>
      <c r="V43" s="142">
        <f>U43*(1+$C$37)</f>
        <v>0.90216638652384928</v>
      </c>
      <c r="W43" s="142">
        <f t="shared" ref="W43:AG43" si="4">V43</f>
        <v>0.90216638652384928</v>
      </c>
      <c r="X43" s="142">
        <f t="shared" si="4"/>
        <v>0.90216638652384928</v>
      </c>
      <c r="Y43" s="142">
        <f t="shared" si="4"/>
        <v>0.90216638652384928</v>
      </c>
      <c r="Z43" s="142">
        <f t="shared" si="4"/>
        <v>0.90216638652384928</v>
      </c>
      <c r="AA43" s="142">
        <f t="shared" si="4"/>
        <v>0.90216638652384928</v>
      </c>
      <c r="AB43" s="142">
        <f t="shared" si="4"/>
        <v>0.90216638652384928</v>
      </c>
      <c r="AC43" s="142">
        <f t="shared" si="4"/>
        <v>0.90216638652384928</v>
      </c>
      <c r="AD43" s="142">
        <f t="shared" si="4"/>
        <v>0.90216638652384928</v>
      </c>
      <c r="AE43" s="142">
        <f t="shared" si="4"/>
        <v>0.90216638652384928</v>
      </c>
      <c r="AF43" s="142">
        <f t="shared" si="4"/>
        <v>0.90216638652384928</v>
      </c>
      <c r="AG43" s="142">
        <f t="shared" si="4"/>
        <v>0.90216638652384928</v>
      </c>
    </row>
    <row r="44" spans="1:33" x14ac:dyDescent="0.35">
      <c r="A44" s="69" t="s">
        <v>60</v>
      </c>
      <c r="B44" s="69" t="s">
        <v>86</v>
      </c>
      <c r="C44" s="141">
        <v>1</v>
      </c>
      <c r="D44" s="142">
        <v>1</v>
      </c>
      <c r="E44" s="142">
        <v>1</v>
      </c>
      <c r="F44" s="142">
        <v>1</v>
      </c>
      <c r="G44" s="142">
        <v>1</v>
      </c>
      <c r="H44" s="142">
        <f>G44*(1+$C$39)</f>
        <v>0.98799999999999999</v>
      </c>
      <c r="I44" s="142">
        <f>H44*(1+$C$39)</f>
        <v>0.97614400000000001</v>
      </c>
      <c r="J44" s="142">
        <f>I44*(1+$C$39)</f>
        <v>0.96443027199999998</v>
      </c>
      <c r="K44" s="142">
        <f>J44*(1+$C$39)</f>
        <v>0.95285710873599994</v>
      </c>
      <c r="L44" s="142">
        <f>K44*(1+$C$39)</f>
        <v>0.9414228234311679</v>
      </c>
      <c r="M44" s="142">
        <f>L44*(1+$C$40)</f>
        <v>0.93671570931401205</v>
      </c>
      <c r="N44" s="142">
        <f>M44*(1+$C$40)</f>
        <v>0.93203213076744196</v>
      </c>
      <c r="O44" s="142">
        <f>N44*(1+$C$40)</f>
        <v>0.92737197011360473</v>
      </c>
      <c r="P44" s="142">
        <f>O44*(1+$C$40)</f>
        <v>0.92273511026303667</v>
      </c>
      <c r="Q44" s="142">
        <f>P44*(1+$C$40)</f>
        <v>0.91812143471172147</v>
      </c>
      <c r="R44" s="142">
        <f>Q44*(1+$C$41)</f>
        <v>0.91490800969023045</v>
      </c>
      <c r="S44" s="142">
        <f>R44*(1+$C$41)</f>
        <v>0.91170583165631469</v>
      </c>
      <c r="T44" s="142">
        <f>S44*(1+$C$41)</f>
        <v>0.90851486124551761</v>
      </c>
      <c r="U44" s="142">
        <f>T44*(1+$C$41)</f>
        <v>0.90533505923115831</v>
      </c>
      <c r="V44" s="142">
        <f>U44*(1+$C$41)</f>
        <v>0.90216638652384928</v>
      </c>
      <c r="W44" s="142">
        <f t="shared" ref="W44:AG44" si="5">V44</f>
        <v>0.90216638652384928</v>
      </c>
      <c r="X44" s="142">
        <f t="shared" si="5"/>
        <v>0.90216638652384928</v>
      </c>
      <c r="Y44" s="142">
        <f t="shared" si="5"/>
        <v>0.90216638652384928</v>
      </c>
      <c r="Z44" s="142">
        <f t="shared" si="5"/>
        <v>0.90216638652384928</v>
      </c>
      <c r="AA44" s="142">
        <f t="shared" si="5"/>
        <v>0.90216638652384928</v>
      </c>
      <c r="AB44" s="142">
        <f t="shared" si="5"/>
        <v>0.90216638652384928</v>
      </c>
      <c r="AC44" s="142">
        <f t="shared" si="5"/>
        <v>0.90216638652384928</v>
      </c>
      <c r="AD44" s="142">
        <f t="shared" si="5"/>
        <v>0.90216638652384928</v>
      </c>
      <c r="AE44" s="142">
        <f t="shared" si="5"/>
        <v>0.90216638652384928</v>
      </c>
      <c r="AF44" s="142">
        <f t="shared" si="5"/>
        <v>0.90216638652384928</v>
      </c>
      <c r="AG44" s="142">
        <f t="shared" si="5"/>
        <v>0.90216638652384928</v>
      </c>
    </row>
    <row r="45" spans="1:33" x14ac:dyDescent="0.35">
      <c r="A45" s="69" t="s">
        <v>87</v>
      </c>
      <c r="B45" s="69" t="s">
        <v>86</v>
      </c>
      <c r="C45" s="141">
        <v>1</v>
      </c>
      <c r="D45" s="142">
        <f t="shared" ref="D45:AG45" si="6">C45*(1+$C$33)</f>
        <v>1</v>
      </c>
      <c r="E45" s="142">
        <f t="shared" si="6"/>
        <v>1</v>
      </c>
      <c r="F45" s="142">
        <f t="shared" si="6"/>
        <v>1</v>
      </c>
      <c r="G45" s="142">
        <f t="shared" si="6"/>
        <v>1</v>
      </c>
      <c r="H45" s="142">
        <f t="shared" si="6"/>
        <v>1</v>
      </c>
      <c r="I45" s="142">
        <f t="shared" si="6"/>
        <v>1</v>
      </c>
      <c r="J45" s="142">
        <f t="shared" si="6"/>
        <v>1</v>
      </c>
      <c r="K45" s="142">
        <f t="shared" si="6"/>
        <v>1</v>
      </c>
      <c r="L45" s="142">
        <f t="shared" si="6"/>
        <v>1</v>
      </c>
      <c r="M45" s="142">
        <f t="shared" si="6"/>
        <v>1</v>
      </c>
      <c r="N45" s="142">
        <f t="shared" si="6"/>
        <v>1</v>
      </c>
      <c r="O45" s="142">
        <f t="shared" si="6"/>
        <v>1</v>
      </c>
      <c r="P45" s="142">
        <f t="shared" si="6"/>
        <v>1</v>
      </c>
      <c r="Q45" s="142">
        <f t="shared" si="6"/>
        <v>1</v>
      </c>
      <c r="R45" s="142">
        <f t="shared" si="6"/>
        <v>1</v>
      </c>
      <c r="S45" s="142">
        <f t="shared" si="6"/>
        <v>1</v>
      </c>
      <c r="T45" s="142">
        <f t="shared" si="6"/>
        <v>1</v>
      </c>
      <c r="U45" s="142">
        <f t="shared" si="6"/>
        <v>1</v>
      </c>
      <c r="V45" s="142">
        <f t="shared" si="6"/>
        <v>1</v>
      </c>
      <c r="W45" s="142">
        <f t="shared" si="6"/>
        <v>1</v>
      </c>
      <c r="X45" s="142">
        <f t="shared" si="6"/>
        <v>1</v>
      </c>
      <c r="Y45" s="142">
        <f t="shared" si="6"/>
        <v>1</v>
      </c>
      <c r="Z45" s="142">
        <f t="shared" si="6"/>
        <v>1</v>
      </c>
      <c r="AA45" s="142">
        <f t="shared" si="6"/>
        <v>1</v>
      </c>
      <c r="AB45" s="142">
        <f t="shared" si="6"/>
        <v>1</v>
      </c>
      <c r="AC45" s="142">
        <f t="shared" si="6"/>
        <v>1</v>
      </c>
      <c r="AD45" s="142">
        <f t="shared" si="6"/>
        <v>1</v>
      </c>
      <c r="AE45" s="142">
        <f t="shared" si="6"/>
        <v>1</v>
      </c>
      <c r="AF45" s="142">
        <f t="shared" si="6"/>
        <v>1</v>
      </c>
      <c r="AG45" s="142">
        <f t="shared" si="6"/>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157</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132</v>
      </c>
      <c r="C49" s="71">
        <v>22208046470.130539</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133</v>
      </c>
      <c r="C50" s="71">
        <v>24218427334.308327</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0" t="s">
        <v>202</v>
      </c>
      <c r="C52" s="144">
        <v>0.3</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0" t="s">
        <v>202</v>
      </c>
      <c r="C53" s="144">
        <v>0.7</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168</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168</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196777321.21547914</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303493016.64245409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250135168.92896661</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139056309.65377972</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201777133.79823017</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170416721.72600496</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473909738.36845905</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108.5" x14ac:dyDescent="0.35">
      <c r="A77" s="69" t="s">
        <v>138</v>
      </c>
      <c r="B77" s="70" t="s">
        <v>173</v>
      </c>
      <c r="C77" s="87">
        <v>11589898677.529337</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139</v>
      </c>
      <c r="B79" s="69" t="s">
        <v>152</v>
      </c>
      <c r="C79" s="87">
        <v>8118682765.0046444</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140</v>
      </c>
      <c r="B80" s="69" t="s">
        <v>152</v>
      </c>
      <c r="C80" s="87">
        <v>15039268332.429625</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141</v>
      </c>
      <c r="B82" s="69" t="s">
        <v>86</v>
      </c>
      <c r="C82" s="87">
        <f>C79+$C$77</f>
        <v>19708581442.533981</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142</v>
      </c>
      <c r="B83" s="69" t="s">
        <v>86</v>
      </c>
      <c r="C83" s="87">
        <f>C80+$C$77</f>
        <v>26629167009.958961</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147</v>
      </c>
      <c r="B85" s="69" t="s">
        <v>193</v>
      </c>
      <c r="C85" s="150">
        <v>1629000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148</v>
      </c>
      <c r="B86" s="69" t="s">
        <v>131</v>
      </c>
      <c r="C86" s="150">
        <v>1629000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1629000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143</v>
      </c>
      <c r="B89" s="69" t="s">
        <v>86</v>
      </c>
      <c r="C89" s="150">
        <f>C82/$C$87</f>
        <v>12098.576698915887</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143</v>
      </c>
      <c r="B90" s="69" t="s">
        <v>86</v>
      </c>
      <c r="C90" s="150">
        <f>C83/$C$87</f>
        <v>16346.941074253506</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144</v>
      </c>
      <c r="B92" s="69" t="s">
        <v>151</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145</v>
      </c>
      <c r="B94" s="69" t="s">
        <v>86</v>
      </c>
      <c r="C94" s="87">
        <f>IF(C89&lt;$C$92,C89*$C$87,$C$92*$C$87)</f>
        <v>19708581442.533981</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146</v>
      </c>
      <c r="B95" s="69" t="s">
        <v>86</v>
      </c>
      <c r="C95" s="87">
        <f>IF(C90&lt;$C$92,C90*$C$87,$C$92*$C$87)</f>
        <v>26629167009.958961</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150</v>
      </c>
      <c r="B96" s="69" t="s">
        <v>86</v>
      </c>
      <c r="C96" s="87">
        <f>AVERAGE(C94:C95)</f>
        <v>23168874226.246471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23168874226.246471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772295807.54154909</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x14ac:dyDescent="0.35">
      <c r="A104" s="69" t="s">
        <v>40</v>
      </c>
      <c r="B104" s="70" t="s">
        <v>202</v>
      </c>
      <c r="C104" s="151">
        <v>0.5</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x14ac:dyDescent="0.35">
      <c r="A105" s="69" t="s">
        <v>41</v>
      </c>
      <c r="B105" s="70" t="s">
        <v>202</v>
      </c>
      <c r="C105" s="151">
        <v>0.5</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166</v>
      </c>
      <c r="C106" s="145">
        <f>C58</f>
        <v>28.898659643922009</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166</v>
      </c>
      <c r="C107" s="145">
        <f>C63</f>
        <v>97.90586736798933</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7">$C$75</f>
        <v>473909738.36845905</v>
      </c>
      <c r="E111" s="149">
        <f t="shared" si="7"/>
        <v>473909738.36845905</v>
      </c>
      <c r="F111" s="149">
        <f t="shared" si="7"/>
        <v>473909738.36845905</v>
      </c>
      <c r="G111" s="149">
        <f t="shared" si="7"/>
        <v>473909738.36845905</v>
      </c>
      <c r="H111" s="149">
        <f t="shared" si="7"/>
        <v>473909738.36845905</v>
      </c>
      <c r="I111" s="149">
        <f t="shared" si="7"/>
        <v>473909738.36845905</v>
      </c>
      <c r="J111" s="149">
        <f t="shared" si="7"/>
        <v>473909738.36845905</v>
      </c>
      <c r="K111" s="149">
        <f t="shared" si="7"/>
        <v>473909738.36845905</v>
      </c>
      <c r="L111" s="149">
        <f t="shared" si="7"/>
        <v>473909738.36845905</v>
      </c>
      <c r="M111" s="149">
        <f t="shared" si="7"/>
        <v>473909738.36845905</v>
      </c>
      <c r="N111" s="149">
        <f t="shared" si="7"/>
        <v>473909738.36845905</v>
      </c>
      <c r="O111" s="149">
        <f t="shared" si="7"/>
        <v>473909738.36845905</v>
      </c>
      <c r="P111" s="149">
        <f t="shared" si="7"/>
        <v>473909738.36845905</v>
      </c>
      <c r="Q111" s="149">
        <f t="shared" si="7"/>
        <v>473909738.36845905</v>
      </c>
      <c r="R111" s="149">
        <f t="shared" si="7"/>
        <v>473909738.36845905</v>
      </c>
      <c r="S111" s="149">
        <f t="shared" si="7"/>
        <v>473909738.36845905</v>
      </c>
      <c r="T111" s="149">
        <f t="shared" si="7"/>
        <v>473909738.36845905</v>
      </c>
      <c r="U111" s="149">
        <f t="shared" si="7"/>
        <v>473909738.36845905</v>
      </c>
      <c r="V111" s="149">
        <f t="shared" si="7"/>
        <v>473909738.36845905</v>
      </c>
      <c r="W111" s="149">
        <f t="shared" si="7"/>
        <v>473909738.36845905</v>
      </c>
      <c r="X111" s="149">
        <f t="shared" si="7"/>
        <v>473909738.36845905</v>
      </c>
      <c r="Y111" s="149">
        <f t="shared" si="7"/>
        <v>473909738.36845905</v>
      </c>
      <c r="Z111" s="149">
        <f t="shared" si="7"/>
        <v>473909738.36845905</v>
      </c>
      <c r="AA111" s="149">
        <f t="shared" si="7"/>
        <v>473909738.36845905</v>
      </c>
      <c r="AB111" s="149">
        <f t="shared" si="7"/>
        <v>473909738.36845905</v>
      </c>
      <c r="AC111" s="149">
        <f t="shared" si="7"/>
        <v>473909738.36845905</v>
      </c>
      <c r="AD111" s="149">
        <f t="shared" si="7"/>
        <v>473909738.36845905</v>
      </c>
      <c r="AE111" s="149">
        <f t="shared" si="7"/>
        <v>473909738.36845905</v>
      </c>
      <c r="AF111" s="149">
        <f t="shared" si="7"/>
        <v>473909738.36845905</v>
      </c>
      <c r="AG111" s="149">
        <f t="shared" si="7"/>
        <v>473909738.36845905</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23168874226.246479</v>
      </c>
      <c r="D113" s="149">
        <f t="shared" ref="D113:AG113" si="8">$C$102</f>
        <v>772295807.54154909</v>
      </c>
      <c r="E113" s="149">
        <f t="shared" si="8"/>
        <v>772295807.54154909</v>
      </c>
      <c r="F113" s="149">
        <f t="shared" si="8"/>
        <v>772295807.54154909</v>
      </c>
      <c r="G113" s="149">
        <f t="shared" si="8"/>
        <v>772295807.54154909</v>
      </c>
      <c r="H113" s="149">
        <f t="shared" si="8"/>
        <v>772295807.54154909</v>
      </c>
      <c r="I113" s="149">
        <f t="shared" si="8"/>
        <v>772295807.54154909</v>
      </c>
      <c r="J113" s="149">
        <f t="shared" si="8"/>
        <v>772295807.54154909</v>
      </c>
      <c r="K113" s="149">
        <f t="shared" si="8"/>
        <v>772295807.54154909</v>
      </c>
      <c r="L113" s="149">
        <f t="shared" si="8"/>
        <v>772295807.54154909</v>
      </c>
      <c r="M113" s="149">
        <f t="shared" si="8"/>
        <v>772295807.54154909</v>
      </c>
      <c r="N113" s="149">
        <f t="shared" si="8"/>
        <v>772295807.54154909</v>
      </c>
      <c r="O113" s="149">
        <f t="shared" si="8"/>
        <v>772295807.54154909</v>
      </c>
      <c r="P113" s="149">
        <f t="shared" si="8"/>
        <v>772295807.54154909</v>
      </c>
      <c r="Q113" s="149">
        <f t="shared" si="8"/>
        <v>772295807.54154909</v>
      </c>
      <c r="R113" s="149">
        <f t="shared" si="8"/>
        <v>772295807.54154909</v>
      </c>
      <c r="S113" s="149">
        <f t="shared" si="8"/>
        <v>772295807.54154909</v>
      </c>
      <c r="T113" s="149">
        <f t="shared" si="8"/>
        <v>772295807.54154909</v>
      </c>
      <c r="U113" s="149">
        <f t="shared" si="8"/>
        <v>772295807.54154909</v>
      </c>
      <c r="V113" s="149">
        <f t="shared" si="8"/>
        <v>772295807.54154909</v>
      </c>
      <c r="W113" s="149">
        <f t="shared" si="8"/>
        <v>772295807.54154909</v>
      </c>
      <c r="X113" s="149">
        <f t="shared" si="8"/>
        <v>772295807.54154909</v>
      </c>
      <c r="Y113" s="149">
        <f t="shared" si="8"/>
        <v>772295807.54154909</v>
      </c>
      <c r="Z113" s="149">
        <f t="shared" si="8"/>
        <v>772295807.54154909</v>
      </c>
      <c r="AA113" s="149">
        <f t="shared" si="8"/>
        <v>772295807.54154909</v>
      </c>
      <c r="AB113" s="149">
        <f t="shared" si="8"/>
        <v>772295807.54154909</v>
      </c>
      <c r="AC113" s="149">
        <f t="shared" si="8"/>
        <v>772295807.54154909</v>
      </c>
      <c r="AD113" s="149">
        <f t="shared" si="8"/>
        <v>772295807.54154909</v>
      </c>
      <c r="AE113" s="149">
        <f t="shared" si="8"/>
        <v>772295807.54154909</v>
      </c>
      <c r="AF113" s="149">
        <f t="shared" si="8"/>
        <v>772295807.54154909</v>
      </c>
      <c r="AG113" s="149">
        <f t="shared" si="8"/>
        <v>772295807.54154909</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9">(E113*E$44)-E113</f>
        <v>0</v>
      </c>
      <c r="F115" s="149">
        <f t="shared" si="9"/>
        <v>0</v>
      </c>
      <c r="G115" s="149">
        <f t="shared" si="9"/>
        <v>0</v>
      </c>
      <c r="H115" s="149">
        <f>(H113*H$44)-H113</f>
        <v>-9267549.6904985905</v>
      </c>
      <c r="I115" s="149">
        <f t="shared" si="9"/>
        <v>-18423888.784711242</v>
      </c>
      <c r="J115" s="149">
        <f t="shared" si="9"/>
        <v>-27470351.809793234</v>
      </c>
      <c r="K115" s="149">
        <f t="shared" si="9"/>
        <v>-36408257.278574347</v>
      </c>
      <c r="L115" s="149">
        <f t="shared" si="9"/>
        <v>-45238907.88173008</v>
      </c>
      <c r="M115" s="149">
        <f t="shared" si="9"/>
        <v>-48874192.380029202</v>
      </c>
      <c r="N115" s="149">
        <f t="shared" si="9"/>
        <v>-52491300.455836773</v>
      </c>
      <c r="O115" s="149">
        <f t="shared" si="9"/>
        <v>-56090322.991265416</v>
      </c>
      <c r="P115" s="149">
        <f t="shared" si="9"/>
        <v>-59671350.414016843</v>
      </c>
      <c r="Q115" s="149">
        <f t="shared" si="9"/>
        <v>-63234472.69965446</v>
      </c>
      <c r="R115" s="149">
        <f t="shared" si="9"/>
        <v>-65716187.371601105</v>
      </c>
      <c r="S115" s="149">
        <f t="shared" si="9"/>
        <v>-68189216.042195916</v>
      </c>
      <c r="T115" s="149">
        <f t="shared" si="9"/>
        <v>-70653589.112443686</v>
      </c>
      <c r="U115" s="149">
        <f t="shared" si="9"/>
        <v>-73109336.876945496</v>
      </c>
      <c r="V115" s="149">
        <f t="shared" si="9"/>
        <v>-75556489.524271607</v>
      </c>
      <c r="W115" s="149">
        <f t="shared" si="9"/>
        <v>-75556489.524271607</v>
      </c>
      <c r="X115" s="149">
        <f t="shared" si="9"/>
        <v>-75556489.524271607</v>
      </c>
      <c r="Y115" s="149">
        <f t="shared" si="9"/>
        <v>-75556489.524271607</v>
      </c>
      <c r="Z115" s="149">
        <f t="shared" si="9"/>
        <v>-75556489.524271607</v>
      </c>
      <c r="AA115" s="149">
        <f t="shared" si="9"/>
        <v>-75556489.524271607</v>
      </c>
      <c r="AB115" s="149">
        <f t="shared" si="9"/>
        <v>-75556489.524271607</v>
      </c>
      <c r="AC115" s="149">
        <f t="shared" si="9"/>
        <v>-75556489.524271607</v>
      </c>
      <c r="AD115" s="149">
        <f t="shared" si="9"/>
        <v>-75556489.524271607</v>
      </c>
      <c r="AE115" s="149">
        <f t="shared" si="9"/>
        <v>-75556489.524271607</v>
      </c>
      <c r="AF115" s="149">
        <f t="shared" si="9"/>
        <v>-75556489.524271607</v>
      </c>
      <c r="AG115" s="149">
        <f t="shared" si="9"/>
        <v>-75556489.524271607</v>
      </c>
    </row>
    <row r="116" spans="1:33" s="153" customFormat="1" x14ac:dyDescent="0.35">
      <c r="A116" s="69" t="s">
        <v>89</v>
      </c>
      <c r="B116" s="69" t="s">
        <v>86</v>
      </c>
      <c r="C116" s="126"/>
      <c r="D116" s="149">
        <f t="shared" ref="D116:AG116" si="10">(D113*D$45)-D113</f>
        <v>0</v>
      </c>
      <c r="E116" s="149">
        <f t="shared" si="10"/>
        <v>0</v>
      </c>
      <c r="F116" s="149">
        <f t="shared" si="10"/>
        <v>0</v>
      </c>
      <c r="G116" s="149">
        <f t="shared" si="10"/>
        <v>0</v>
      </c>
      <c r="H116" s="149">
        <f t="shared" si="10"/>
        <v>0</v>
      </c>
      <c r="I116" s="149">
        <f t="shared" si="10"/>
        <v>0</v>
      </c>
      <c r="J116" s="149">
        <f t="shared" si="10"/>
        <v>0</v>
      </c>
      <c r="K116" s="149">
        <f t="shared" si="10"/>
        <v>0</v>
      </c>
      <c r="L116" s="149">
        <f t="shared" si="10"/>
        <v>0</v>
      </c>
      <c r="M116" s="149">
        <f t="shared" si="10"/>
        <v>0</v>
      </c>
      <c r="N116" s="149">
        <f t="shared" si="10"/>
        <v>0</v>
      </c>
      <c r="O116" s="149">
        <f t="shared" si="10"/>
        <v>0</v>
      </c>
      <c r="P116" s="149">
        <f t="shared" si="10"/>
        <v>0</v>
      </c>
      <c r="Q116" s="149">
        <f t="shared" si="10"/>
        <v>0</v>
      </c>
      <c r="R116" s="149">
        <f t="shared" si="10"/>
        <v>0</v>
      </c>
      <c r="S116" s="149">
        <f t="shared" si="10"/>
        <v>0</v>
      </c>
      <c r="T116" s="149">
        <f t="shared" si="10"/>
        <v>0</v>
      </c>
      <c r="U116" s="149">
        <f t="shared" si="10"/>
        <v>0</v>
      </c>
      <c r="V116" s="149">
        <f t="shared" si="10"/>
        <v>0</v>
      </c>
      <c r="W116" s="149">
        <f t="shared" si="10"/>
        <v>0</v>
      </c>
      <c r="X116" s="149">
        <f t="shared" si="10"/>
        <v>0</v>
      </c>
      <c r="Y116" s="149">
        <f t="shared" si="10"/>
        <v>0</v>
      </c>
      <c r="Z116" s="149">
        <f t="shared" si="10"/>
        <v>0</v>
      </c>
      <c r="AA116" s="149">
        <f t="shared" si="10"/>
        <v>0</v>
      </c>
      <c r="AB116" s="149">
        <f t="shared" si="10"/>
        <v>0</v>
      </c>
      <c r="AC116" s="149">
        <f t="shared" si="10"/>
        <v>0</v>
      </c>
      <c r="AD116" s="149">
        <f t="shared" si="10"/>
        <v>0</v>
      </c>
      <c r="AE116" s="149">
        <f t="shared" si="10"/>
        <v>0</v>
      </c>
      <c r="AF116" s="149">
        <f t="shared" si="10"/>
        <v>0</v>
      </c>
      <c r="AG116" s="149">
        <f t="shared" si="10"/>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772295807.54154909</v>
      </c>
      <c r="E118" s="149">
        <f t="shared" ref="E118:AG118" si="11">E113+E115+E116</f>
        <v>772295807.54154909</v>
      </c>
      <c r="F118" s="149">
        <f>F113+F115+F116</f>
        <v>772295807.54154909</v>
      </c>
      <c r="G118" s="149">
        <f t="shared" si="11"/>
        <v>772295807.54154909</v>
      </c>
      <c r="H118" s="149">
        <f t="shared" si="11"/>
        <v>763028257.8510505</v>
      </c>
      <c r="I118" s="149">
        <f t="shared" si="11"/>
        <v>753871918.75683784</v>
      </c>
      <c r="J118" s="149">
        <f t="shared" si="11"/>
        <v>744825455.73175585</v>
      </c>
      <c r="K118" s="149">
        <f t="shared" si="11"/>
        <v>735887550.26297474</v>
      </c>
      <c r="L118" s="149">
        <f t="shared" si="11"/>
        <v>727056899.65981901</v>
      </c>
      <c r="M118" s="149">
        <f t="shared" si="11"/>
        <v>723421615.16151989</v>
      </c>
      <c r="N118" s="149">
        <f t="shared" si="11"/>
        <v>719804507.08571231</v>
      </c>
      <c r="O118" s="149">
        <f t="shared" si="11"/>
        <v>716205484.55028367</v>
      </c>
      <c r="P118" s="149">
        <f t="shared" si="11"/>
        <v>712624457.12753224</v>
      </c>
      <c r="Q118" s="149">
        <f t="shared" si="11"/>
        <v>709061334.84189463</v>
      </c>
      <c r="R118" s="149">
        <f t="shared" si="11"/>
        <v>706579620.16994798</v>
      </c>
      <c r="S118" s="149">
        <f t="shared" si="11"/>
        <v>704106591.49935317</v>
      </c>
      <c r="T118" s="149">
        <f t="shared" si="11"/>
        <v>701642218.4291054</v>
      </c>
      <c r="U118" s="149">
        <f t="shared" si="11"/>
        <v>699186470.66460359</v>
      </c>
      <c r="V118" s="149">
        <f t="shared" si="11"/>
        <v>696739318.01727748</v>
      </c>
      <c r="W118" s="149">
        <f t="shared" si="11"/>
        <v>696739318.01727748</v>
      </c>
      <c r="X118" s="149">
        <f t="shared" si="11"/>
        <v>696739318.01727748</v>
      </c>
      <c r="Y118" s="149">
        <f t="shared" si="11"/>
        <v>696739318.01727748</v>
      </c>
      <c r="Z118" s="149">
        <f t="shared" si="11"/>
        <v>696739318.01727748</v>
      </c>
      <c r="AA118" s="149">
        <f t="shared" si="11"/>
        <v>696739318.01727748</v>
      </c>
      <c r="AB118" s="149">
        <f t="shared" si="11"/>
        <v>696739318.01727748</v>
      </c>
      <c r="AC118" s="149">
        <f t="shared" si="11"/>
        <v>696739318.01727748</v>
      </c>
      <c r="AD118" s="149">
        <f t="shared" si="11"/>
        <v>696739318.01727748</v>
      </c>
      <c r="AE118" s="149">
        <f t="shared" si="11"/>
        <v>696739318.01727748</v>
      </c>
      <c r="AF118" s="149">
        <f t="shared" si="11"/>
        <v>696739318.01727748</v>
      </c>
      <c r="AG118" s="149">
        <f t="shared" si="11"/>
        <v>696739318.01727748</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17306212.046433169</v>
      </c>
      <c r="E120" s="149">
        <f>(SUM($D$118:E118)*$C$104/$C$106)+(SUM($D$118:E118)*$C$105/$C$107)</f>
        <v>34612424.092866339</v>
      </c>
      <c r="F120" s="149">
        <f>(SUM($D$118:F118)*$C$104/$C$106)+(SUM($D$118:F118)*$C$105/$C$107)</f>
        <v>51918636.139299512</v>
      </c>
      <c r="G120" s="149">
        <f>(SUM($D$118:G118)*$C$104/$C$106)+(SUM($D$118:G118)*$C$105/$C$107)</f>
        <v>69224848.185732678</v>
      </c>
      <c r="H120" s="149">
        <f>(SUM($D$118:H118)*$C$104/$C$106)+(SUM($D$118:H118)*$C$105/$C$107)</f>
        <v>86323385.687608644</v>
      </c>
      <c r="I120" s="149">
        <f>(SUM($D$118:I118)*$C$104/$C$106)+(SUM($D$118:I118)*$C$105/$C$107)</f>
        <v>103216740.73946209</v>
      </c>
      <c r="J120" s="149">
        <f>(SUM($D$118:J118)*$C$104/$C$106)+(SUM($D$118:J118)*$C$105/$C$107)</f>
        <v>119907375.53069332</v>
      </c>
      <c r="K120" s="149">
        <f>(SUM($D$118:K118)*$C$104/$C$106)+(SUM($D$118:K118)*$C$105/$C$107)</f>
        <v>136397722.70442975</v>
      </c>
      <c r="L120" s="149">
        <f>(SUM($D$118:L118)*$C$104/$C$106)+(SUM($D$118:L118)*$C$105/$C$107)</f>
        <v>152690185.71208137</v>
      </c>
      <c r="M120" s="149">
        <f>(SUM($D$118:M118)*$C$104/$C$106)+(SUM($D$118:M118)*$C$105/$C$107)</f>
        <v>168901186.40469471</v>
      </c>
      <c r="N120" s="149">
        <f>(SUM($D$118:N118)*$C$104/$C$106)+(SUM($D$118:N118)*$C$105/$C$107)</f>
        <v>185031132.09384498</v>
      </c>
      <c r="O120" s="149">
        <f>(SUM($D$118:O118)*$C$104/$C$106)+(SUM($D$118:O118)*$C$105/$C$107)</f>
        <v>201080428.05454955</v>
      </c>
      <c r="P120" s="149">
        <f>(SUM($D$118:P118)*$C$104/$C$106)+(SUM($D$118:P118)*$C$105/$C$107)</f>
        <v>217049477.53545055</v>
      </c>
      <c r="Q120" s="149">
        <f>(SUM($D$118:Q118)*$C$104/$C$106)+(SUM($D$118:Q118)*$C$105/$C$107)</f>
        <v>232938681.76894706</v>
      </c>
      <c r="R120" s="149">
        <f>(SUM($D$118:R118)*$C$104/$C$106)+(SUM($D$118:R118)*$C$105/$C$107)</f>
        <v>248772273.78762633</v>
      </c>
      <c r="S120" s="149">
        <f>(SUM($D$118:S118)*$C$104/$C$106)+(SUM($D$118:S118)*$C$105/$C$107)</f>
        <v>264550448.2342402</v>
      </c>
      <c r="T120" s="149">
        <f>(SUM($D$118:T118)*$C$104/$C$106)+(SUM($D$118:T118)*$C$105/$C$107)</f>
        <v>280273399.07029092</v>
      </c>
      <c r="U120" s="149">
        <f>(SUM($D$118:U118)*$C$104/$C$106)+(SUM($D$118:U118)*$C$105/$C$107)</f>
        <v>295941319.57841551</v>
      </c>
      <c r="V120" s="149">
        <f>(SUM($D$118:V118)*$C$104/$C$106)+(SUM($D$118:V118)*$C$105/$C$107)</f>
        <v>311554402.36476165</v>
      </c>
      <c r="W120" s="149">
        <f>(SUM($D$118:W118)*$C$104/$C$106)+(SUM($D$118:W118)*$C$105/$C$107)</f>
        <v>327167485.15110773</v>
      </c>
      <c r="X120" s="149">
        <f>(SUM($D$118:X118)*$C$104/$C$106)+(SUM($D$118:X118)*$C$105/$C$107)</f>
        <v>342780567.93745387</v>
      </c>
      <c r="Y120" s="149">
        <f>(SUM($D$118:Y118)*$C$104/$C$106)+(SUM($D$118:Y118)*$C$105/$C$107)</f>
        <v>358393650.72379994</v>
      </c>
      <c r="Z120" s="149">
        <f>(SUM($D$118:Z118)*$C$104/$C$106)+(SUM($D$118:Z118)*$C$105/$C$107)</f>
        <v>374006733.51014608</v>
      </c>
      <c r="AA120" s="149">
        <f>(SUM($D$118:AA118)*$C$104/$C$106)+(SUM($D$118:AA118)*$C$105/$C$107)</f>
        <v>389619816.29649222</v>
      </c>
      <c r="AB120" s="149">
        <f>(SUM($D$118:AB118)*$C$104/$C$106)+(SUM($D$118:AB118)*$C$105/$C$107)</f>
        <v>405232899.08283836</v>
      </c>
      <c r="AC120" s="149">
        <f>(SUM($D$118:AC118)*$C$104/$C$106)+(SUM($D$118:AC118)*$C$105/$C$107)</f>
        <v>420845981.86918443</v>
      </c>
      <c r="AD120" s="149">
        <f>(SUM($D$118:AD118)*$C$104/$C$106)+(SUM($D$118:AD118)*$C$105/$C$107)</f>
        <v>436459064.65553057</v>
      </c>
      <c r="AE120" s="149">
        <f>(SUM($D$118:AE118)*$C$104/$C$106)+(SUM($D$118:AE118)*$C$105/$C$107)</f>
        <v>452072147.44187665</v>
      </c>
      <c r="AF120" s="149">
        <f>(SUM($D$118:AF118)*$C$104/$C$106)+(SUM($D$118:AF118)*$C$105/$C$107)</f>
        <v>467685230.22822273</v>
      </c>
      <c r="AG120" s="149">
        <f>(SUM($D$118:AG118)*$C$104/$C$106)+(SUM($D$118:AG118)*$C$105/$C$107)</f>
        <v>483298313.01456887</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23168874.226246472</v>
      </c>
      <c r="E122" s="72">
        <f>(SUM($D$118:E118)*$C$109)</f>
        <v>46337748.452492945</v>
      </c>
      <c r="F122" s="72">
        <f>(SUM($D$118:F118)*$C$109)</f>
        <v>69506622.678739414</v>
      </c>
      <c r="G122" s="72">
        <f>(SUM($D$118:G118)*$C$109)</f>
        <v>92675496.90498589</v>
      </c>
      <c r="H122" s="72">
        <f>(SUM($D$118:H118)*$C$109)</f>
        <v>115566344.6405174</v>
      </c>
      <c r="I122" s="72">
        <f>(SUM($D$118:I118)*$C$109)</f>
        <v>138182502.20322251</v>
      </c>
      <c r="J122" s="72">
        <f>(SUM($D$118:J118)*$C$109)</f>
        <v>160527265.87517521</v>
      </c>
      <c r="K122" s="72">
        <f>(SUM($D$118:K118)*$C$109)</f>
        <v>182603892.38306445</v>
      </c>
      <c r="L122" s="72">
        <f>(SUM($D$118:L118)*$C$109)</f>
        <v>204415599.372859</v>
      </c>
      <c r="M122" s="72">
        <f>(SUM($D$118:M118)*$C$109)</f>
        <v>226118247.82770461</v>
      </c>
      <c r="N122" s="72">
        <f>(SUM($D$118:N118)*$C$109)</f>
        <v>247712383.04027596</v>
      </c>
      <c r="O122" s="72">
        <f>(SUM($D$118:O118)*$C$109)</f>
        <v>269198547.57678449</v>
      </c>
      <c r="P122" s="72">
        <f>(SUM($D$118:P118)*$C$109)</f>
        <v>290577281.29061049</v>
      </c>
      <c r="Q122" s="72">
        <f>(SUM($D$118:Q118)*$C$109)</f>
        <v>311849121.33586735</v>
      </c>
      <c r="R122" s="72">
        <f>(SUM($D$118:R118)*$C$109)</f>
        <v>333046509.94096577</v>
      </c>
      <c r="S122" s="72">
        <f>(SUM($D$118:S118)*$C$109)</f>
        <v>354169707.68594635</v>
      </c>
      <c r="T122" s="72">
        <f>(SUM($D$118:T118)*$C$109)</f>
        <v>375218974.23881954</v>
      </c>
      <c r="U122" s="72">
        <f>(SUM($D$118:U118)*$C$109)</f>
        <v>396194568.35875767</v>
      </c>
      <c r="V122" s="72">
        <f>(SUM($D$118:V118)*$C$109)</f>
        <v>417096747.89927596</v>
      </c>
      <c r="W122" s="72">
        <f>(SUM($D$118:W118)*$C$109)</f>
        <v>437998927.4397943</v>
      </c>
      <c r="X122" s="72">
        <f>(SUM($D$118:X118)*$C$109)</f>
        <v>458901106.98031259</v>
      </c>
      <c r="Y122" s="72">
        <f>(SUM($D$118:Y118)*$C$109)</f>
        <v>479803286.52083087</v>
      </c>
      <c r="Z122" s="72">
        <f>(SUM($D$118:Z118)*$C$109)</f>
        <v>500705466.06134915</v>
      </c>
      <c r="AA122" s="72">
        <f>(SUM($D$118:AA118)*$C$109)</f>
        <v>521607645.60186756</v>
      </c>
      <c r="AB122" s="72">
        <f>(SUM($D$118:AB118)*$C$109)</f>
        <v>542509825.14238584</v>
      </c>
      <c r="AC122" s="72">
        <f>(SUM($D$118:AC118)*$C$109)</f>
        <v>563412004.68290412</v>
      </c>
      <c r="AD122" s="72">
        <f>(SUM($D$118:AD118)*$C$109)</f>
        <v>584314184.22342241</v>
      </c>
      <c r="AE122" s="72">
        <f>(SUM($D$118:AE118)*$C$109)</f>
        <v>605216363.76394069</v>
      </c>
      <c r="AF122" s="72">
        <f>(SUM($D$118:AF118)*$C$109)</f>
        <v>626118543.3044591</v>
      </c>
      <c r="AG122" s="72">
        <f>(SUM($D$118:AG118)*$C$109)</f>
        <v>647020722.84497738</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149</v>
      </c>
      <c r="B126" s="77" t="s">
        <v>193</v>
      </c>
      <c r="C126" s="126">
        <v>1629000</v>
      </c>
      <c r="D126" s="140"/>
    </row>
    <row r="127" spans="1:33" x14ac:dyDescent="0.35">
      <c r="A127" s="77" t="s">
        <v>148</v>
      </c>
      <c r="B127" s="77" t="s">
        <v>131</v>
      </c>
      <c r="C127" s="126">
        <v>1629000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1629000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153</v>
      </c>
      <c r="B133" s="77" t="s">
        <v>154</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603333.33333333326</v>
      </c>
      <c r="D135" s="157">
        <f t="shared" ref="D135:AG135" si="12">$C$135*D13</f>
        <v>616130.8792214304</v>
      </c>
      <c r="E135" s="157">
        <f t="shared" si="12"/>
        <v>629199.87900028669</v>
      </c>
      <c r="F135" s="157">
        <f t="shared" si="12"/>
        <v>642546.09058750991</v>
      </c>
      <c r="G135" s="157">
        <f t="shared" si="12"/>
        <v>656175.39403421339</v>
      </c>
      <c r="H135" s="157">
        <f t="shared" si="12"/>
        <v>670093.79411563836</v>
      </c>
      <c r="I135" s="157">
        <f t="shared" si="12"/>
        <v>684307.42297672795</v>
      </c>
      <c r="J135" s="157">
        <f t="shared" si="12"/>
        <v>698822.54283381661</v>
      </c>
      <c r="K135" s="157">
        <f t="shared" si="12"/>
        <v>713645.54873362742</v>
      </c>
      <c r="L135" s="157">
        <f t="shared" si="12"/>
        <v>728782.97137079027</v>
      </c>
      <c r="M135" s="157">
        <f t="shared" si="12"/>
        <v>744241.47996512428</v>
      </c>
      <c r="N135" s="157">
        <f t="shared" si="12"/>
        <v>760027.88519995136</v>
      </c>
      <c r="O135" s="157">
        <f t="shared" si="12"/>
        <v>776149.14222273557</v>
      </c>
      <c r="P135" s="157">
        <f t="shared" si="12"/>
        <v>792612.3537093699</v>
      </c>
      <c r="Q135" s="157">
        <f t="shared" si="12"/>
        <v>809424.77299346111</v>
      </c>
      <c r="R135" s="157">
        <f t="shared" si="12"/>
        <v>826593.8072619912</v>
      </c>
      <c r="S135" s="157">
        <f t="shared" si="12"/>
        <v>844127.02081876283</v>
      </c>
      <c r="T135" s="157">
        <f t="shared" si="12"/>
        <v>862032.13841706817</v>
      </c>
      <c r="U135" s="157">
        <f t="shared" si="12"/>
        <v>880317.04866304668</v>
      </c>
      <c r="V135" s="157">
        <f t="shared" si="12"/>
        <v>898989.80749123392</v>
      </c>
      <c r="W135" s="157">
        <f t="shared" si="12"/>
        <v>918058.64171383157</v>
      </c>
      <c r="X135" s="157">
        <f t="shared" si="12"/>
        <v>937531.95264526305</v>
      </c>
      <c r="Y135" s="157">
        <f t="shared" si="12"/>
        <v>957418.31980360847</v>
      </c>
      <c r="Z135" s="157">
        <f t="shared" si="12"/>
        <v>977726.50469055586</v>
      </c>
      <c r="AA135" s="157">
        <f t="shared" si="12"/>
        <v>998465.45465152757</v>
      </c>
      <c r="AB135" s="157">
        <f t="shared" si="12"/>
        <v>1019644.3068176869</v>
      </c>
      <c r="AC135" s="157">
        <f t="shared" si="12"/>
        <v>1041272.3921315593</v>
      </c>
      <c r="AD135" s="157">
        <f t="shared" si="12"/>
        <v>1063359.2394580438</v>
      </c>
      <c r="AE135" s="157">
        <f t="shared" si="12"/>
        <v>1085914.5797826236</v>
      </c>
      <c r="AF135" s="157">
        <f t="shared" si="12"/>
        <v>1108948.3504986265</v>
      </c>
      <c r="AG135" s="157">
        <f t="shared" si="12"/>
        <v>1132470.6997854263</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tabSelected="1"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v>
      </c>
      <c r="F4" s="65">
        <v>0.2</v>
      </c>
      <c r="G4" s="65">
        <v>0.15</v>
      </c>
      <c r="H4" s="65">
        <v>0.08</v>
      </c>
      <c r="I4" s="65">
        <v>7.0000000000000007E-2</v>
      </c>
      <c r="J4" s="65">
        <v>0.05</v>
      </c>
      <c r="K4" s="65">
        <v>0.04</v>
      </c>
      <c r="L4" s="65">
        <v>0.03</v>
      </c>
      <c r="M4" s="65">
        <v>0.03</v>
      </c>
      <c r="N4" s="65">
        <v>0.03</v>
      </c>
      <c r="O4" s="65">
        <v>2.1999999999999999E-2</v>
      </c>
      <c r="P4" s="65">
        <v>2.1999999999999999E-2</v>
      </c>
      <c r="Q4" s="65">
        <v>2.1999999999999999E-2</v>
      </c>
      <c r="R4" s="65">
        <v>2.1999999999999999E-2</v>
      </c>
      <c r="S4" s="65">
        <v>2.1999999999999999E-2</v>
      </c>
      <c r="T4" s="65">
        <v>2.1999999999999999E-2</v>
      </c>
      <c r="U4" s="65">
        <v>2.1999999999999999E-2</v>
      </c>
      <c r="V4" s="65">
        <v>2.1999999999999999E-2</v>
      </c>
      <c r="W4" s="65">
        <v>2.1999999999999999E-2</v>
      </c>
      <c r="X4" s="65">
        <v>2.1999999999999999E-2</v>
      </c>
      <c r="Y4" s="65">
        <v>2.1999999999999999E-2</v>
      </c>
      <c r="Z4" s="65">
        <v>2.1999999999999999E-2</v>
      </c>
      <c r="AA4" s="65">
        <v>2.1999999999999999E-2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2.5140730467186514</v>
      </c>
      <c r="C6" s="25"/>
      <c r="D6" s="25"/>
      <c r="E6" s="27">
        <f>'Debt worksheet'!C5/'Profit and Loss'!C5</f>
        <v>2.5140730467186514</v>
      </c>
      <c r="F6" s="28">
        <f ca="1">'Debt worksheet'!D5/'Profit and Loss'!D5</f>
        <v>2.5136780094524553</v>
      </c>
      <c r="G6" s="28">
        <f ca="1">'Debt worksheet'!E5/'Profit and Loss'!E5</f>
        <v>2.4489816157133157</v>
      </c>
      <c r="H6" s="28">
        <f ca="1">'Debt worksheet'!F5/'Profit and Loss'!F5</f>
        <v>2.4305581407636998</v>
      </c>
      <c r="I6" s="28">
        <f ca="1">'Debt worksheet'!G5/'Profit and Loss'!G5</f>
        <v>2.3920372432009911</v>
      </c>
      <c r="J6" s="28">
        <f ca="1">'Debt worksheet'!H5/'Profit and Loss'!H5</f>
        <v>2.3575808594673546</v>
      </c>
      <c r="K6" s="28">
        <f ca="1">'Debt worksheet'!I5/'Profit and Loss'!I5</f>
        <v>2.3229154174991393</v>
      </c>
      <c r="L6" s="28">
        <f ca="1">'Debt worksheet'!J5/'Profit and Loss'!J5</f>
        <v>2.2965222550759825</v>
      </c>
      <c r="M6" s="28">
        <f ca="1">'Debt worksheet'!K5/'Profit and Loss'!K5</f>
        <v>2.2646370315353881</v>
      </c>
      <c r="N6" s="28">
        <f ca="1">'Debt worksheet'!L5/'Profit and Loss'!L5</f>
        <v>2.2266271244394082</v>
      </c>
      <c r="O6" s="28">
        <f ca="1">'Debt worksheet'!M5/'Profit and Loss'!M5</f>
        <v>2.2036890295863807</v>
      </c>
      <c r="P6" s="28">
        <f ca="1">'Debt worksheet'!N5/'Profit and Loss'!N5</f>
        <v>2.1853912634019079</v>
      </c>
      <c r="Q6" s="28">
        <f ca="1">'Debt worksheet'!O5/'Profit and Loss'!O5</f>
        <v>2.1711533385970432</v>
      </c>
      <c r="R6" s="28">
        <f ca="1">'Debt worksheet'!P5/'Profit and Loss'!P5</f>
        <v>2.1604222496453045</v>
      </c>
      <c r="S6" s="28">
        <f ca="1">'Debt worksheet'!Q5/'Profit and Loss'!Q5</f>
        <v>2.1526714204146362</v>
      </c>
      <c r="T6" s="28">
        <f ca="1">'Debt worksheet'!R5/'Profit and Loss'!R5</f>
        <v>2.1483926472541954</v>
      </c>
      <c r="U6" s="28">
        <f ca="1">'Debt worksheet'!S5/'Profit and Loss'!S5</f>
        <v>2.1471212580092391</v>
      </c>
      <c r="V6" s="28">
        <f ca="1">'Debt worksheet'!T5/'Profit and Loss'!T5</f>
        <v>2.1484132955898154</v>
      </c>
      <c r="W6" s="28">
        <f ca="1">'Debt worksheet'!U5/'Profit and Loss'!U5</f>
        <v>2.1518447830095004</v>
      </c>
      <c r="X6" s="28">
        <f ca="1">'Debt worksheet'!V5/'Profit and Loss'!V5</f>
        <v>2.1570110124201327</v>
      </c>
      <c r="Y6" s="28">
        <f ca="1">'Debt worksheet'!W5/'Profit and Loss'!W5</f>
        <v>2.1658146267008789</v>
      </c>
      <c r="Z6" s="28">
        <f ca="1">'Debt worksheet'!X5/'Profit and Loss'!X5</f>
        <v>2.177913866675274</v>
      </c>
      <c r="AA6" s="28">
        <f ca="1">'Debt worksheet'!Y5/'Profit and Loss'!Y5</f>
        <v>2.1929793099136869</v>
      </c>
      <c r="AB6" s="28">
        <f ca="1">'Debt worksheet'!Z5/'Profit and Loss'!Z5</f>
        <v>2.2106935184183949</v>
      </c>
      <c r="AC6" s="28">
        <f ca="1">'Debt worksheet'!AA5/'Profit and Loss'!AA5</f>
        <v>2.2307506954969512</v>
      </c>
      <c r="AD6" s="28">
        <f ca="1">'Debt worksheet'!AB5/'Profit and Loss'!AB5</f>
        <v>2.252856351594462</v>
      </c>
      <c r="AE6" s="28">
        <f ca="1">'Debt worksheet'!AC5/'Profit and Loss'!AC5</f>
        <v>2.2767269788610052</v>
      </c>
      <c r="AF6" s="28">
        <f ca="1">'Debt worksheet'!AD5/'Profit and Loss'!AD5</f>
        <v>2.3020897342358233</v>
      </c>
      <c r="AG6" s="28">
        <f ca="1">'Debt worksheet'!AE5/'Profit and Loss'!AE5</f>
        <v>2.3286821308352725</v>
      </c>
      <c r="AH6" s="28">
        <f ca="1">'Debt worksheet'!AF5/'Profit and Loss'!AF5</f>
        <v>2.3562517374366854</v>
      </c>
      <c r="AI6" s="31"/>
    </row>
    <row r="7" spans="1:35" ht="21" x14ac:dyDescent="0.5">
      <c r="A7" s="19" t="s">
        <v>38</v>
      </c>
      <c r="B7" s="26">
        <f ca="1">MIN('Price and Financial ratios'!E7:AH7)</f>
        <v>0.23714566011955882</v>
      </c>
      <c r="C7" s="26"/>
      <c r="D7" s="26"/>
      <c r="E7" s="56">
        <f ca="1">'Cash Flow'!C7/'Debt worksheet'!C5</f>
        <v>0.23714566011955882</v>
      </c>
      <c r="F7" s="32">
        <f ca="1">'Cash Flow'!D7/'Debt worksheet'!D5</f>
        <v>0.2506387698710798</v>
      </c>
      <c r="G7" s="32">
        <f ca="1">'Cash Flow'!E7/'Debt worksheet'!E5</f>
        <v>0.26630176163375652</v>
      </c>
      <c r="H7" s="32">
        <f ca="1">'Cash Flow'!F7/'Debt worksheet'!F5</f>
        <v>0.26942679494895777</v>
      </c>
      <c r="I7" s="32">
        <f ca="1">'Cash Flow'!G7/'Debt worksheet'!G5</f>
        <v>0.27604016904664569</v>
      </c>
      <c r="J7" s="32">
        <f ca="1">'Cash Flow'!H7/'Debt worksheet'!H5</f>
        <v>0.28050398574196306</v>
      </c>
      <c r="K7" s="32">
        <f ca="1">'Cash Flow'!I7/'Debt worksheet'!I5</f>
        <v>0.28439006219979135</v>
      </c>
      <c r="L7" s="32">
        <f ca="1">'Cash Flow'!J7/'Debt worksheet'!J5</f>
        <v>0.28639605906034948</v>
      </c>
      <c r="M7" s="17">
        <f ca="1">'Cash Flow'!K7/'Debt worksheet'!K5</f>
        <v>0.28959506902659432</v>
      </c>
      <c r="N7" s="17">
        <f ca="1">'Cash Flow'!L7/'Debt worksheet'!L5</f>
        <v>0.29317706918300457</v>
      </c>
      <c r="O7" s="17">
        <f ca="1">'Cash Flow'!M7/'Debt worksheet'!M5</f>
        <v>0.2937828239817219</v>
      </c>
      <c r="P7" s="17">
        <f ca="1">'Cash Flow'!N7/'Debt worksheet'!N5</f>
        <v>0.2939200736652362</v>
      </c>
      <c r="Q7" s="17">
        <f ca="1">'Cash Flow'!O7/'Debt worksheet'!O5</f>
        <v>0.29365430108191559</v>
      </c>
      <c r="R7" s="17">
        <f ca="1">'Cash Flow'!P7/'Debt worksheet'!P5</f>
        <v>0.29305366987949227</v>
      </c>
      <c r="S7" s="17">
        <f ca="1">'Cash Flow'!Q7/'Debt worksheet'!Q5</f>
        <v>0.29195949987826741</v>
      </c>
      <c r="T7" s="17">
        <f ca="1">'Cash Flow'!R7/'Debt worksheet'!R5</f>
        <v>0.29050375419593694</v>
      </c>
      <c r="U7" s="17">
        <f ca="1">'Cash Flow'!S7/'Debt worksheet'!S5</f>
        <v>0.28875429764090438</v>
      </c>
      <c r="V7" s="17">
        <f ca="1">'Cash Flow'!T7/'Debt worksheet'!T5</f>
        <v>0.28677760397702012</v>
      </c>
      <c r="W7" s="17">
        <f ca="1">'Cash Flow'!U7/'Debt worksheet'!U5</f>
        <v>0.28463753442574991</v>
      </c>
      <c r="X7" s="17">
        <f ca="1">'Cash Flow'!V7/'Debt worksheet'!V5</f>
        <v>0.28183595245152426</v>
      </c>
      <c r="Y7" s="17">
        <f ca="1">'Cash Flow'!W7/'Debt worksheet'!W5</f>
        <v>0.27863498231643619</v>
      </c>
      <c r="Z7" s="17">
        <f ca="1">'Cash Flow'!X7/'Debt worksheet'!X5</f>
        <v>0.2751004267998336</v>
      </c>
      <c r="AA7" s="17">
        <f ca="1">'Cash Flow'!Y7/'Debt worksheet'!Y5</f>
        <v>0.27129614518663053</v>
      </c>
      <c r="AB7" s="17">
        <f ca="1">'Cash Flow'!Z7/'Debt worksheet'!Z5</f>
        <v>0.2672828933509262</v>
      </c>
      <c r="AC7" s="17">
        <f ca="1">'Cash Flow'!AA7/'Debt worksheet'!AA5</f>
        <v>0.2631174648710507</v>
      </c>
      <c r="AD7" s="17">
        <f ca="1">'Cash Flow'!AB7/'Debt worksheet'!AB5</f>
        <v>0.2588521130616257</v>
      </c>
      <c r="AE7" s="17">
        <f ca="1">'Cash Flow'!AC7/'Debt worksheet'!AC5</f>
        <v>0.25453422209547738</v>
      </c>
      <c r="AF7" s="17">
        <f ca="1">'Cash Flow'!AD7/'Debt worksheet'!AD5</f>
        <v>0.25020618892479163</v>
      </c>
      <c r="AG7" s="17">
        <f ca="1">'Cash Flow'!AE7/'Debt worksheet'!AE5</f>
        <v>0.245905475585908</v>
      </c>
      <c r="AH7" s="17">
        <f ca="1">'Cash Flow'!AF7/'Debt worksheet'!AF5</f>
        <v>0.24166479261301529</v>
      </c>
      <c r="AI7" s="29"/>
    </row>
    <row r="8" spans="1:35" ht="21" x14ac:dyDescent="0.5">
      <c r="A8" s="19" t="s">
        <v>33</v>
      </c>
      <c r="B8" s="26">
        <f ca="1">MAX('Price and Financial ratios'!E8:AH8)</f>
        <v>0.34066267603362299</v>
      </c>
      <c r="C8" s="26"/>
      <c r="D8" s="176"/>
      <c r="E8" s="17">
        <f>'Balance Sheet'!B11/'Balance Sheet'!B8</f>
        <v>0.25405291755064091</v>
      </c>
      <c r="F8" s="17">
        <f ca="1">'Balance Sheet'!C11/'Balance Sheet'!C8</f>
        <v>0.30775599852498714</v>
      </c>
      <c r="G8" s="17">
        <f ca="1">'Balance Sheet'!D11/'Balance Sheet'!D8</f>
        <v>0.3290802860729215</v>
      </c>
      <c r="H8" s="17">
        <f ca="1">'Balance Sheet'!E11/'Balance Sheet'!E8</f>
        <v>0.33744230224468197</v>
      </c>
      <c r="I8" s="17">
        <f ca="1">'Balance Sheet'!F11/'Balance Sheet'!F8</f>
        <v>0.34066267603362299</v>
      </c>
      <c r="J8" s="17">
        <f ca="1">'Balance Sheet'!G11/'Balance Sheet'!G8</f>
        <v>0.33888933218812717</v>
      </c>
      <c r="K8" s="17">
        <f ca="1">'Balance Sheet'!H11/'Balance Sheet'!H8</f>
        <v>0.33462314990474701</v>
      </c>
      <c r="L8" s="17">
        <f ca="1">'Balance Sheet'!I11/'Balance Sheet'!I8</f>
        <v>0.32906612008873515</v>
      </c>
      <c r="M8" s="17">
        <f ca="1">'Balance Sheet'!J11/'Balance Sheet'!J8</f>
        <v>0.32342301308730448</v>
      </c>
      <c r="N8" s="17">
        <f ca="1">'Balance Sheet'!K11/'Balance Sheet'!K8</f>
        <v>0.31752586659256643</v>
      </c>
      <c r="O8" s="17">
        <f ca="1">'Balance Sheet'!L11/'Balance Sheet'!L8</f>
        <v>0.31176670437424914</v>
      </c>
      <c r="P8" s="17">
        <f ca="1">'Balance Sheet'!M11/'Balance Sheet'!M8</f>
        <v>0.30710676618564442</v>
      </c>
      <c r="Q8" s="17">
        <f ca="1">'Balance Sheet'!N11/'Balance Sheet'!N8</f>
        <v>0.30340782628599305</v>
      </c>
      <c r="R8" s="17">
        <f ca="1">'Balance Sheet'!O11/'Balance Sheet'!O8</f>
        <v>0.30054704522340592</v>
      </c>
      <c r="S8" s="17">
        <f ca="1">'Balance Sheet'!P11/'Balance Sheet'!P8</f>
        <v>0.29841496883796509</v>
      </c>
      <c r="T8" s="17">
        <f ca="1">'Balance Sheet'!Q11/'Balance Sheet'!Q8</f>
        <v>0.29702872704649241</v>
      </c>
      <c r="U8" s="17">
        <f ca="1">'Balance Sheet'!R11/'Balance Sheet'!R8</f>
        <v>0.29630109035551094</v>
      </c>
      <c r="V8" s="17">
        <f ca="1">'Balance Sheet'!S11/'Balance Sheet'!S8</f>
        <v>0.2961524458124164</v>
      </c>
      <c r="W8" s="17">
        <f ca="1">'Balance Sheet'!T11/'Balance Sheet'!T8</f>
        <v>0.29650969915819853</v>
      </c>
      <c r="X8" s="17">
        <f ca="1">'Balance Sheet'!U11/'Balance Sheet'!U8</f>
        <v>0.29730641205561675</v>
      </c>
      <c r="Y8" s="17">
        <f ca="1">'Balance Sheet'!V11/'Balance Sheet'!V8</f>
        <v>0.29874988984281203</v>
      </c>
      <c r="Z8" s="17">
        <f ca="1">'Balance Sheet'!W11/'Balance Sheet'!W8</f>
        <v>0.30078863850767223</v>
      </c>
      <c r="AA8" s="17">
        <f ca="1">'Balance Sheet'!X11/'Balance Sheet'!X8</f>
        <v>0.30337448209126971</v>
      </c>
      <c r="AB8" s="17">
        <f ca="1">'Balance Sheet'!Y11/'Balance Sheet'!Y8</f>
        <v>0.30646217050470542</v>
      </c>
      <c r="AC8" s="17">
        <f ca="1">'Balance Sheet'!Z11/'Balance Sheet'!Z8</f>
        <v>0.31000903675618596</v>
      </c>
      <c r="AD8" s="17">
        <f ca="1">'Balance Sheet'!AA11/'Balance Sheet'!AA8</f>
        <v>0.31397469643888415</v>
      </c>
      <c r="AE8" s="17">
        <f ca="1">'Balance Sheet'!AB11/'Balance Sheet'!AB8</f>
        <v>0.31832078348823523</v>
      </c>
      <c r="AF8" s="17">
        <f ca="1">'Balance Sheet'!AC11/'Balance Sheet'!AC8</f>
        <v>0.32301071716849244</v>
      </c>
      <c r="AG8" s="17">
        <f ca="1">'Balance Sheet'!AD11/'Balance Sheet'!AD8</f>
        <v>0.32800949603289892</v>
      </c>
      <c r="AH8" s="17">
        <f ca="1">'Balance Sheet'!AE11/'Balance Sheet'!AE8</f>
        <v>0.33328351525153643</v>
      </c>
      <c r="AI8" s="29"/>
    </row>
    <row r="9" spans="1:35" ht="21.5" thickBot="1" x14ac:dyDescent="0.55000000000000004">
      <c r="A9" s="20" t="s">
        <v>32</v>
      </c>
      <c r="B9" s="21">
        <f ca="1">MIN('Price and Financial ratios'!E9:AH9)</f>
        <v>6.5299153323553929</v>
      </c>
      <c r="C9" s="21"/>
      <c r="D9" s="177"/>
      <c r="E9" s="21">
        <f ca="1">('Cash Flow'!C7+'Profit and Loss'!C8)/('Profit and Loss'!C8)</f>
        <v>6.5299153323553929</v>
      </c>
      <c r="F9" s="21">
        <f ca="1">('Cash Flow'!D7+'Profit and Loss'!D8)/('Profit and Loss'!D8)</f>
        <v>7.258796505267453</v>
      </c>
      <c r="G9" s="21">
        <f ca="1">('Cash Flow'!E7+'Profit and Loss'!E8)/('Profit and Loss'!E8)</f>
        <v>7.9509808999714187</v>
      </c>
      <c r="H9" s="21">
        <f ca="1">('Cash Flow'!F7+'Profit and Loss'!F8)/('Profit and Loss'!F8)</f>
        <v>8.1583245462544358</v>
      </c>
      <c r="I9" s="21">
        <f ca="1">('Cash Flow'!G7+'Profit and Loss'!G8)/('Profit and Loss'!G8)</f>
        <v>8.4627797836343497</v>
      </c>
      <c r="J9" s="21">
        <f ca="1">('Cash Flow'!H7+'Profit and Loss'!H8)/('Profit and Loss'!H8)</f>
        <v>8.658702473472685</v>
      </c>
      <c r="K9" s="21">
        <f ca="1">('Cash Flow'!I7+'Profit and Loss'!I8)/('Profit and Loss'!I8)</f>
        <v>8.813690953844846</v>
      </c>
      <c r="L9" s="21">
        <f ca="1">('Cash Flow'!J7+'Profit and Loss'!J8)/('Profit and Loss'!J8)</f>
        <v>8.8889311745282455</v>
      </c>
      <c r="M9" s="21">
        <f ca="1">('Cash Flow'!K7+'Profit and Loss'!K8)/('Profit and Loss'!K8)</f>
        <v>9.0005777116552537</v>
      </c>
      <c r="N9" s="21">
        <f ca="1">('Cash Flow'!L7+'Profit and Loss'!L8)/('Profit and Loss'!L8)</f>
        <v>9.1094721995566328</v>
      </c>
      <c r="O9" s="21">
        <f ca="1">('Cash Flow'!M7+'Profit and Loss'!M8)/('Profit and Loss'!M8)</f>
        <v>9.1098517070536342</v>
      </c>
      <c r="P9" s="21">
        <f ca="1">('Cash Flow'!N7+'Profit and Loss'!N8)/('Profit and Loss'!N8)</f>
        <v>9.0990365391312089</v>
      </c>
      <c r="Q9" s="21">
        <f ca="1">('Cash Flow'!O7+'Profit and Loss'!O8)/('Profit and Loss'!O8)</f>
        <v>9.0789259294874185</v>
      </c>
      <c r="R9" s="21">
        <f ca="1">('Cash Flow'!P7+'Profit and Loss'!P8)/('Profit and Loss'!P8)</f>
        <v>9.0514382296888645</v>
      </c>
      <c r="S9" s="21">
        <f ca="1">('Cash Flow'!Q7+'Profit and Loss'!Q8)/('Profit and Loss'!Q8)</f>
        <v>9.0085170294483294</v>
      </c>
      <c r="T9" s="21">
        <f ca="1">('Cash Flow'!R7+'Profit and Loss'!R8)/('Profit and Loss'!R8)</f>
        <v>8.9574558819523791</v>
      </c>
      <c r="U9" s="21">
        <f ca="1">('Cash Flow'!S7+'Profit and Loss'!S8)/('Profit and Loss'!S8)</f>
        <v>8.9001002397475393</v>
      </c>
      <c r="V9" s="21">
        <f ca="1">('Cash Flow'!T7+'Profit and Loss'!T8)/('Profit and Loss'!T8)</f>
        <v>8.8382213986552358</v>
      </c>
      <c r="W9" s="21">
        <f ca="1">('Cash Flow'!U7+'Profit and Loss'!U8)/('Profit and Loss'!U8)</f>
        <v>8.7734919427403852</v>
      </c>
      <c r="X9" s="21">
        <f ca="1">('Cash Flow'!V7+'Profit and Loss'!V8)/('Profit and Loss'!V8)</f>
        <v>8.6840976958029898</v>
      </c>
      <c r="Y9" s="21">
        <f ca="1">('Cash Flow'!W7+'Profit and Loss'!W8)/('Profit and Loss'!W8)</f>
        <v>8.5854548507788522</v>
      </c>
      <c r="Z9" s="21">
        <f ca="1">('Cash Flow'!X7+'Profit and Loss'!X8)/('Profit and Loss'!X8)</f>
        <v>8.4793323980934154</v>
      </c>
      <c r="AA9" s="21">
        <f ca="1">('Cash Flow'!Y7+'Profit and Loss'!Y8)/('Profit and Loss'!Y8)</f>
        <v>8.3674131346867622</v>
      </c>
      <c r="AB9" s="21">
        <f ca="1">('Cash Flow'!Z7+'Profit and Loss'!Z8)/('Profit and Loss'!Z8)</f>
        <v>8.2512698859426798</v>
      </c>
      <c r="AC9" s="21">
        <f ca="1">('Cash Flow'!AA7+'Profit and Loss'!AA8)/('Profit and Loss'!AA8)</f>
        <v>8.1323495116858595</v>
      </c>
      <c r="AD9" s="21">
        <f ca="1">('Cash Flow'!AB7+'Profit and Loss'!AB8)/('Profit and Loss'!AB8)</f>
        <v>8.0119638132057442</v>
      </c>
      <c r="AE9" s="21">
        <f ca="1">('Cash Flow'!AC7+'Profit and Loss'!AC8)/('Profit and Loss'!AC8)</f>
        <v>7.8912862794677681</v>
      </c>
      <c r="AF9" s="21">
        <f ca="1">('Cash Flow'!AD7+'Profit and Loss'!AD8)/('Profit and Loss'!AD8)</f>
        <v>7.7713535520661186</v>
      </c>
      <c r="AG9" s="21">
        <f ca="1">('Cash Flow'!AE7+'Profit and Loss'!AE8)/('Profit and Loss'!AE8)</f>
        <v>7.653070520320532</v>
      </c>
      <c r="AH9" s="21">
        <f ca="1">('Cash Flow'!AF7+'Profit and Loss'!AF8)/('Profit and Loss'!AF8)</f>
        <v>7.537218050996831</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159</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473909738.36845905</v>
      </c>
      <c r="D5" s="1">
        <f>Assumptions!E111</f>
        <v>473909738.36845905</v>
      </c>
      <c r="E5" s="1">
        <f>Assumptions!F111</f>
        <v>473909738.36845905</v>
      </c>
      <c r="F5" s="1">
        <f>Assumptions!G111</f>
        <v>473909738.36845905</v>
      </c>
      <c r="G5" s="1">
        <f>Assumptions!H111</f>
        <v>473909738.36845905</v>
      </c>
      <c r="H5" s="1">
        <f>Assumptions!I111</f>
        <v>473909738.36845905</v>
      </c>
      <c r="I5" s="1">
        <f>Assumptions!J111</f>
        <v>473909738.36845905</v>
      </c>
      <c r="J5" s="1">
        <f>Assumptions!K111</f>
        <v>473909738.36845905</v>
      </c>
      <c r="K5" s="1">
        <f>Assumptions!L111</f>
        <v>473909738.36845905</v>
      </c>
      <c r="L5" s="1">
        <f>Assumptions!M111</f>
        <v>473909738.36845905</v>
      </c>
      <c r="M5" s="1">
        <f>Assumptions!N111</f>
        <v>473909738.36845905</v>
      </c>
      <c r="N5" s="1">
        <f>Assumptions!O111</f>
        <v>473909738.36845905</v>
      </c>
      <c r="O5" s="1">
        <f>Assumptions!P111</f>
        <v>473909738.36845905</v>
      </c>
      <c r="P5" s="1">
        <f>Assumptions!Q111</f>
        <v>473909738.36845905</v>
      </c>
      <c r="Q5" s="1">
        <f>Assumptions!R111</f>
        <v>473909738.36845905</v>
      </c>
      <c r="R5" s="1">
        <f>Assumptions!S111</f>
        <v>473909738.36845905</v>
      </c>
      <c r="S5" s="1">
        <f>Assumptions!T111</f>
        <v>473909738.36845905</v>
      </c>
      <c r="T5" s="1">
        <f>Assumptions!U111</f>
        <v>473909738.36845905</v>
      </c>
      <c r="U5" s="1">
        <f>Assumptions!V111</f>
        <v>473909738.36845905</v>
      </c>
      <c r="V5" s="1">
        <f>Assumptions!W111</f>
        <v>473909738.36845905</v>
      </c>
      <c r="W5" s="1">
        <f>Assumptions!X111</f>
        <v>473909738.36845905</v>
      </c>
      <c r="X5" s="1">
        <f>Assumptions!Y111</f>
        <v>473909738.36845905</v>
      </c>
      <c r="Y5" s="1">
        <f>Assumptions!Z111</f>
        <v>473909738.36845905</v>
      </c>
      <c r="Z5" s="1">
        <f>Assumptions!AA111</f>
        <v>473909738.36845905</v>
      </c>
      <c r="AA5" s="1">
        <f>Assumptions!AB111</f>
        <v>473909738.36845905</v>
      </c>
      <c r="AB5" s="1">
        <f>Assumptions!AC111</f>
        <v>473909738.36845905</v>
      </c>
      <c r="AC5" s="1">
        <f>Assumptions!AD111</f>
        <v>473909738.36845905</v>
      </c>
      <c r="AD5" s="1">
        <f>Assumptions!AE111</f>
        <v>473909738.36845905</v>
      </c>
      <c r="AE5" s="1">
        <f>Assumptions!AF111</f>
        <v>473909738.36845905</v>
      </c>
      <c r="AF5" s="1">
        <f>Assumptions!AG111</f>
        <v>473909738.36845905</v>
      </c>
    </row>
    <row r="6" spans="1:32" x14ac:dyDescent="0.35">
      <c r="A6" t="s">
        <v>68</v>
      </c>
      <c r="C6" s="1">
        <f>Assumptions!D113</f>
        <v>772295807.54154909</v>
      </c>
      <c r="D6" s="1">
        <f>Assumptions!E113</f>
        <v>772295807.54154909</v>
      </c>
      <c r="E6" s="1">
        <f>Assumptions!F113</f>
        <v>772295807.54154909</v>
      </c>
      <c r="F6" s="1">
        <f>Assumptions!G113</f>
        <v>772295807.54154909</v>
      </c>
      <c r="G6" s="1">
        <f>Assumptions!H113</f>
        <v>772295807.54154909</v>
      </c>
      <c r="H6" s="1">
        <f>Assumptions!I113</f>
        <v>772295807.54154909</v>
      </c>
      <c r="I6" s="1">
        <f>Assumptions!J113</f>
        <v>772295807.54154909</v>
      </c>
      <c r="J6" s="1">
        <f>Assumptions!K113</f>
        <v>772295807.54154909</v>
      </c>
      <c r="K6" s="1">
        <f>Assumptions!L113</f>
        <v>772295807.54154909</v>
      </c>
      <c r="L6" s="1">
        <f>Assumptions!M113</f>
        <v>772295807.54154909</v>
      </c>
      <c r="M6" s="1">
        <f>Assumptions!N113</f>
        <v>772295807.54154909</v>
      </c>
      <c r="N6" s="1">
        <f>Assumptions!O113</f>
        <v>772295807.54154909</v>
      </c>
      <c r="O6" s="1">
        <f>Assumptions!P113</f>
        <v>772295807.54154909</v>
      </c>
      <c r="P6" s="1">
        <f>Assumptions!Q113</f>
        <v>772295807.54154909</v>
      </c>
      <c r="Q6" s="1">
        <f>Assumptions!R113</f>
        <v>772295807.54154909</v>
      </c>
      <c r="R6" s="1">
        <f>Assumptions!S113</f>
        <v>772295807.54154909</v>
      </c>
      <c r="S6" s="1">
        <f>Assumptions!T113</f>
        <v>772295807.54154909</v>
      </c>
      <c r="T6" s="1">
        <f>Assumptions!U113</f>
        <v>772295807.54154909</v>
      </c>
      <c r="U6" s="1">
        <f>Assumptions!V113</f>
        <v>772295807.54154909</v>
      </c>
      <c r="V6" s="1">
        <f>Assumptions!W113</f>
        <v>772295807.54154909</v>
      </c>
      <c r="W6" s="1">
        <f>Assumptions!X113</f>
        <v>772295807.54154909</v>
      </c>
      <c r="X6" s="1">
        <f>Assumptions!Y113</f>
        <v>772295807.54154909</v>
      </c>
      <c r="Y6" s="1">
        <f>Assumptions!Z113</f>
        <v>772295807.54154909</v>
      </c>
      <c r="Z6" s="1">
        <f>Assumptions!AA113</f>
        <v>772295807.54154909</v>
      </c>
      <c r="AA6" s="1">
        <f>Assumptions!AB113</f>
        <v>772295807.54154909</v>
      </c>
      <c r="AB6" s="1">
        <f>Assumptions!AC113</f>
        <v>772295807.54154909</v>
      </c>
      <c r="AC6" s="1">
        <f>Assumptions!AD113</f>
        <v>772295807.54154909</v>
      </c>
      <c r="AD6" s="1">
        <f>Assumptions!AE113</f>
        <v>772295807.54154909</v>
      </c>
      <c r="AE6" s="1">
        <f>Assumptions!AF113</f>
        <v>772295807.54154909</v>
      </c>
      <c r="AF6" s="1">
        <f>Assumptions!AG113</f>
        <v>772295807.54154909</v>
      </c>
    </row>
    <row r="7" spans="1:32" x14ac:dyDescent="0.35">
      <c r="A7" t="s">
        <v>73</v>
      </c>
      <c r="C7" s="1">
        <f>Assumptions!D120</f>
        <v>17306212.046433169</v>
      </c>
      <c r="D7" s="1">
        <f>Assumptions!E120</f>
        <v>34612424.092866339</v>
      </c>
      <c r="E7" s="1">
        <f>Assumptions!F120</f>
        <v>51918636.139299512</v>
      </c>
      <c r="F7" s="1">
        <f>Assumptions!G120</f>
        <v>69224848.185732678</v>
      </c>
      <c r="G7" s="1">
        <f>Assumptions!H120</f>
        <v>86323385.687608644</v>
      </c>
      <c r="H7" s="1">
        <f>Assumptions!I120</f>
        <v>103216740.73946209</v>
      </c>
      <c r="I7" s="1">
        <f>Assumptions!J120</f>
        <v>119907375.53069332</v>
      </c>
      <c r="J7" s="1">
        <f>Assumptions!K120</f>
        <v>136397722.70442975</v>
      </c>
      <c r="K7" s="1">
        <f>Assumptions!L120</f>
        <v>152690185.71208137</v>
      </c>
      <c r="L7" s="1">
        <f>Assumptions!M120</f>
        <v>168901186.40469471</v>
      </c>
      <c r="M7" s="1">
        <f>Assumptions!N120</f>
        <v>185031132.09384498</v>
      </c>
      <c r="N7" s="1">
        <f>Assumptions!O120</f>
        <v>201080428.05454955</v>
      </c>
      <c r="O7" s="1">
        <f>Assumptions!P120</f>
        <v>217049477.53545055</v>
      </c>
      <c r="P7" s="1">
        <f>Assumptions!Q120</f>
        <v>232938681.76894706</v>
      </c>
      <c r="Q7" s="1">
        <f>Assumptions!R120</f>
        <v>248772273.78762633</v>
      </c>
      <c r="R7" s="1">
        <f>Assumptions!S120</f>
        <v>264550448.2342402</v>
      </c>
      <c r="S7" s="1">
        <f>Assumptions!T120</f>
        <v>280273399.07029092</v>
      </c>
      <c r="T7" s="1">
        <f>Assumptions!U120</f>
        <v>295941319.57841551</v>
      </c>
      <c r="U7" s="1">
        <f>Assumptions!V120</f>
        <v>311554402.36476165</v>
      </c>
      <c r="V7" s="1">
        <f>Assumptions!W120</f>
        <v>327167485.15110773</v>
      </c>
      <c r="W7" s="1">
        <f>Assumptions!X120</f>
        <v>342780567.93745387</v>
      </c>
      <c r="X7" s="1">
        <f>Assumptions!Y120</f>
        <v>358393650.72379994</v>
      </c>
      <c r="Y7" s="1">
        <f>Assumptions!Z120</f>
        <v>374006733.51014608</v>
      </c>
      <c r="Z7" s="1">
        <f>Assumptions!AA120</f>
        <v>389619816.29649222</v>
      </c>
      <c r="AA7" s="1">
        <f>Assumptions!AB120</f>
        <v>405232899.08283836</v>
      </c>
      <c r="AB7" s="1">
        <f>Assumptions!AC120</f>
        <v>420845981.86918443</v>
      </c>
      <c r="AC7" s="1">
        <f>Assumptions!AD120</f>
        <v>436459064.65553057</v>
      </c>
      <c r="AD7" s="1">
        <f>Assumptions!AE120</f>
        <v>452072147.44187665</v>
      </c>
      <c r="AE7" s="1">
        <f>Assumptions!AF120</f>
        <v>467685230.22822273</v>
      </c>
      <c r="AF7" s="1">
        <f>Assumptions!AG120</f>
        <v>483298313.01456887</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489074849.99624974</v>
      </c>
      <c r="D11" s="1">
        <f>D5*D$9</f>
        <v>504725245.19612974</v>
      </c>
      <c r="E11" s="1">
        <f t="shared" ref="D11:AF13" si="1">E5*E$9</f>
        <v>520876453.04240584</v>
      </c>
      <c r="F11" s="1">
        <f t="shared" si="1"/>
        <v>537544499.53976285</v>
      </c>
      <c r="G11" s="1">
        <f t="shared" si="1"/>
        <v>554745923.52503526</v>
      </c>
      <c r="H11" s="1">
        <f t="shared" si="1"/>
        <v>572497793.07783639</v>
      </c>
      <c r="I11" s="1">
        <f t="shared" si="1"/>
        <v>590817722.45632708</v>
      </c>
      <c r="J11" s="1">
        <f t="shared" si="1"/>
        <v>609723889.57492959</v>
      </c>
      <c r="K11" s="1">
        <f t="shared" si="1"/>
        <v>629235054.04132736</v>
      </c>
      <c r="L11" s="1">
        <f t="shared" si="1"/>
        <v>649370575.77064979</v>
      </c>
      <c r="M11" s="1">
        <f t="shared" si="1"/>
        <v>670150434.19531059</v>
      </c>
      <c r="N11" s="1">
        <f t="shared" si="1"/>
        <v>691595248.08956051</v>
      </c>
      <c r="O11" s="1">
        <f t="shared" si="1"/>
        <v>713726296.02842653</v>
      </c>
      <c r="P11" s="1">
        <f t="shared" si="1"/>
        <v>736565537.5013361</v>
      </c>
      <c r="Q11" s="1">
        <f t="shared" si="1"/>
        <v>760135634.7013787</v>
      </c>
      <c r="R11" s="1">
        <f t="shared" si="1"/>
        <v>784459975.01182294</v>
      </c>
      <c r="S11" s="1">
        <f t="shared" si="1"/>
        <v>809562694.21220136</v>
      </c>
      <c r="T11" s="1">
        <f t="shared" si="1"/>
        <v>835468700.4269917</v>
      </c>
      <c r="U11" s="1">
        <f t="shared" si="1"/>
        <v>862203698.84065533</v>
      </c>
      <c r="V11" s="1">
        <f t="shared" si="1"/>
        <v>889794217.20355642</v>
      </c>
      <c r="W11" s="1">
        <f t="shared" si="1"/>
        <v>918267632.15407038</v>
      </c>
      <c r="X11" s="1">
        <f t="shared" si="1"/>
        <v>947652196.38300049</v>
      </c>
      <c r="Y11" s="1">
        <f t="shared" si="1"/>
        <v>977977066.66725636</v>
      </c>
      <c r="Z11" s="1">
        <f t="shared" si="1"/>
        <v>1009272332.8006086</v>
      </c>
      <c r="AA11" s="1">
        <f t="shared" si="1"/>
        <v>1041569047.4502283</v>
      </c>
      <c r="AB11" s="1">
        <f t="shared" si="1"/>
        <v>1074899256.9686353</v>
      </c>
      <c r="AC11" s="1">
        <f t="shared" si="1"/>
        <v>1109296033.1916316</v>
      </c>
      <c r="AD11" s="1">
        <f t="shared" si="1"/>
        <v>1144793506.2537642</v>
      </c>
      <c r="AE11" s="1">
        <f t="shared" si="1"/>
        <v>1181426898.4538844</v>
      </c>
      <c r="AF11" s="1">
        <f t="shared" si="1"/>
        <v>1219232559.2044086</v>
      </c>
    </row>
    <row r="12" spans="1:32" x14ac:dyDescent="0.35">
      <c r="A12" t="s">
        <v>71</v>
      </c>
      <c r="C12" s="1">
        <f t="shared" ref="C12:R12" si="2">C6*C$9</f>
        <v>797009273.38287866</v>
      </c>
      <c r="D12" s="1">
        <f t="shared" si="2"/>
        <v>822513570.1311307</v>
      </c>
      <c r="E12" s="1">
        <f t="shared" si="2"/>
        <v>848834004.37532687</v>
      </c>
      <c r="F12" s="1">
        <f t="shared" si="2"/>
        <v>875996692.51533735</v>
      </c>
      <c r="G12" s="1">
        <f t="shared" si="2"/>
        <v>904028586.67582822</v>
      </c>
      <c r="H12" s="1">
        <f t="shared" si="2"/>
        <v>932957501.44945467</v>
      </c>
      <c r="I12" s="1">
        <f t="shared" si="2"/>
        <v>962812141.49583709</v>
      </c>
      <c r="J12" s="1">
        <f t="shared" si="2"/>
        <v>993622130.02370393</v>
      </c>
      <c r="K12" s="1">
        <f t="shared" si="2"/>
        <v>1025418038.1844625</v>
      </c>
      <c r="L12" s="1">
        <f t="shared" si="2"/>
        <v>1058231415.4063653</v>
      </c>
      <c r="M12" s="1">
        <f t="shared" si="2"/>
        <v>1092094820.699369</v>
      </c>
      <c r="N12" s="1">
        <f t="shared" si="2"/>
        <v>1127041854.9617488</v>
      </c>
      <c r="O12" s="1">
        <f t="shared" si="2"/>
        <v>1163107194.3205249</v>
      </c>
      <c r="P12" s="1">
        <f t="shared" si="2"/>
        <v>1200326624.5387814</v>
      </c>
      <c r="Q12" s="1">
        <f t="shared" si="2"/>
        <v>1238737076.5240221</v>
      </c>
      <c r="R12" s="1">
        <f t="shared" si="2"/>
        <v>1278376662.9727912</v>
      </c>
      <c r="S12" s="1">
        <f t="shared" si="1"/>
        <v>1319284716.1879206</v>
      </c>
      <c r="T12" s="1">
        <f t="shared" si="1"/>
        <v>1361501827.1059339</v>
      </c>
      <c r="U12" s="1">
        <f t="shared" si="1"/>
        <v>1405069885.5733237</v>
      </c>
      <c r="V12" s="1">
        <f t="shared" si="1"/>
        <v>1450032121.9116702</v>
      </c>
      <c r="W12" s="1">
        <f t="shared" si="1"/>
        <v>1496433149.8128438</v>
      </c>
      <c r="X12" s="1">
        <f t="shared" si="1"/>
        <v>1544319010.6068547</v>
      </c>
      <c r="Y12" s="1">
        <f t="shared" si="1"/>
        <v>1593737218.9462738</v>
      </c>
      <c r="Z12" s="1">
        <f t="shared" si="1"/>
        <v>1644736809.9525545</v>
      </c>
      <c r="AA12" s="1">
        <f t="shared" si="1"/>
        <v>1697368387.8710368</v>
      </c>
      <c r="AB12" s="1">
        <f t="shared" si="1"/>
        <v>1751684176.2829096</v>
      </c>
      <c r="AC12" s="1">
        <f t="shared" si="1"/>
        <v>1807738069.9239626</v>
      </c>
      <c r="AD12" s="1">
        <f t="shared" si="1"/>
        <v>1865585688.1615295</v>
      </c>
      <c r="AE12" s="1">
        <f t="shared" si="1"/>
        <v>1925284430.1826985</v>
      </c>
      <c r="AF12" s="1">
        <f t="shared" si="1"/>
        <v>1986893531.9485445</v>
      </c>
    </row>
    <row r="13" spans="1:32" x14ac:dyDescent="0.35">
      <c r="A13" t="s">
        <v>74</v>
      </c>
      <c r="C13" s="1">
        <f>C7*C$9</f>
        <v>17860010.831919033</v>
      </c>
      <c r="D13" s="1">
        <f t="shared" si="1"/>
        <v>36863062.357080877</v>
      </c>
      <c r="E13" s="1">
        <f t="shared" si="1"/>
        <v>57064020.528761201</v>
      </c>
      <c r="F13" s="1">
        <f t="shared" si="1"/>
        <v>78520092.247575402</v>
      </c>
      <c r="G13" s="1">
        <f t="shared" si="1"/>
        <v>101047820.79377379</v>
      </c>
      <c r="H13" s="1">
        <f t="shared" si="1"/>
        <v>124689052.5724678</v>
      </c>
      <c r="I13" s="1">
        <f t="shared" si="1"/>
        <v>149487121.2409648</v>
      </c>
      <c r="J13" s="1">
        <f t="shared" si="1"/>
        <v>175486898.2072866</v>
      </c>
      <c r="K13" s="1">
        <f t="shared" si="1"/>
        <v>202734844.80165365</v>
      </c>
      <c r="L13" s="1">
        <f t="shared" si="1"/>
        <v>231435338.38650095</v>
      </c>
      <c r="M13" s="1">
        <f t="shared" si="1"/>
        <v>261650444.1103774</v>
      </c>
      <c r="N13" s="1">
        <f t="shared" si="1"/>
        <v>293444631.47161347</v>
      </c>
      <c r="O13" s="1">
        <f t="shared" si="1"/>
        <v>326884862.48374707</v>
      </c>
      <c r="P13" s="1">
        <f t="shared" si="1"/>
        <v>362040682.96355623</v>
      </c>
      <c r="Q13" s="1">
        <f t="shared" si="1"/>
        <v>399022545.69126201</v>
      </c>
      <c r="R13" s="1">
        <f t="shared" si="1"/>
        <v>437908785.59631366</v>
      </c>
      <c r="S13" s="1">
        <f t="shared" si="1"/>
        <v>478780809.29188484</v>
      </c>
      <c r="T13" s="1">
        <f t="shared" si="1"/>
        <v>521723209.40700781</v>
      </c>
      <c r="U13" s="1">
        <f t="shared" si="1"/>
        <v>566823883.03262913</v>
      </c>
      <c r="V13" s="1">
        <f t="shared" si="1"/>
        <v>614276755.20385754</v>
      </c>
      <c r="W13" s="1">
        <f t="shared" si="1"/>
        <v>664186183.53781915</v>
      </c>
      <c r="X13" s="1">
        <f t="shared" si="1"/>
        <v>716660795.88782537</v>
      </c>
      <c r="Y13" s="1">
        <f t="shared" si="1"/>
        <v>771813656.77628934</v>
      </c>
      <c r="Z13" s="1">
        <f t="shared" si="1"/>
        <v>829762440.10662591</v>
      </c>
      <c r="AA13" s="1">
        <f t="shared" si="1"/>
        <v>890629608.3855654</v>
      </c>
      <c r="AB13" s="1">
        <f t="shared" si="1"/>
        <v>954542598.69568729</v>
      </c>
      <c r="AC13" s="1">
        <f t="shared" si="1"/>
        <v>1021634015.6666703</v>
      </c>
      <c r="AD13" s="1">
        <f t="shared" si="1"/>
        <v>1092041831.7027321</v>
      </c>
      <c r="AE13" s="1">
        <f t="shared" si="1"/>
        <v>1165909594.7330589</v>
      </c>
      <c r="AF13" s="1">
        <f t="shared" si="1"/>
        <v>1243386643.761663</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0.98799999999999999</v>
      </c>
      <c r="H15" s="38">
        <f>Assumptions!I44</f>
        <v>0.97614400000000001</v>
      </c>
      <c r="I15" s="38">
        <f>Assumptions!J44</f>
        <v>0.96443027199999998</v>
      </c>
      <c r="J15" s="38">
        <f>Assumptions!K44</f>
        <v>0.95285710873599994</v>
      </c>
      <c r="K15" s="38">
        <f>Assumptions!L44</f>
        <v>0.9414228234311679</v>
      </c>
      <c r="L15" s="38">
        <f>Assumptions!M44</f>
        <v>0.93671570931401205</v>
      </c>
      <c r="M15" s="38">
        <f>Assumptions!N44</f>
        <v>0.93203213076744196</v>
      </c>
      <c r="N15" s="38">
        <f>Assumptions!O44</f>
        <v>0.92737197011360473</v>
      </c>
      <c r="O15" s="38">
        <f>Assumptions!P44</f>
        <v>0.92273511026303667</v>
      </c>
      <c r="P15" s="38">
        <f>Assumptions!Q44</f>
        <v>0.91812143471172147</v>
      </c>
      <c r="Q15" s="38">
        <f>Assumptions!R44</f>
        <v>0.91490800969023045</v>
      </c>
      <c r="R15" s="38">
        <f>Assumptions!S44</f>
        <v>0.91170583165631469</v>
      </c>
      <c r="S15" s="38">
        <f>Assumptions!T44</f>
        <v>0.90851486124551761</v>
      </c>
      <c r="T15" s="38">
        <f>Assumptions!U44</f>
        <v>0.90533505923115831</v>
      </c>
      <c r="U15" s="38">
        <f>Assumptions!V44</f>
        <v>0.90216638652384928</v>
      </c>
      <c r="V15" s="38">
        <f>Assumptions!W44</f>
        <v>0.90216638652384928</v>
      </c>
      <c r="W15" s="38">
        <f>Assumptions!X44</f>
        <v>0.90216638652384928</v>
      </c>
      <c r="X15" s="38">
        <f>Assumptions!Y44</f>
        <v>0.90216638652384928</v>
      </c>
      <c r="Y15" s="38">
        <f>Assumptions!Z44</f>
        <v>0.90216638652384928</v>
      </c>
      <c r="Z15" s="38">
        <f>Assumptions!AA44</f>
        <v>0.90216638652384928</v>
      </c>
      <c r="AA15" s="38">
        <f>Assumptions!AB44</f>
        <v>0.90216638652384928</v>
      </c>
      <c r="AB15" s="38">
        <f>Assumptions!AC44</f>
        <v>0.90216638652384928</v>
      </c>
      <c r="AC15" s="38">
        <f>Assumptions!AD44</f>
        <v>0.90216638652384928</v>
      </c>
      <c r="AD15" s="38">
        <f>Assumptions!AE44</f>
        <v>0.90216638652384928</v>
      </c>
      <c r="AE15" s="38">
        <f>Assumptions!AF44</f>
        <v>0.90216638652384928</v>
      </c>
      <c r="AF15" s="38">
        <f>Assumptions!AG44</f>
        <v>0.90216638652384928</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-10848343.040109992</v>
      </c>
      <c r="H20" s="1">
        <f t="shared" si="4"/>
        <v>-22256634.154578209</v>
      </c>
      <c r="I20" s="1">
        <f t="shared" si="4"/>
        <v>-34246965.988104463</v>
      </c>
      <c r="J20" s="1">
        <f t="shared" si="4"/>
        <v>-46842220.033211589</v>
      </c>
      <c r="K20" s="1">
        <f t="shared" si="4"/>
        <v>-60066093.479596734</v>
      </c>
      <c r="L20" s="1">
        <f t="shared" si="4"/>
        <v>-66969424.505620837</v>
      </c>
      <c r="M20" s="1">
        <f t="shared" si="4"/>
        <v>-74227357.962848663</v>
      </c>
      <c r="N20" s="1">
        <f t="shared" si="4"/>
        <v>-81854829.525380254</v>
      </c>
      <c r="O20" s="1">
        <f t="shared" si="4"/>
        <v>-89867349.121444106</v>
      </c>
      <c r="P20" s="1">
        <f t="shared" si="4"/>
        <v>-98281021.894557714</v>
      </c>
      <c r="Q20" s="1">
        <f t="shared" si="4"/>
        <v>-105406603.31193423</v>
      </c>
      <c r="R20" s="1">
        <f t="shared" si="4"/>
        <v>-112873204.28715825</v>
      </c>
      <c r="S20" s="1">
        <f t="shared" si="4"/>
        <v>-120694945.31711984</v>
      </c>
      <c r="T20" s="1">
        <f t="shared" si="4"/>
        <v>-128886489.81965303</v>
      </c>
      <c r="U20" s="1">
        <f t="shared" si="4"/>
        <v>-137463064.09215999</v>
      </c>
      <c r="V20" s="1">
        <f t="shared" si="4"/>
        <v>-141861882.14310908</v>
      </c>
      <c r="W20" s="1">
        <f t="shared" si="4"/>
        <v>-146401462.3716886</v>
      </c>
      <c r="X20" s="1">
        <f t="shared" si="4"/>
        <v>-151086309.16758251</v>
      </c>
      <c r="Y20" s="1">
        <f t="shared" si="4"/>
        <v>-155921071.06094503</v>
      </c>
      <c r="Z20" s="1">
        <f t="shared" si="4"/>
        <v>-160910545.33489537</v>
      </c>
      <c r="AA20" s="1">
        <f t="shared" si="4"/>
        <v>-166059682.78561211</v>
      </c>
      <c r="AB20" s="1">
        <f t="shared" si="4"/>
        <v>-171373592.63475156</v>
      </c>
      <c r="AC20" s="1">
        <f t="shared" si="4"/>
        <v>-176857547.59906363</v>
      </c>
      <c r="AD20" s="1">
        <f t="shared" si="4"/>
        <v>-182516989.12223363</v>
      </c>
      <c r="AE20" s="1">
        <f t="shared" si="4"/>
        <v>-188357532.77414513</v>
      </c>
      <c r="AF20" s="1">
        <f t="shared" si="4"/>
        <v>-194384973.8229177</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1303944134.2110474</v>
      </c>
      <c r="D25" s="40">
        <f>SUM(D11:D13,D18:D23)</f>
        <v>1364101877.6843414</v>
      </c>
      <c r="E25" s="40">
        <f t="shared" ref="E25:AF25" si="7">SUM(E11:E13,E18:E23)</f>
        <v>1426774477.9464939</v>
      </c>
      <c r="F25" s="40">
        <f t="shared" si="7"/>
        <v>1492061284.3026757</v>
      </c>
      <c r="G25" s="40">
        <f t="shared" si="7"/>
        <v>1548973987.9545274</v>
      </c>
      <c r="H25" s="40">
        <f t="shared" si="7"/>
        <v>1607887712.9451807</v>
      </c>
      <c r="I25" s="40">
        <f t="shared" si="7"/>
        <v>1668870019.2050247</v>
      </c>
      <c r="J25" s="40">
        <f t="shared" si="7"/>
        <v>1731990697.7727084</v>
      </c>
      <c r="K25" s="40">
        <f t="shared" si="7"/>
        <v>1797321843.5478468</v>
      </c>
      <c r="L25" s="40">
        <f t="shared" si="7"/>
        <v>1872067905.0578952</v>
      </c>
      <c r="M25" s="40">
        <f t="shared" si="7"/>
        <v>1949668341.0422082</v>
      </c>
      <c r="N25" s="40">
        <f t="shared" si="7"/>
        <v>2030226904.9975424</v>
      </c>
      <c r="O25" s="40">
        <f t="shared" si="7"/>
        <v>2113851003.7112541</v>
      </c>
      <c r="P25" s="40">
        <f t="shared" si="7"/>
        <v>2200651823.1091156</v>
      </c>
      <c r="Q25" s="40">
        <f t="shared" si="7"/>
        <v>2292488653.6047287</v>
      </c>
      <c r="R25" s="40">
        <f t="shared" si="7"/>
        <v>2387872219.2937698</v>
      </c>
      <c r="S25" s="40">
        <f t="shared" si="7"/>
        <v>2486933274.3748865</v>
      </c>
      <c r="T25" s="40">
        <f t="shared" si="7"/>
        <v>2589807247.1202803</v>
      </c>
      <c r="U25" s="40">
        <f t="shared" si="7"/>
        <v>2696634403.3544483</v>
      </c>
      <c r="V25" s="40">
        <f t="shared" si="7"/>
        <v>2812241212.1759748</v>
      </c>
      <c r="W25" s="40">
        <f t="shared" si="7"/>
        <v>2932485503.1330442</v>
      </c>
      <c r="X25" s="40">
        <f t="shared" si="7"/>
        <v>3057545693.7100983</v>
      </c>
      <c r="Y25" s="40">
        <f t="shared" si="7"/>
        <v>3187606871.3288746</v>
      </c>
      <c r="Z25" s="40">
        <f t="shared" si="7"/>
        <v>3322861037.5248938</v>
      </c>
      <c r="AA25" s="40">
        <f t="shared" si="7"/>
        <v>3463507360.9212184</v>
      </c>
      <c r="AB25" s="40">
        <f t="shared" si="7"/>
        <v>3609752439.3124809</v>
      </c>
      <c r="AC25" s="40">
        <f t="shared" si="7"/>
        <v>3761810571.1832008</v>
      </c>
      <c r="AD25" s="40">
        <f t="shared" si="7"/>
        <v>3919904036.9957924</v>
      </c>
      <c r="AE25" s="40">
        <f t="shared" si="7"/>
        <v>4084263390.5954967</v>
      </c>
      <c r="AF25" s="40">
        <f t="shared" si="7"/>
        <v>4255127761.0916977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160</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1121648793.6500177</v>
      </c>
      <c r="D5" s="59">
        <f>C5*('Price and Financial ratios'!F4+1)*(1+Assumptions!$C$13)</f>
        <v>1374528644.5708687</v>
      </c>
      <c r="E5" s="59">
        <f>D5*('Price and Financial ratios'!G4+1)*(1+Assumptions!$C$13)</f>
        <v>1614236972.8817635</v>
      </c>
      <c r="F5" s="59">
        <f>E5*('Price and Financial ratios'!H4+1)*(1+Assumptions!$C$13)</f>
        <v>1780355378.4584286</v>
      </c>
      <c r="G5" s="59">
        <f>F5*('Price and Financial ratios'!I4+1)*(1+Assumptions!$C$13)</f>
        <v>1945387556.9869525</v>
      </c>
      <c r="H5" s="59">
        <f>G5*('Price and Financial ratios'!J4+1)*(1+Assumptions!$C$13)</f>
        <v>2085984552.2791858</v>
      </c>
      <c r="I5" s="59">
        <f>H5*('Price and Financial ratios'!K4+1)*(1+Assumptions!$C$13)</f>
        <v>2215440457.6037912</v>
      </c>
      <c r="J5" s="59">
        <f>I5*('Price and Financial ratios'!L4+1)*(1+Assumptions!$C$13)</f>
        <v>2330306047.485641</v>
      </c>
      <c r="K5" s="59">
        <f>J5*('Price and Financial ratios'!M4+1)*(1+Assumptions!$C$13)</f>
        <v>2451127159.075881</v>
      </c>
      <c r="L5" s="59">
        <f>K5*('Price and Financial ratios'!N4+1)*(1+Assumptions!$C$13)</f>
        <v>2578212572.7399416</v>
      </c>
      <c r="M5" s="59">
        <f>L5*('Price and Financial ratios'!O4+1)*(1+Assumptions!$C$13)</f>
        <v>2690823877.7996202</v>
      </c>
      <c r="N5" s="59">
        <f>M5*('Price and Financial ratios'!P4+1)*(1+Assumptions!$C$13)</f>
        <v>2808353825.3953433</v>
      </c>
      <c r="O5" s="59">
        <f>N5*('Price and Financial ratios'!Q4+1)*(1+Assumptions!$C$13)</f>
        <v>2931017252.2558441</v>
      </c>
      <c r="P5" s="59">
        <f>O5*('Price and Financial ratios'!R4+1)*(1+Assumptions!$C$13)</f>
        <v>3059038378.7598519</v>
      </c>
      <c r="Q5" s="59">
        <f>P5*('Price and Financial ratios'!S4+1)*(1+Assumptions!$C$13)</f>
        <v>3192651218.7956519</v>
      </c>
      <c r="R5" s="59">
        <f>Q5*('Price and Financial ratios'!T4+1)*(1+Assumptions!$C$13)</f>
        <v>3332100007.5225139</v>
      </c>
      <c r="S5" s="59">
        <f>R5*('Price and Financial ratios'!U4+1)*(1+Assumptions!$C$13)</f>
        <v>3477639647.815907</v>
      </c>
      <c r="T5" s="59">
        <f>S5*('Price and Financial ratios'!V4+1)*(1+Assumptions!$C$13)</f>
        <v>3629536176.2125711</v>
      </c>
      <c r="U5" s="59">
        <f>T5*('Price and Financial ratios'!W4+1)*(1+Assumptions!$C$13)</f>
        <v>3788067249.2071638</v>
      </c>
      <c r="V5" s="59">
        <f>U5*('Price and Financial ratios'!X4+1)*(1+Assumptions!$C$13)</f>
        <v>3953522650.7893953</v>
      </c>
      <c r="W5" s="59">
        <f>V5*('Price and Financial ratios'!Y4+1)*(1+Assumptions!$C$13)</f>
        <v>4126204822.1493983</v>
      </c>
      <c r="X5" s="59">
        <f>W5*('Price and Financial ratios'!Z4+1)*(1+Assumptions!$C$13)</f>
        <v>4306429414.519599</v>
      </c>
      <c r="Y5" s="59">
        <f>X5*('Price and Financial ratios'!AA4+1)*(1+Assumptions!$C$13)</f>
        <v>4494525866.163641</v>
      </c>
      <c r="Z5" s="59">
        <f>Y5*('Price and Financial ratios'!AB4+1)*(1+Assumptions!$C$13)</f>
        <v>4690838004.5670643</v>
      </c>
      <c r="AA5" s="59">
        <f>Z5*('Price and Financial ratios'!AC4+1)*(1+Assumptions!$C$13)</f>
        <v>4895724674.9305</v>
      </c>
      <c r="AB5" s="59">
        <f>AA5*('Price and Financial ratios'!AD4+1)*(1+Assumptions!$C$13)</f>
        <v>5109560396.1142254</v>
      </c>
      <c r="AC5" s="59">
        <f>AB5*('Price and Financial ratios'!AE4+1)*(1+Assumptions!$C$13)</f>
        <v>5332736045.2330961</v>
      </c>
      <c r="AD5" s="59">
        <f>AC5*('Price and Financial ratios'!AF4+1)*(1+Assumptions!$C$13)</f>
        <v>5565659572.1532564</v>
      </c>
      <c r="AE5" s="59">
        <f>AD5*('Price and Financial ratios'!AG4+1)*(1+Assumptions!$C$13)</f>
        <v>5808756745.1966715</v>
      </c>
      <c r="AF5" s="59">
        <f>AE5*('Price and Financial ratios'!AH4+1)*(1+Assumptions!$C$13)</f>
        <v>6062471929.416584</v>
      </c>
    </row>
    <row r="6" spans="1:32" s="11" customFormat="1" x14ac:dyDescent="0.35">
      <c r="A6" s="11" t="s">
        <v>20</v>
      </c>
      <c r="C6" s="59">
        <f>C27</f>
        <v>331990801.70654309</v>
      </c>
      <c r="D6" s="59">
        <f t="shared" ref="D6:AF6" si="1">D27</f>
        <v>370177726.20867223</v>
      </c>
      <c r="E6" s="59">
        <f>E27</f>
        <v>410029079.45792782</v>
      </c>
      <c r="F6" s="59">
        <f t="shared" si="1"/>
        <v>451605942.25672221</v>
      </c>
      <c r="G6" s="59">
        <f t="shared" si="1"/>
        <v>488725629.98190308</v>
      </c>
      <c r="H6" s="59">
        <f t="shared" si="1"/>
        <v>526380553.41203952</v>
      </c>
      <c r="I6" s="59">
        <f t="shared" si="1"/>
        <v>564583352.59688354</v>
      </c>
      <c r="J6" s="59">
        <f t="shared" si="1"/>
        <v>603347017.29879344</v>
      </c>
      <c r="K6" s="59">
        <f t="shared" si="1"/>
        <v>642684897.46995461</v>
      </c>
      <c r="L6" s="59">
        <f t="shared" si="1"/>
        <v>687624813.60272503</v>
      </c>
      <c r="M6" s="59">
        <f t="shared" si="1"/>
        <v>733961074.2520051</v>
      </c>
      <c r="N6" s="59">
        <f t="shared" si="1"/>
        <v>781733822.3130703</v>
      </c>
      <c r="O6" s="59">
        <f t="shared" si="1"/>
        <v>830984421.65575814</v>
      </c>
      <c r="P6" s="59">
        <f t="shared" si="1"/>
        <v>881755497.52054071</v>
      </c>
      <c r="Q6" s="59">
        <f t="shared" si="1"/>
        <v>935539616.75189078</v>
      </c>
      <c r="R6" s="59">
        <f t="shared" si="1"/>
        <v>991140657.12977707</v>
      </c>
      <c r="S6" s="59">
        <f t="shared" si="1"/>
        <v>1048615103.4960542</v>
      </c>
      <c r="T6" s="59">
        <f t="shared" si="1"/>
        <v>1108021253.012223</v>
      </c>
      <c r="U6" s="59">
        <f t="shared" si="1"/>
        <v>1169419277.2161112</v>
      </c>
      <c r="V6" s="59">
        <f t="shared" si="1"/>
        <v>1237303483.1030049</v>
      </c>
      <c r="W6" s="59">
        <f t="shared" si="1"/>
        <v>1307890768.3610864</v>
      </c>
      <c r="X6" s="59">
        <f t="shared" si="1"/>
        <v>1381279537.3048351</v>
      </c>
      <c r="Y6" s="59">
        <f t="shared" si="1"/>
        <v>1457571754.0704494</v>
      </c>
      <c r="Z6" s="59">
        <f t="shared" si="1"/>
        <v>1536873075.133182</v>
      </c>
      <c r="AA6" s="59">
        <f t="shared" si="1"/>
        <v>1619292986.9594812</v>
      </c>
      <c r="AB6" s="59">
        <f t="shared" si="1"/>
        <v>1704944949.0005946</v>
      </c>
      <c r="AC6" s="59">
        <f t="shared" si="1"/>
        <v>1793946542.2428322</v>
      </c>
      <c r="AD6" s="59">
        <f t="shared" si="1"/>
        <v>1886419623.5386631</v>
      </c>
      <c r="AE6" s="59">
        <f t="shared" si="1"/>
        <v>1982490485.9520743</v>
      </c>
      <c r="AF6" s="59">
        <f t="shared" si="1"/>
        <v>2082290025.3613551</v>
      </c>
    </row>
    <row r="7" spans="1:32" x14ac:dyDescent="0.35">
      <c r="A7" t="s">
        <v>21</v>
      </c>
      <c r="C7" s="4">
        <f>Depreciation!C8+Depreciation!C9</f>
        <v>506934860.82816875</v>
      </c>
      <c r="D7" s="4">
        <f>Depreciation!D8+Depreciation!D9</f>
        <v>541588307.55321062</v>
      </c>
      <c r="E7" s="4">
        <f>Depreciation!E8+Depreciation!E9</f>
        <v>577940473.57116699</v>
      </c>
      <c r="F7" s="4">
        <f>Depreciation!F8+Depreciation!F9</f>
        <v>616064591.78733826</v>
      </c>
      <c r="G7" s="4">
        <f>Depreciation!G8+Depreciation!G9</f>
        <v>655793744.31880903</v>
      </c>
      <c r="H7" s="4">
        <f>Depreciation!H8+Depreciation!H9</f>
        <v>697186845.6503042</v>
      </c>
      <c r="I7" s="4">
        <f>Depreciation!I8+Depreciation!I9</f>
        <v>740304843.69729185</v>
      </c>
      <c r="J7" s="4">
        <f>Depreciation!J8+Depreciation!J9</f>
        <v>785210787.78221619</v>
      </c>
      <c r="K7" s="4">
        <f>Depreciation!K8+Depreciation!K9</f>
        <v>831969898.84298098</v>
      </c>
      <c r="L7" s="4">
        <f>Depreciation!L8+Depreciation!L9</f>
        <v>880805914.15715075</v>
      </c>
      <c r="M7" s="4">
        <f>Depreciation!M8+Depreciation!M9</f>
        <v>931800878.30568802</v>
      </c>
      <c r="N7" s="4">
        <f>Depreciation!N8+Depreciation!N9</f>
        <v>985039879.56117392</v>
      </c>
      <c r="O7" s="4">
        <f>Depreciation!O8+Depreciation!O9</f>
        <v>1040611158.5121737</v>
      </c>
      <c r="P7" s="4">
        <f>Depreciation!P8+Depreciation!P9</f>
        <v>1098606220.4648924</v>
      </c>
      <c r="Q7" s="4">
        <f>Depreciation!Q8+Depreciation!Q9</f>
        <v>1159158180.3926406</v>
      </c>
      <c r="R7" s="4">
        <f>Depreciation!R8+Depreciation!R9</f>
        <v>1222368760.6081367</v>
      </c>
      <c r="S7" s="4">
        <f>Depreciation!S8+Depreciation!S9</f>
        <v>1288343503.5040863</v>
      </c>
      <c r="T7" s="4">
        <f>Depreciation!T8+Depreciation!T9</f>
        <v>1357191909.8339996</v>
      </c>
      <c r="U7" s="4">
        <f>Depreciation!U8+Depreciation!U9</f>
        <v>1429027581.8732843</v>
      </c>
      <c r="V7" s="4">
        <f>Depreciation!V8+Depreciation!V9</f>
        <v>1504070972.407414</v>
      </c>
      <c r="W7" s="4">
        <f>Depreciation!W8+Depreciation!W9</f>
        <v>1582453815.6918895</v>
      </c>
      <c r="X7" s="4">
        <f>Depreciation!X8+Depreciation!X9</f>
        <v>1664312992.2708259</v>
      </c>
      <c r="Y7" s="4">
        <f>Depreciation!Y8+Depreciation!Y9</f>
        <v>1749790723.4435458</v>
      </c>
      <c r="Z7" s="4">
        <f>Depreciation!Z8+Depreciation!Z9</f>
        <v>1839034772.9072347</v>
      </c>
      <c r="AA7" s="4">
        <f>Depreciation!AA8+Depreciation!AA9</f>
        <v>1932198655.8357937</v>
      </c>
      <c r="AB7" s="4">
        <f>Depreciation!AB8+Depreciation!AB9</f>
        <v>2029441855.6643226</v>
      </c>
      <c r="AC7" s="4">
        <f>Depreciation!AC8+Depreciation!AC9</f>
        <v>2130930048.8583019</v>
      </c>
      <c r="AD7" s="4">
        <f>Depreciation!AD8+Depreciation!AD9</f>
        <v>2236835337.9564962</v>
      </c>
      <c r="AE7" s="4">
        <f>Depreciation!AE8+Depreciation!AE9</f>
        <v>2347336493.1869431</v>
      </c>
      <c r="AF7" s="4">
        <f>Depreciation!AF8+Depreciation!AF9</f>
        <v>2462619202.9660716</v>
      </c>
    </row>
    <row r="8" spans="1:32" x14ac:dyDescent="0.35">
      <c r="A8" t="s">
        <v>6</v>
      </c>
      <c r="C8" s="4">
        <f ca="1">'Debt worksheet'!C8</f>
        <v>120929284.9527099</v>
      </c>
      <c r="D8" s="4">
        <f ca="1">'Debt worksheet'!D8</f>
        <v>138363283.44972536</v>
      </c>
      <c r="E8" s="4">
        <f ca="1">'Debt worksheet'!E8</f>
        <v>151454004.04976001</v>
      </c>
      <c r="F8" s="4">
        <f ca="1">'Debt worksheet'!F8</f>
        <v>162870382.10704035</v>
      </c>
      <c r="G8" s="4">
        <f ca="1">'Debt worksheet'!G8</f>
        <v>172125703.87592959</v>
      </c>
      <c r="H8" s="4">
        <f ca="1">'Debt worksheet'!H8</f>
        <v>180119827.84317183</v>
      </c>
      <c r="I8" s="4">
        <f ca="1">'Debt worksheet'!I8</f>
        <v>187305989.47161236</v>
      </c>
      <c r="J8" s="4">
        <f ca="1">'Debt worksheet'!J8</f>
        <v>194281966.67058805</v>
      </c>
      <c r="K8" s="4">
        <f ca="1">'Debt worksheet'!K8</f>
        <v>200925131.64617127</v>
      </c>
      <c r="L8" s="4">
        <f ca="1">'Debt worksheet'!L8</f>
        <v>207540867.10196376</v>
      </c>
      <c r="M8" s="4">
        <f ca="1">'Debt worksheet'!M8</f>
        <v>214807317.00961089</v>
      </c>
      <c r="N8" s="4">
        <f ca="1">'Debt worksheet'!N8</f>
        <v>222729076.24522829</v>
      </c>
      <c r="O8" s="4">
        <f ca="1">'Debt worksheet'!O8</f>
        <v>231308510.15970901</v>
      </c>
      <c r="P8" s="4">
        <f ca="1">'Debt worksheet'!P8</f>
        <v>240545516.1918675</v>
      </c>
      <c r="Q8" s="4">
        <f ca="1">'Debt worksheet'!Q8</f>
        <v>250553070.46269569</v>
      </c>
      <c r="R8" s="4">
        <f ca="1">'Debt worksheet'!R8</f>
        <v>261341990.54324543</v>
      </c>
      <c r="S8" s="4">
        <f ca="1">'Debt worksheet'!S8</f>
        <v>272921032.22297579</v>
      </c>
      <c r="T8" s="4">
        <f ca="1">'Debt worksheet'!T8</f>
        <v>285296646.17634547</v>
      </c>
      <c r="U8" s="4">
        <f ca="1">'Debt worksheet'!U8</f>
        <v>298472716.34618068</v>
      </c>
      <c r="V8" s="4">
        <f ca="1">'Debt worksheet'!V8</f>
        <v>312780816.4801203</v>
      </c>
      <c r="W8" s="4">
        <f ca="1">'Debt worksheet'!W8</f>
        <v>328266131.82091814</v>
      </c>
      <c r="X8" s="4">
        <f ca="1">'Debt worksheet'!X8</f>
        <v>344974078.13290656</v>
      </c>
      <c r="Y8" s="4">
        <f ca="1">'Debt worksheet'!Y8</f>
        <v>362950181.04264808</v>
      </c>
      <c r="Z8" s="4">
        <f ca="1">'Debt worksheet'!Z8</f>
        <v>382239942.82469797</v>
      </c>
      <c r="AA8" s="4">
        <f ca="1">'Debt worksheet'!AA8</f>
        <v>402888695.72845072</v>
      </c>
      <c r="AB8" s="4">
        <f ca="1">'Debt worksheet'!AB8</f>
        <v>424941440.88643569</v>
      </c>
      <c r="AC8" s="4">
        <f ca="1">'Debt worksheet'!AC8</f>
        <v>448442671.78568757</v>
      </c>
      <c r="AD8" s="4">
        <f ca="1">'Debt worksheet'!AD8</f>
        <v>473436181.22179222</v>
      </c>
      <c r="AE8" s="4">
        <f ca="1">'Debt worksheet'!AE8</f>
        <v>499964850.58971369</v>
      </c>
      <c r="AF8" s="4">
        <f ca="1">'Debt worksheet'!AF8</f>
        <v>528070420.29636282</v>
      </c>
    </row>
    <row r="9" spans="1:32" x14ac:dyDescent="0.35">
      <c r="A9" t="s">
        <v>22</v>
      </c>
      <c r="C9" s="4">
        <f ca="1">C5-C6-C7-C8</f>
        <v>161793846.16259599</v>
      </c>
      <c r="D9" s="4">
        <f t="shared" ref="D9:AF9" ca="1" si="2">D5-D6-D7-D8</f>
        <v>324399327.35926044</v>
      </c>
      <c r="E9" s="4">
        <f t="shared" ca="1" si="2"/>
        <v>474813415.80290878</v>
      </c>
      <c r="F9" s="4">
        <f t="shared" ca="1" si="2"/>
        <v>549814462.30732775</v>
      </c>
      <c r="G9" s="4">
        <f t="shared" ca="1" si="2"/>
        <v>628742478.81031084</v>
      </c>
      <c r="H9" s="4">
        <f t="shared" ca="1" si="2"/>
        <v>682297325.37367022</v>
      </c>
      <c r="I9" s="4">
        <f t="shared" ca="1" si="2"/>
        <v>723246271.83800352</v>
      </c>
      <c r="J9" s="4">
        <f t="shared" ca="1" si="2"/>
        <v>747466275.73404348</v>
      </c>
      <c r="K9" s="4">
        <f t="shared" ca="1" si="2"/>
        <v>775547231.11677432</v>
      </c>
      <c r="L9" s="4">
        <f t="shared" ca="1" si="2"/>
        <v>802240977.87810206</v>
      </c>
      <c r="M9" s="4">
        <f t="shared" ca="1" si="2"/>
        <v>810254608.23231614</v>
      </c>
      <c r="N9" s="4">
        <f t="shared" ca="1" si="2"/>
        <v>818851047.2758708</v>
      </c>
      <c r="O9" s="4">
        <f t="shared" ca="1" si="2"/>
        <v>828113161.92820334</v>
      </c>
      <c r="P9" s="4">
        <f t="shared" ca="1" si="2"/>
        <v>838131144.58255136</v>
      </c>
      <c r="Q9" s="4">
        <f t="shared" ca="1" si="2"/>
        <v>847400351.18842494</v>
      </c>
      <c r="R9" s="4">
        <f t="shared" ca="1" si="2"/>
        <v>857248599.24135482</v>
      </c>
      <c r="S9" s="4">
        <f t="shared" ca="1" si="2"/>
        <v>867760008.59279084</v>
      </c>
      <c r="T9" s="4">
        <f t="shared" ca="1" si="2"/>
        <v>879026367.1900028</v>
      </c>
      <c r="U9" s="4">
        <f t="shared" ca="1" si="2"/>
        <v>891147673.77158761</v>
      </c>
      <c r="V9" s="4">
        <f t="shared" ca="1" si="2"/>
        <v>899367378.79885614</v>
      </c>
      <c r="W9" s="4">
        <f t="shared" ca="1" si="2"/>
        <v>907594106.27550435</v>
      </c>
      <c r="X9" s="4">
        <f t="shared" ca="1" si="2"/>
        <v>915862806.81103122</v>
      </c>
      <c r="Y9" s="4">
        <f t="shared" ca="1" si="2"/>
        <v>924213207.60699773</v>
      </c>
      <c r="Z9" s="4">
        <f t="shared" ca="1" si="2"/>
        <v>932690213.7019496</v>
      </c>
      <c r="AA9" s="4">
        <f t="shared" ca="1" si="2"/>
        <v>941344336.40677428</v>
      </c>
      <c r="AB9" s="4">
        <f t="shared" ca="1" si="2"/>
        <v>950232150.56287241</v>
      </c>
      <c r="AC9" s="4">
        <f t="shared" ca="1" si="2"/>
        <v>959416782.3462745</v>
      </c>
      <c r="AD9" s="4">
        <f t="shared" ca="1" si="2"/>
        <v>968968429.43630505</v>
      </c>
      <c r="AE9" s="4">
        <f t="shared" ca="1" si="2"/>
        <v>978964915.46794069</v>
      </c>
      <c r="AF9" s="4">
        <f t="shared" ca="1" si="2"/>
        <v>989492280.7927947</v>
      </c>
    </row>
    <row r="12" spans="1:32" x14ac:dyDescent="0.35">
      <c r="A12" t="s">
        <v>79</v>
      </c>
      <c r="C12" s="2">
        <f>Assumptions!$C$25*Assumptions!D9*Assumptions!D13</f>
        <v>308312212.24731916</v>
      </c>
      <c r="D12" s="2">
        <f>Assumptions!$C$25*Assumptions!E9*Assumptions!E13</f>
        <v>321778689.35401857</v>
      </c>
      <c r="E12" s="2">
        <f>Assumptions!$C$25*Assumptions!F9*Assumptions!F13</f>
        <v>335833355.9597438</v>
      </c>
      <c r="F12" s="2">
        <f>Assumptions!$C$25*Assumptions!G9*Assumptions!G13</f>
        <v>350501903.03653014</v>
      </c>
      <c r="G12" s="2">
        <f>Assumptions!$C$25*Assumptions!H9*Assumptions!H13</f>
        <v>365811143.68804795</v>
      </c>
      <c r="H12" s="2">
        <f>Assumptions!$C$25*Assumptions!I9*Assumptions!I13</f>
        <v>381789062.16212702</v>
      </c>
      <c r="I12" s="2">
        <f>Assumptions!$C$25*Assumptions!J9*Assumptions!J13</f>
        <v>398464865.00405371</v>
      </c>
      <c r="J12" s="2">
        <f>Assumptions!$C$25*Assumptions!K9*Assumptions!K13</f>
        <v>415869034.44414324</v>
      </c>
      <c r="K12" s="2">
        <f>Assumptions!$C$25*Assumptions!L9*Assumptions!L13</f>
        <v>434033384.11717814</v>
      </c>
      <c r="L12" s="2">
        <f>Assumptions!$C$25*Assumptions!M9*Assumptions!M13</f>
        <v>452991117.21556312</v>
      </c>
      <c r="M12" s="2">
        <f>Assumptions!$C$25*Assumptions!N9*Assumptions!N13</f>
        <v>472776887.18249583</v>
      </c>
      <c r="N12" s="2">
        <f>Assumptions!$C$25*Assumptions!O9*Assumptions!O13</f>
        <v>493426861.05609828</v>
      </c>
      <c r="O12" s="2">
        <f>Assumptions!$C$25*Assumptions!P9*Assumptions!P13</f>
        <v>514978785.58029562</v>
      </c>
      <c r="P12" s="2">
        <f>Assumptions!$C$25*Assumptions!Q9*Assumptions!Q13</f>
        <v>537472056.20328963</v>
      </c>
      <c r="Q12" s="2">
        <f>Assumptions!$C$25*Assumptions!R9*Assumptions!R13</f>
        <v>560947789.08975196</v>
      </c>
      <c r="R12" s="2">
        <f>Assumptions!$C$25*Assumptions!S9*Assumptions!S13</f>
        <v>585448896.27836764</v>
      </c>
      <c r="S12" s="2">
        <f>Assumptions!$C$25*Assumptions!T9*Assumptions!T13</f>
        <v>611020164.12211704</v>
      </c>
      <c r="T12" s="2">
        <f>Assumptions!$C$25*Assumptions!U9*Assumptions!U13</f>
        <v>637708335.15467334</v>
      </c>
      <c r="U12" s="2">
        <f>Assumptions!$C$25*Assumptions!V9*Assumptions!V13</f>
        <v>665562193.53256679</v>
      </c>
      <c r="V12" s="2">
        <f>Assumptions!$C$25*Assumptions!W9*Assumptions!W13</f>
        <v>694632654.20929563</v>
      </c>
      <c r="W12" s="2">
        <f>Assumptions!$C$25*Assumptions!X9*Assumptions!X13</f>
        <v>724972856.00438917</v>
      </c>
      <c r="X12" s="2">
        <f>Assumptions!$C$25*Assumptions!Y9*Assumptions!Y13</f>
        <v>756638258.73754513</v>
      </c>
      <c r="Y12" s="2">
        <f>Assumptions!$C$25*Assumptions!Z9*Assumptions!Z13</f>
        <v>789686744.60539842</v>
      </c>
      <c r="Z12" s="2">
        <f>Assumptions!$C$25*Assumptions!AA9*Assumptions!AA13</f>
        <v>824178723.98622859</v>
      </c>
      <c r="AA12" s="2">
        <f>Assumptions!$C$25*Assumptions!AB9*Assumptions!AB13</f>
        <v>860177245.86601126</v>
      </c>
      <c r="AB12" s="2">
        <f>Assumptions!$C$25*Assumptions!AC9*Assumptions!AC13</f>
        <v>897748113.08766532</v>
      </c>
      <c r="AC12" s="2">
        <f>Assumptions!$C$25*Assumptions!AD9*Assumptions!AD13</f>
        <v>936960002.63416123</v>
      </c>
      <c r="AD12" s="2">
        <f>Assumptions!$C$25*Assumptions!AE9*Assumptions!AE13</f>
        <v>977884591.16536272</v>
      </c>
      <c r="AE12" s="2">
        <f>Assumptions!$C$25*Assumptions!AF9*Assumptions!AF13</f>
        <v>1020596686.0380727</v>
      </c>
      <c r="AF12" s="2">
        <f>Assumptions!$C$25*Assumptions!AG9*Assumptions!AG13</f>
        <v>1065174362.0487787</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23678589.459223896</v>
      </c>
      <c r="D14" s="5">
        <f>Assumptions!E122*Assumptions!E9</f>
        <v>48399036.854653642</v>
      </c>
      <c r="E14" s="5">
        <f>Assumptions!F122*Assumptions!F9</f>
        <v>74195723.498184025</v>
      </c>
      <c r="F14" s="5">
        <f>Assumptions!G122*Assumptions!G9</f>
        <v>101104039.2201921</v>
      </c>
      <c r="G14" s="5">
        <f>Assumptions!H122*Assumptions!H9</f>
        <v>128850425.11954631</v>
      </c>
      <c r="H14" s="5">
        <f>Assumptions!I122*Assumptions!I9</f>
        <v>157455714.64543372</v>
      </c>
      <c r="I14" s="5">
        <f>Assumptions!J122*Assumptions!J9</f>
        <v>186941222.90945756</v>
      </c>
      <c r="J14" s="5">
        <f>Assumptions!K122*Assumptions!K9</f>
        <v>217328757.50931713</v>
      </c>
      <c r="K14" s="5">
        <f>Assumptions!L122*Assumptions!L9</f>
        <v>248640629.59282035</v>
      </c>
      <c r="L14" s="5">
        <f>Assumptions!M122*Assumptions!M9</f>
        <v>281089465.36193573</v>
      </c>
      <c r="M14" s="5">
        <f>Assumptions!N122*Assumptions!N9</f>
        <v>314707846.46896791</v>
      </c>
      <c r="N14" s="5">
        <f>Assumptions!O122*Assumptions!O9</f>
        <v>349529199.19371343</v>
      </c>
      <c r="O14" s="5">
        <f>Assumptions!P122*Assumptions!P9</f>
        <v>385587815.18433338</v>
      </c>
      <c r="P14" s="5">
        <f>Assumptions!Q122*Assumptions!Q9</f>
        <v>422918872.69099206</v>
      </c>
      <c r="Q14" s="5">
        <f>Assumptions!R122*Assumptions!R9</f>
        <v>461602682.48022133</v>
      </c>
      <c r="R14" s="5">
        <f>Assumptions!S122*Assumptions!S9</f>
        <v>501678796.35594571</v>
      </c>
      <c r="S14" s="5">
        <f>Assumptions!T122*Assumptions!T9</f>
        <v>543187816.64604318</v>
      </c>
      <c r="T14" s="5">
        <f>Assumptions!U122*Assumptions!U9</f>
        <v>586171422.6370914</v>
      </c>
      <c r="U14" s="5">
        <f>Assumptions!V122*Assumptions!V9</f>
        <v>630672397.6519022</v>
      </c>
      <c r="V14" s="5">
        <f>Assumptions!W122*Assumptions!W9</f>
        <v>676847708.59880853</v>
      </c>
      <c r="W14" s="5">
        <f>Assumptions!X122*Assumptions!X9</f>
        <v>724749487.78691494</v>
      </c>
      <c r="X14" s="5">
        <f>Assumptions!Y122*Assumptions!Y9</f>
        <v>774431350.96833611</v>
      </c>
      <c r="Y14" s="5">
        <f>Assumptions!Z122*Assumptions!Z9</f>
        <v>825948437.3776511</v>
      </c>
      <c r="Z14" s="5">
        <f>Assumptions!AA122*Assumptions!AA9</f>
        <v>879357450.81510758</v>
      </c>
      <c r="AA14" s="5">
        <f>Assumptions!AB122*Assumptions!AB9</f>
        <v>934716701.80012095</v>
      </c>
      <c r="AB14" s="5">
        <f>Assumptions!AC122*Assumptions!AC9</f>
        <v>992086150.82228065</v>
      </c>
      <c r="AC14" s="5">
        <f>Assumptions!AD122*Assumptions!AD9</f>
        <v>1051527452.7177439</v>
      </c>
      <c r="AD14" s="5">
        <f>Assumptions!AE122*Assumptions!AE9</f>
        <v>1113104002.1996095</v>
      </c>
      <c r="AE14" s="5">
        <f>Assumptions!AF122*Assumptions!AF9</f>
        <v>1176880980.5715623</v>
      </c>
      <c r="AF14" s="5">
        <f>Assumptions!AG122*Assumptions!AG9</f>
        <v>1242925403.6548159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191</v>
      </c>
      <c r="C16" s="37">
        <f>Assumptions!D43</f>
        <v>1</v>
      </c>
      <c r="D16" s="37">
        <f>Assumptions!E43</f>
        <v>1</v>
      </c>
      <c r="E16" s="37">
        <f>Assumptions!F43</f>
        <v>1</v>
      </c>
      <c r="F16" s="37">
        <f>Assumptions!G43</f>
        <v>1</v>
      </c>
      <c r="G16" s="37">
        <f>Assumptions!H43</f>
        <v>0.98799999999999999</v>
      </c>
      <c r="H16" s="37">
        <f>Assumptions!I43</f>
        <v>0.97614400000000001</v>
      </c>
      <c r="I16" s="37">
        <f>Assumptions!J43</f>
        <v>0.96443027199999998</v>
      </c>
      <c r="J16" s="37">
        <f>Assumptions!K43</f>
        <v>0.95285710873599994</v>
      </c>
      <c r="K16" s="37">
        <f>Assumptions!L43</f>
        <v>0.9414228234311679</v>
      </c>
      <c r="L16" s="37">
        <f>Assumptions!M43</f>
        <v>0.93671570931401205</v>
      </c>
      <c r="M16" s="37">
        <f>Assumptions!N43</f>
        <v>0.93203213076744196</v>
      </c>
      <c r="N16" s="37">
        <f>Assumptions!O43</f>
        <v>0.92737197011360473</v>
      </c>
      <c r="O16" s="37">
        <f>Assumptions!P43</f>
        <v>0.92273511026303667</v>
      </c>
      <c r="P16" s="37">
        <f>Assumptions!Q43</f>
        <v>0.91812143471172147</v>
      </c>
      <c r="Q16" s="37">
        <f>Assumptions!R43</f>
        <v>0.91490800969023045</v>
      </c>
      <c r="R16" s="37">
        <f>Assumptions!S43</f>
        <v>0.91170583165631469</v>
      </c>
      <c r="S16" s="37">
        <f>Assumptions!T43</f>
        <v>0.90851486124551761</v>
      </c>
      <c r="T16" s="37">
        <f>Assumptions!U43</f>
        <v>0.90533505923115831</v>
      </c>
      <c r="U16" s="37">
        <f>Assumptions!V43</f>
        <v>0.90216638652384928</v>
      </c>
      <c r="V16" s="37">
        <f>Assumptions!W43</f>
        <v>0.90216638652384928</v>
      </c>
      <c r="W16" s="37">
        <f>Assumptions!X43</f>
        <v>0.90216638652384928</v>
      </c>
      <c r="X16" s="37">
        <f>Assumptions!Y43</f>
        <v>0.90216638652384928</v>
      </c>
      <c r="Y16" s="37">
        <f>Assumptions!Z43</f>
        <v>0.90216638652384928</v>
      </c>
      <c r="Z16" s="37">
        <f>Assumptions!AA43</f>
        <v>0.90216638652384928</v>
      </c>
      <c r="AA16" s="37">
        <f>Assumptions!AB43</f>
        <v>0.90216638652384928</v>
      </c>
      <c r="AB16" s="37">
        <f>Assumptions!AC43</f>
        <v>0.90216638652384928</v>
      </c>
      <c r="AC16" s="37">
        <f>Assumptions!AD43</f>
        <v>0.90216638652384928</v>
      </c>
      <c r="AD16" s="37">
        <f>Assumptions!AE43</f>
        <v>0.90216638652384928</v>
      </c>
      <c r="AE16" s="37">
        <f>Assumptions!AF43</f>
        <v>0.90216638652384928</v>
      </c>
      <c r="AF16" s="37">
        <f>Assumptions!AG43</f>
        <v>0.90216638652384928</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-4389733.7242565751</v>
      </c>
      <c r="H19" s="44">
        <f t="shared" si="3"/>
        <v>-9107959.8669397235</v>
      </c>
      <c r="I19" s="44">
        <f t="shared" si="3"/>
        <v>-14173286.865750909</v>
      </c>
      <c r="J19" s="44">
        <f t="shared" si="3"/>
        <v>-19605268.67086494</v>
      </c>
      <c r="K19" s="44">
        <f t="shared" si="3"/>
        <v>-25424450.178199649</v>
      </c>
      <c r="L19" s="44">
        <f t="shared" si="3"/>
        <v>-28667221.540040135</v>
      </c>
      <c r="M19" s="44">
        <f t="shared" si="3"/>
        <v>-32133637.644195735</v>
      </c>
      <c r="N19" s="44">
        <f t="shared" si="3"/>
        <v>-35836620.811532497</v>
      </c>
      <c r="O19" s="44">
        <f t="shared" si="3"/>
        <v>-39789779.084736824</v>
      </c>
      <c r="P19" s="44">
        <f t="shared" si="3"/>
        <v>-44007440.844466329</v>
      </c>
      <c r="Q19" s="44">
        <f t="shared" si="3"/>
        <v>-47732163.833511829</v>
      </c>
      <c r="R19" s="44">
        <f t="shared" si="3"/>
        <v>-51691723.404626966</v>
      </c>
      <c r="S19" s="44">
        <f t="shared" si="3"/>
        <v>-55899264.496498466</v>
      </c>
      <c r="T19" s="44">
        <f t="shared" si="3"/>
        <v>-60368621.775213838</v>
      </c>
      <c r="U19" s="44">
        <f t="shared" si="3"/>
        <v>-65114354.386404157</v>
      </c>
      <c r="V19" s="44">
        <f t="shared" si="3"/>
        <v>-67958422.599824905</v>
      </c>
      <c r="W19" s="44">
        <f t="shared" si="3"/>
        <v>-70926714.175034523</v>
      </c>
      <c r="X19" s="44">
        <f t="shared" si="3"/>
        <v>-74024654.946596742</v>
      </c>
      <c r="Y19" s="44">
        <f t="shared" si="3"/>
        <v>-77257907.738964319</v>
      </c>
      <c r="Z19" s="44">
        <f t="shared" si="3"/>
        <v>-80632382.717735767</v>
      </c>
      <c r="AA19" s="44">
        <f t="shared" si="3"/>
        <v>-84154248.193035245</v>
      </c>
      <c r="AB19" s="44">
        <f t="shared" si="3"/>
        <v>-87829941.894762278</v>
      </c>
      <c r="AC19" s="44">
        <f t="shared" si="3"/>
        <v>-91666182.740323663</v>
      </c>
      <c r="AD19" s="44">
        <f t="shared" si="3"/>
        <v>-95669983.116355777</v>
      </c>
      <c r="AE19" s="44">
        <f t="shared" si="3"/>
        <v>-99848661.696889162</v>
      </c>
      <c r="AF19" s="44">
        <f t="shared" si="3"/>
        <v>-104209856.82138562</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-1546205.1014345586</v>
      </c>
      <c r="H24" s="44">
        <f t="shared" si="6"/>
        <v>-3756263.5285814703</v>
      </c>
      <c r="I24" s="44">
        <f t="shared" si="6"/>
        <v>-6649448.4508767724</v>
      </c>
      <c r="J24" s="44">
        <f t="shared" si="6"/>
        <v>-10245505.983801961</v>
      </c>
      <c r="K24" s="44">
        <f t="shared" si="6"/>
        <v>-14564666.06184423</v>
      </c>
      <c r="L24" s="44">
        <f t="shared" si="6"/>
        <v>-17788547.434733689</v>
      </c>
      <c r="M24" s="44">
        <f t="shared" si="6"/>
        <v>-21390021.755262792</v>
      </c>
      <c r="N24" s="44">
        <f t="shared" si="6"/>
        <v>-25385617.125208855</v>
      </c>
      <c r="O24" s="44">
        <f t="shared" si="6"/>
        <v>-29792400.024134099</v>
      </c>
      <c r="P24" s="44">
        <f t="shared" si="6"/>
        <v>-34627990.529274523</v>
      </c>
      <c r="Q24" s="44">
        <f t="shared" si="6"/>
        <v>-39278690.984570622</v>
      </c>
      <c r="R24" s="44">
        <f t="shared" si="6"/>
        <v>-44295312.099909306</v>
      </c>
      <c r="S24" s="44">
        <f t="shared" si="6"/>
        <v>-49693612.775607586</v>
      </c>
      <c r="T24" s="44">
        <f t="shared" si="6"/>
        <v>-55489883.004327953</v>
      </c>
      <c r="U24" s="44">
        <f t="shared" si="6"/>
        <v>-61700959.581953406</v>
      </c>
      <c r="V24" s="44">
        <f t="shared" si="6"/>
        <v>-66218457.105274081</v>
      </c>
      <c r="W24" s="44">
        <f t="shared" si="6"/>
        <v>-70904861.25518322</v>
      </c>
      <c r="X24" s="44">
        <f t="shared" si="6"/>
        <v>-75765417.454449415</v>
      </c>
      <c r="Y24" s="44">
        <f t="shared" si="6"/>
        <v>-80805520.17363584</v>
      </c>
      <c r="Z24" s="44">
        <f t="shared" si="6"/>
        <v>-86030716.950418472</v>
      </c>
      <c r="AA24" s="44">
        <f t="shared" si="6"/>
        <v>-91446712.513615489</v>
      </c>
      <c r="AB24" s="44">
        <f t="shared" si="6"/>
        <v>-97059373.01458919</v>
      </c>
      <c r="AC24" s="44">
        <f t="shared" si="6"/>
        <v>-102874730.36874914</v>
      </c>
      <c r="AD24" s="44">
        <f t="shared" si="6"/>
        <v>-108898986.70995307</v>
      </c>
      <c r="AE24" s="44">
        <f t="shared" si="6"/>
        <v>-115138518.96067142</v>
      </c>
      <c r="AF24" s="44">
        <f t="shared" si="6"/>
        <v>-121599883.52085376</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331990801.70654309</v>
      </c>
      <c r="D27" s="2">
        <f t="shared" ref="D27:AF27" si="8">D12+D13+D14+D19+D20+D22+D24+D25</f>
        <v>370177726.20867223</v>
      </c>
      <c r="E27" s="2">
        <f t="shared" si="8"/>
        <v>410029079.45792782</v>
      </c>
      <c r="F27" s="2">
        <f t="shared" si="8"/>
        <v>451605942.25672221</v>
      </c>
      <c r="G27" s="2">
        <f t="shared" si="8"/>
        <v>488725629.98190308</v>
      </c>
      <c r="H27" s="2">
        <f t="shared" si="8"/>
        <v>526380553.41203952</v>
      </c>
      <c r="I27" s="2">
        <f t="shared" si="8"/>
        <v>564583352.59688354</v>
      </c>
      <c r="J27" s="2">
        <f t="shared" si="8"/>
        <v>603347017.29879344</v>
      </c>
      <c r="K27" s="2">
        <f t="shared" si="8"/>
        <v>642684897.46995461</v>
      </c>
      <c r="L27" s="2">
        <f t="shared" si="8"/>
        <v>687624813.60272503</v>
      </c>
      <c r="M27" s="2">
        <f t="shared" si="8"/>
        <v>733961074.2520051</v>
      </c>
      <c r="N27" s="2">
        <f t="shared" si="8"/>
        <v>781733822.3130703</v>
      </c>
      <c r="O27" s="2">
        <f t="shared" si="8"/>
        <v>830984421.65575814</v>
      </c>
      <c r="P27" s="2">
        <f t="shared" si="8"/>
        <v>881755497.52054071</v>
      </c>
      <c r="Q27" s="2">
        <f t="shared" si="8"/>
        <v>935539616.75189078</v>
      </c>
      <c r="R27" s="2">
        <f t="shared" si="8"/>
        <v>991140657.12977707</v>
      </c>
      <c r="S27" s="2">
        <f t="shared" si="8"/>
        <v>1048615103.4960542</v>
      </c>
      <c r="T27" s="2">
        <f t="shared" si="8"/>
        <v>1108021253.012223</v>
      </c>
      <c r="U27" s="2">
        <f t="shared" si="8"/>
        <v>1169419277.2161112</v>
      </c>
      <c r="V27" s="2">
        <f t="shared" si="8"/>
        <v>1237303483.1030049</v>
      </c>
      <c r="W27" s="2">
        <f t="shared" si="8"/>
        <v>1307890768.3610864</v>
      </c>
      <c r="X27" s="2">
        <f t="shared" si="8"/>
        <v>1381279537.3048351</v>
      </c>
      <c r="Y27" s="2">
        <f t="shared" si="8"/>
        <v>1457571754.0704494</v>
      </c>
      <c r="Z27" s="2">
        <f t="shared" si="8"/>
        <v>1536873075.133182</v>
      </c>
      <c r="AA27" s="2">
        <f t="shared" si="8"/>
        <v>1619292986.9594812</v>
      </c>
      <c r="AB27" s="2">
        <f t="shared" si="8"/>
        <v>1704944949.0005946</v>
      </c>
      <c r="AC27" s="2">
        <f t="shared" si="8"/>
        <v>1793946542.2428322</v>
      </c>
      <c r="AD27" s="2">
        <f t="shared" si="8"/>
        <v>1886419623.5386631</v>
      </c>
      <c r="AE27" s="2">
        <f t="shared" si="8"/>
        <v>1982490485.9520743</v>
      </c>
      <c r="AF27" s="2">
        <f t="shared" si="8"/>
        <v>2082290025.3613551</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3W2DU3RAJ5R2-1900874439-756</_dlc_DocId>
    <_dlc_DocIdUrl xmlns="f54e2983-00ce-40fc-8108-18f351fc47bf">
      <Url>https://dia.cohesion.net.nz/Sites/LGV/TWRP/CAE/_layouts/15/DocIdRedir.aspx?ID=3W2DU3RAJ5R2-1900874439-756</Url>
      <Description>3W2DU3RAJ5R2-1900874439-756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17CBEBC-B4FE-4A93-9239-915EF52E06FE}"/>
</file>

<file path=customXml/itemProps2.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40B53952-409A-4CE5-92B5-8229C9284C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2021-06-28T21:47:05Z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9ce3d667-1085-4509-a202-55b45af464d7</vt:lpwstr>
  </property>
</Properties>
</file>