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814" documentId="8_{99732E53-21EE-4CE0-9134-6A39D308383E}" xr6:coauthVersionLast="47" xr6:coauthVersionMax="47" xr10:uidLastSave="{F5097BED-A84B-4C59-BE7A-67DC29BB913F}"/>
  <bookViews>
    <workbookView xWindow="2070" yWindow="456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Price and Financial ratios" sheetId="7" r:id="rId5"/>
    <sheet name="Assumptions" sheetId="2"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5" hidden="1">Assumptions!#REF!</definedName>
    <definedName name="solver_adj" localSheetId="4" hidden="1">'Price and Financial ratios'!$F$4</definedName>
    <definedName name="solver_cvg" localSheetId="5" hidden="1">0.0001</definedName>
    <definedName name="solver_cvg" localSheetId="4" hidden="1">0.0001</definedName>
    <definedName name="solver_drv" localSheetId="5" hidden="1">1</definedName>
    <definedName name="solver_drv" localSheetId="4" hidden="1">1</definedName>
    <definedName name="solver_eng" localSheetId="5" hidden="1">1</definedName>
    <definedName name="solver_eng" localSheetId="4" hidden="1">1</definedName>
    <definedName name="solver_est" localSheetId="5" hidden="1">1</definedName>
    <definedName name="solver_est" localSheetId="4" hidden="1">1</definedName>
    <definedName name="solver_itr" localSheetId="5" hidden="1">2147483647</definedName>
    <definedName name="solver_itr" localSheetId="4" hidden="1">2147483647</definedName>
    <definedName name="solver_mip" localSheetId="5" hidden="1">2147483647</definedName>
    <definedName name="solver_mip" localSheetId="4" hidden="1">2147483647</definedName>
    <definedName name="solver_mni" localSheetId="5" hidden="1">30</definedName>
    <definedName name="solver_mni" localSheetId="4" hidden="1">30</definedName>
    <definedName name="solver_mrt" localSheetId="5" hidden="1">0.075</definedName>
    <definedName name="solver_mrt" localSheetId="4" hidden="1">0.075</definedName>
    <definedName name="solver_msl" localSheetId="5" hidden="1">2</definedName>
    <definedName name="solver_msl" localSheetId="4" hidden="1">2</definedName>
    <definedName name="solver_neg" localSheetId="5" hidden="1">1</definedName>
    <definedName name="solver_neg" localSheetId="4" hidden="1">1</definedName>
    <definedName name="solver_nod" localSheetId="5" hidden="1">2147483647</definedName>
    <definedName name="solver_nod" localSheetId="4" hidden="1">2147483647</definedName>
    <definedName name="solver_num" localSheetId="5" hidden="1">0</definedName>
    <definedName name="solver_num" localSheetId="4" hidden="1">0</definedName>
    <definedName name="solver_nwt" localSheetId="5" hidden="1">1</definedName>
    <definedName name="solver_nwt" localSheetId="4" hidden="1">1</definedName>
    <definedName name="solver_opt" localSheetId="5" hidden="1">Assumptions!$C$113</definedName>
    <definedName name="solver_opt" localSheetId="4" hidden="1">'Price and Financial ratios'!$F$6</definedName>
    <definedName name="solver_pre" localSheetId="5" hidden="1">0.000001</definedName>
    <definedName name="solver_pre" localSheetId="4" hidden="1">0.000001</definedName>
    <definedName name="solver_rbv" localSheetId="5" hidden="1">1</definedName>
    <definedName name="solver_rbv" localSheetId="4" hidden="1">1</definedName>
    <definedName name="solver_rlx" localSheetId="5" hidden="1">2</definedName>
    <definedName name="solver_rlx" localSheetId="4" hidden="1">2</definedName>
    <definedName name="solver_rsd" localSheetId="5" hidden="1">0</definedName>
    <definedName name="solver_rsd" localSheetId="4" hidden="1">0</definedName>
    <definedName name="solver_scl" localSheetId="5" hidden="1">1</definedName>
    <definedName name="solver_scl" localSheetId="4" hidden="1">1</definedName>
    <definedName name="solver_sho" localSheetId="5" hidden="1">2</definedName>
    <definedName name="solver_sho" localSheetId="4" hidden="1">2</definedName>
    <definedName name="solver_ssz" localSheetId="5" hidden="1">100</definedName>
    <definedName name="solver_ssz" localSheetId="4" hidden="1">100</definedName>
    <definedName name="solver_tim" localSheetId="5" hidden="1">2147483647</definedName>
    <definedName name="solver_tim" localSheetId="4" hidden="1">2147483647</definedName>
    <definedName name="solver_tol" localSheetId="5" hidden="1">0.01</definedName>
    <definedName name="solver_tol" localSheetId="4" hidden="1">0.01</definedName>
    <definedName name="solver_typ" localSheetId="5" hidden="1">3</definedName>
    <definedName name="solver_typ" localSheetId="4" hidden="1">3</definedName>
    <definedName name="solver_val" localSheetId="5" hidden="1">563251470</definedName>
    <definedName name="solver_val" localSheetId="4" hidden="1">2.5</definedName>
    <definedName name="solver_ver" localSheetId="5" hidden="1">3</definedName>
    <definedName name="solver_ver" localSheetId="4"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c r="A9" i="19"/>
  <c r="B40" i="21"/>
  <c r="B27" i="21"/>
  <c r="A21" i="21"/>
  <c r="A34" i="21"/>
  <c r="B8" i="21"/>
  <c r="B21" i="21"/>
  <c r="B34" i="21"/>
  <c r="C83" i="2"/>
  <c r="C87" i="2"/>
  <c r="C82" i="2"/>
  <c r="C89" i="2"/>
  <c r="C94" i="2"/>
  <c r="C90" i="2"/>
  <c r="C95" i="2"/>
  <c r="C96" i="2"/>
  <c r="C102" i="2"/>
  <c r="D113" i="2"/>
  <c r="C58" i="2"/>
  <c r="C106" i="2"/>
  <c r="C63" i="2"/>
  <c r="C107" i="2"/>
  <c r="D11" i="2"/>
  <c r="C40" i="2"/>
  <c r="C41" i="2"/>
  <c r="C39" i="2"/>
  <c r="C36" i="2"/>
  <c r="C37" i="2"/>
  <c r="C35" i="2"/>
  <c r="F9" i="2"/>
  <c r="E9" i="2"/>
  <c r="D9" i="2"/>
  <c r="G11" i="2"/>
  <c r="V9" i="2"/>
  <c r="E11" i="2"/>
  <c r="F11" i="2"/>
  <c r="H11" i="2"/>
  <c r="I11" i="2"/>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C22" i="6"/>
  <c r="E113" i="2"/>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c r="V12" i="9"/>
  <c r="V21" i="9"/>
  <c r="H116" i="2"/>
  <c r="G6" i="9"/>
  <c r="G12" i="9"/>
  <c r="G21" i="9"/>
  <c r="W116" i="2"/>
  <c r="J116" i="2"/>
  <c r="O116" i="2"/>
  <c r="P116" i="2"/>
  <c r="V116" i="2"/>
  <c r="AB6" i="9"/>
  <c r="AB12" i="9"/>
  <c r="AB21" i="9"/>
  <c r="F6" i="9"/>
  <c r="F12" i="9"/>
  <c r="AE6" i="9"/>
  <c r="AE12" i="9"/>
  <c r="AE21" i="9"/>
  <c r="H6" i="9"/>
  <c r="H12" i="9"/>
  <c r="H21" i="9"/>
  <c r="L116" i="2"/>
  <c r="T6" i="9"/>
  <c r="T12" i="9"/>
  <c r="T21" i="9"/>
  <c r="Q6" i="9"/>
  <c r="Q12" i="9"/>
  <c r="Q21" i="9"/>
  <c r="S116" i="2"/>
  <c r="E116" i="2"/>
  <c r="AA6" i="9"/>
  <c r="AA12" i="9"/>
  <c r="AA21" i="9"/>
  <c r="F115" i="2"/>
  <c r="W6" i="9"/>
  <c r="W12" i="9"/>
  <c r="W21" i="9"/>
  <c r="Z6" i="9"/>
  <c r="Z12" i="9"/>
  <c r="Z21" i="9"/>
  <c r="Q116" i="2"/>
  <c r="M116" i="2"/>
  <c r="S6" i="9"/>
  <c r="S12" i="9"/>
  <c r="S21" i="9"/>
  <c r="AC6" i="9"/>
  <c r="AC12" i="9"/>
  <c r="AC21" i="9"/>
  <c r="K116" i="2"/>
  <c r="C6" i="9"/>
  <c r="C12" i="9"/>
  <c r="C21" i="9"/>
  <c r="D116" i="2"/>
  <c r="D115" i="2"/>
  <c r="X6" i="9"/>
  <c r="X12" i="9"/>
  <c r="X21" i="9"/>
  <c r="Y116" i="2"/>
  <c r="AF6" i="9"/>
  <c r="AF12" i="9"/>
  <c r="AF21" i="9"/>
  <c r="AG116" i="2"/>
  <c r="N6" i="9"/>
  <c r="N12" i="9"/>
  <c r="N21" i="9"/>
  <c r="AD6" i="9"/>
  <c r="AD12" i="9"/>
  <c r="AD21" i="9"/>
  <c r="AE116" i="2"/>
  <c r="Y6" i="9"/>
  <c r="Y12" i="9"/>
  <c r="Y21" i="9"/>
  <c r="Z116" i="2"/>
  <c r="O6" i="9"/>
  <c r="O12" i="9"/>
  <c r="O21" i="9"/>
  <c r="M6" i="9"/>
  <c r="M12" i="9"/>
  <c r="M21" i="9"/>
  <c r="N116" i="2"/>
  <c r="D118" i="2"/>
  <c r="D120" i="2"/>
  <c r="C9" i="6"/>
  <c r="I6" i="9"/>
  <c r="I12" i="9"/>
  <c r="I21" i="9"/>
  <c r="R6" i="9"/>
  <c r="R12" i="9"/>
  <c r="R21" i="9"/>
  <c r="K6" i="9"/>
  <c r="K12" i="9"/>
  <c r="K21" i="9"/>
  <c r="E115" i="2"/>
  <c r="E118" i="2"/>
  <c r="I116" i="2"/>
  <c r="U116" i="2"/>
  <c r="F20" i="9"/>
  <c r="F21" i="9"/>
  <c r="J6" i="9"/>
  <c r="J12" i="9"/>
  <c r="J21" i="9"/>
  <c r="G116" i="2"/>
  <c r="AA116" i="2"/>
  <c r="X116" i="2"/>
  <c r="AD116" i="2"/>
  <c r="T116" i="2"/>
  <c r="U6" i="9"/>
  <c r="U12" i="9"/>
  <c r="U21" i="9"/>
  <c r="G115" i="2"/>
  <c r="AB116" i="2"/>
  <c r="AC116" i="2"/>
  <c r="R116" i="2"/>
  <c r="P6" i="9"/>
  <c r="P12" i="9"/>
  <c r="P21" i="9"/>
  <c r="AF116" i="2"/>
  <c r="L6" i="9"/>
  <c r="L12" i="9"/>
  <c r="L21" i="9"/>
  <c r="E6" i="9"/>
  <c r="E12" i="9"/>
  <c r="F116" i="2"/>
  <c r="F118" i="2"/>
  <c r="C113" i="2"/>
  <c r="C114" i="2"/>
  <c r="D6" i="9"/>
  <c r="D12" i="9"/>
  <c r="C20" i="9"/>
  <c r="G118" i="2"/>
  <c r="G120" i="2"/>
  <c r="F9" i="6"/>
  <c r="D20" i="9"/>
  <c r="D21" i="9"/>
  <c r="E20" i="9"/>
  <c r="E21" i="9"/>
  <c r="E120" i="2"/>
  <c r="D9" i="6"/>
  <c r="F120" i="2"/>
  <c r="E9" i="6"/>
  <c r="D122" i="2"/>
  <c r="C7" i="9"/>
  <c r="C13" i="9"/>
  <c r="C23" i="9"/>
  <c r="F7" i="9"/>
  <c r="F13" i="9"/>
  <c r="F23" i="9"/>
  <c r="E7" i="9"/>
  <c r="E13" i="9"/>
  <c r="E23" i="9"/>
  <c r="D7" i="9"/>
  <c r="D13" i="9"/>
  <c r="D23" i="9"/>
  <c r="C129" i="2"/>
  <c r="C135" i="2"/>
  <c r="B10" i="21"/>
  <c r="B12" i="21"/>
  <c r="B16" i="21"/>
  <c r="G22" i="8"/>
  <c r="F22" i="8"/>
  <c r="C22" i="8"/>
  <c r="E22" i="8"/>
  <c r="D22" i="8"/>
  <c r="C14" i="8"/>
  <c r="E122" i="2"/>
  <c r="D14" i="8"/>
  <c r="G122" i="2"/>
  <c r="F14" i="8"/>
  <c r="F122" i="2"/>
  <c r="E14" i="8"/>
  <c r="H44" i="2"/>
  <c r="C24" i="8"/>
  <c r="C25" i="8"/>
  <c r="D24" i="8"/>
  <c r="D25" i="8"/>
  <c r="E24" i="8"/>
  <c r="E25" i="8"/>
  <c r="F24" i="8"/>
  <c r="F25" i="8"/>
  <c r="H43" i="2"/>
  <c r="H115" i="2"/>
  <c r="H118" i="2"/>
  <c r="I44" i="2"/>
  <c r="J44" i="2"/>
  <c r="G15" i="9"/>
  <c r="G20" i="9"/>
  <c r="I43" i="2"/>
  <c r="G16" i="8"/>
  <c r="D13" i="2"/>
  <c r="D135" i="2"/>
  <c r="E13" i="2"/>
  <c r="F13" i="2"/>
  <c r="C5" i="8"/>
  <c r="G13" i="2"/>
  <c r="I115" i="2"/>
  <c r="I118" i="2"/>
  <c r="I122" i="2"/>
  <c r="H14" i="8"/>
  <c r="H25" i="8"/>
  <c r="H120" i="2"/>
  <c r="H122" i="2"/>
  <c r="G14" i="8"/>
  <c r="G24" i="8"/>
  <c r="H15" i="9"/>
  <c r="H20" i="9"/>
  <c r="AF13" i="2"/>
  <c r="J43" i="2"/>
  <c r="H16" i="8"/>
  <c r="I15" i="9"/>
  <c r="I20" i="9"/>
  <c r="K44" i="2"/>
  <c r="J115" i="2"/>
  <c r="J118" i="2"/>
  <c r="G7" i="9"/>
  <c r="G13" i="9"/>
  <c r="G23" i="9"/>
  <c r="G9" i="6"/>
  <c r="I120" i="2"/>
  <c r="G25" i="8"/>
  <c r="H24" i="8"/>
  <c r="AE13" i="2"/>
  <c r="AD12" i="8"/>
  <c r="V13" i="2"/>
  <c r="U12" i="8"/>
  <c r="U13" i="2"/>
  <c r="U135" i="2"/>
  <c r="J13" i="2"/>
  <c r="J135" i="2"/>
  <c r="E135" i="2"/>
  <c r="C12" i="8"/>
  <c r="C20" i="8"/>
  <c r="O13" i="2"/>
  <c r="N12" i="8"/>
  <c r="AB13" i="2"/>
  <c r="AA12" i="8"/>
  <c r="S13" i="2"/>
  <c r="R12" i="8"/>
  <c r="Z13" i="2"/>
  <c r="Z135" i="2"/>
  <c r="AG13" i="2"/>
  <c r="AF12" i="8"/>
  <c r="AC13" i="2"/>
  <c r="AB12" i="8"/>
  <c r="AA13" i="2"/>
  <c r="AA135" i="2"/>
  <c r="Q13" i="2"/>
  <c r="P12" i="8"/>
  <c r="P13" i="2"/>
  <c r="O12" i="8"/>
  <c r="G135" i="2"/>
  <c r="E12" i="8"/>
  <c r="W13" i="2"/>
  <c r="V12" i="8"/>
  <c r="T13" i="2"/>
  <c r="T135" i="2"/>
  <c r="Y13" i="2"/>
  <c r="X12" i="8"/>
  <c r="N13" i="2"/>
  <c r="M12" i="8"/>
  <c r="L13" i="2"/>
  <c r="K12" i="8"/>
  <c r="R13" i="2"/>
  <c r="R135" i="2"/>
  <c r="I13" i="2"/>
  <c r="H12" i="8"/>
  <c r="X13" i="2"/>
  <c r="X135" i="2"/>
  <c r="AD13" i="2"/>
  <c r="AC12" i="8"/>
  <c r="K13" i="2"/>
  <c r="K135" i="2"/>
  <c r="M13" i="2"/>
  <c r="L12" i="8"/>
  <c r="H13" i="2"/>
  <c r="G12" i="8"/>
  <c r="J120" i="2"/>
  <c r="I9" i="6"/>
  <c r="J122" i="2"/>
  <c r="I14" i="8"/>
  <c r="J15" i="9"/>
  <c r="J20" i="9"/>
  <c r="L44" i="2"/>
  <c r="K115" i="2"/>
  <c r="K118" i="2"/>
  <c r="K122" i="2"/>
  <c r="J14" i="8"/>
  <c r="K43" i="2"/>
  <c r="I16" i="8"/>
  <c r="AF135" i="2"/>
  <c r="AE12" i="8"/>
  <c r="H7" i="9"/>
  <c r="H13" i="9"/>
  <c r="H23" i="9"/>
  <c r="H9" i="6"/>
  <c r="S12" i="8"/>
  <c r="S20" i="8"/>
  <c r="Y135" i="2"/>
  <c r="AB135" i="2"/>
  <c r="I135" i="2"/>
  <c r="O135" i="2"/>
  <c r="Q135" i="2"/>
  <c r="AE135" i="2"/>
  <c r="N135" i="2"/>
  <c r="C19" i="8"/>
  <c r="P135" i="2"/>
  <c r="V135" i="2"/>
  <c r="W12" i="8"/>
  <c r="W20" i="8"/>
  <c r="Z12" i="8"/>
  <c r="Z20" i="8"/>
  <c r="E6" i="7"/>
  <c r="D5" i="8"/>
  <c r="E5" i="8"/>
  <c r="F5" i="8"/>
  <c r="G5" i="8"/>
  <c r="H5" i="8"/>
  <c r="I5" i="8"/>
  <c r="J5" i="8"/>
  <c r="K5" i="8"/>
  <c r="L5" i="8"/>
  <c r="B20" i="21"/>
  <c r="I12" i="8"/>
  <c r="I20" i="8"/>
  <c r="S135" i="2"/>
  <c r="D12" i="8"/>
  <c r="D19" i="8"/>
  <c r="L135" i="2"/>
  <c r="Y12" i="8"/>
  <c r="Y20" i="8"/>
  <c r="Q12" i="8"/>
  <c r="Q20" i="8"/>
  <c r="H135" i="2"/>
  <c r="AG135" i="2"/>
  <c r="B36" i="21"/>
  <c r="J12" i="8"/>
  <c r="J20" i="8"/>
  <c r="AD135" i="2"/>
  <c r="F12" i="8"/>
  <c r="F20" i="8"/>
  <c r="AC135" i="2"/>
  <c r="M135" i="2"/>
  <c r="B23" i="21"/>
  <c r="W135" i="2"/>
  <c r="T12" i="8"/>
  <c r="T20" i="8"/>
  <c r="F135" i="2"/>
  <c r="J25" i="8"/>
  <c r="L43" i="2"/>
  <c r="J16" i="8"/>
  <c r="J24" i="8"/>
  <c r="K120" i="2"/>
  <c r="J9" i="6"/>
  <c r="I25" i="8"/>
  <c r="I24" i="8"/>
  <c r="K15" i="9"/>
  <c r="K20" i="9"/>
  <c r="M44" i="2"/>
  <c r="L115" i="2"/>
  <c r="L118" i="2"/>
  <c r="L120" i="2"/>
  <c r="K9" i="6"/>
  <c r="I7" i="9"/>
  <c r="I13" i="9"/>
  <c r="I23" i="9"/>
  <c r="P20" i="8"/>
  <c r="U20" i="8"/>
  <c r="AA20" i="8"/>
  <c r="AB20" i="8"/>
  <c r="G20" i="8"/>
  <c r="G19" i="8"/>
  <c r="AD20" i="8"/>
  <c r="L20" i="8"/>
  <c r="V20" i="8"/>
  <c r="AF20" i="8"/>
  <c r="K20" i="8"/>
  <c r="E19" i="8"/>
  <c r="E20" i="8"/>
  <c r="R20" i="8"/>
  <c r="O20" i="8"/>
  <c r="N20" i="8"/>
  <c r="M20" i="8"/>
  <c r="AE20" i="8"/>
  <c r="AC20" i="8"/>
  <c r="X20" i="8"/>
  <c r="H19" i="8"/>
  <c r="H20" i="8"/>
  <c r="C17" i="2"/>
  <c r="B25" i="21"/>
  <c r="B29" i="21"/>
  <c r="C66" i="2"/>
  <c r="C68" i="2"/>
  <c r="C71" i="2"/>
  <c r="C73" i="2"/>
  <c r="C75" i="2"/>
  <c r="C27" i="8"/>
  <c r="C6" i="8"/>
  <c r="I19" i="8"/>
  <c r="I27" i="8"/>
  <c r="I6" i="8"/>
  <c r="M5" i="8"/>
  <c r="N5" i="8"/>
  <c r="O5" i="8"/>
  <c r="P5" i="8"/>
  <c r="Q5" i="8"/>
  <c r="R5" i="8"/>
  <c r="S5" i="8"/>
  <c r="T5" i="8"/>
  <c r="U5" i="8"/>
  <c r="V5" i="8"/>
  <c r="W5" i="8"/>
  <c r="X5" i="8"/>
  <c r="Y5" i="8"/>
  <c r="Z5" i="8"/>
  <c r="AA5" i="8"/>
  <c r="AB5" i="8"/>
  <c r="AC5" i="8"/>
  <c r="AD5" i="8"/>
  <c r="AE5" i="8"/>
  <c r="AF5" i="8"/>
  <c r="B33" i="21"/>
  <c r="B38" i="21"/>
  <c r="B42" i="21"/>
  <c r="F19" i="8"/>
  <c r="F27" i="8"/>
  <c r="F6" i="8"/>
  <c r="D20" i="8"/>
  <c r="D27" i="8"/>
  <c r="D6" i="8"/>
  <c r="L122" i="2"/>
  <c r="K14" i="8"/>
  <c r="K25" i="8"/>
  <c r="J19" i="8"/>
  <c r="J27" i="8"/>
  <c r="J6" i="8"/>
  <c r="L15" i="9"/>
  <c r="L20" i="9"/>
  <c r="N44" i="2"/>
  <c r="M115" i="2"/>
  <c r="M118" i="2"/>
  <c r="M120" i="2"/>
  <c r="L9" i="6"/>
  <c r="K16" i="8"/>
  <c r="K19" i="8"/>
  <c r="M43" i="2"/>
  <c r="J7" i="9"/>
  <c r="J13" i="9"/>
  <c r="J23" i="9"/>
  <c r="K7" i="9"/>
  <c r="K13" i="9"/>
  <c r="K23" i="9"/>
  <c r="H27" i="8"/>
  <c r="H6" i="8"/>
  <c r="G27" i="8"/>
  <c r="G6" i="8"/>
  <c r="E27" i="8"/>
  <c r="E6" i="8"/>
  <c r="D111" i="2"/>
  <c r="C5" i="9"/>
  <c r="C11" i="9"/>
  <c r="C18" i="2"/>
  <c r="C7" i="6"/>
  <c r="B6" i="5"/>
  <c r="K24" i="8"/>
  <c r="K27" i="8"/>
  <c r="K6" i="8"/>
  <c r="M122" i="2"/>
  <c r="L14" i="8"/>
  <c r="L7" i="9"/>
  <c r="L13" i="9"/>
  <c r="L23" i="9"/>
  <c r="M15" i="9"/>
  <c r="M20" i="9"/>
  <c r="O44" i="2"/>
  <c r="N115" i="2"/>
  <c r="N118" i="2"/>
  <c r="N43" i="2"/>
  <c r="L16" i="8"/>
  <c r="L19" i="8"/>
  <c r="I111" i="2"/>
  <c r="H5" i="9"/>
  <c r="H11" i="9"/>
  <c r="H18" i="9"/>
  <c r="H25" i="9"/>
  <c r="H18" i="6"/>
  <c r="C6" i="6"/>
  <c r="AB111" i="2"/>
  <c r="AA8" i="6"/>
  <c r="AG111" i="2"/>
  <c r="AF5" i="9"/>
  <c r="AF11" i="9"/>
  <c r="AF18" i="9"/>
  <c r="M111" i="2"/>
  <c r="L8" i="6"/>
  <c r="K111" i="2"/>
  <c r="J5" i="9"/>
  <c r="J11" i="9"/>
  <c r="AE111" i="2"/>
  <c r="AD5" i="9"/>
  <c r="AD11" i="9"/>
  <c r="AF111" i="2"/>
  <c r="AE5" i="9"/>
  <c r="AE11" i="9"/>
  <c r="AE18" i="9"/>
  <c r="Z111" i="2"/>
  <c r="Y8" i="6"/>
  <c r="J111" i="2"/>
  <c r="I5" i="9"/>
  <c r="I11" i="9"/>
  <c r="I18" i="9"/>
  <c r="I25" i="9"/>
  <c r="I18" i="6"/>
  <c r="F111" i="2"/>
  <c r="E5" i="9"/>
  <c r="E11" i="9"/>
  <c r="G111" i="2"/>
  <c r="F8" i="6"/>
  <c r="N111" i="2"/>
  <c r="M5" i="9"/>
  <c r="M11" i="9"/>
  <c r="M18" i="9"/>
  <c r="T111" i="2"/>
  <c r="S5" i="9"/>
  <c r="S11" i="9"/>
  <c r="S18" i="9"/>
  <c r="X111" i="2"/>
  <c r="W8" i="6"/>
  <c r="AC111" i="2"/>
  <c r="AB5" i="9"/>
  <c r="AB11" i="9"/>
  <c r="Y111" i="2"/>
  <c r="X5" i="9"/>
  <c r="X11" i="9"/>
  <c r="S111" i="2"/>
  <c r="R5" i="9"/>
  <c r="R11" i="9"/>
  <c r="R18" i="9"/>
  <c r="W111" i="2"/>
  <c r="V5" i="9"/>
  <c r="V11" i="9"/>
  <c r="V18" i="9"/>
  <c r="O111" i="2"/>
  <c r="N8" i="6"/>
  <c r="P111" i="2"/>
  <c r="O5" i="9"/>
  <c r="O11" i="9"/>
  <c r="O18" i="9"/>
  <c r="H111" i="2"/>
  <c r="G8" i="6"/>
  <c r="R111" i="2"/>
  <c r="Q5" i="9"/>
  <c r="Q11" i="9"/>
  <c r="Q18" i="9"/>
  <c r="E111" i="2"/>
  <c r="D8" i="6"/>
  <c r="AD111" i="2"/>
  <c r="AC5" i="9"/>
  <c r="AC11" i="9"/>
  <c r="AC18" i="9"/>
  <c r="L111" i="2"/>
  <c r="K5" i="9"/>
  <c r="K11" i="9"/>
  <c r="K18" i="9"/>
  <c r="K25" i="9"/>
  <c r="K18" i="6"/>
  <c r="V111" i="2"/>
  <c r="U5" i="9"/>
  <c r="U11" i="9"/>
  <c r="AA111" i="2"/>
  <c r="Z5" i="9"/>
  <c r="Z11" i="9"/>
  <c r="Z18" i="9"/>
  <c r="Q111" i="2"/>
  <c r="P5" i="9"/>
  <c r="P11" i="9"/>
  <c r="U111" i="2"/>
  <c r="T5" i="9"/>
  <c r="T11" i="9"/>
  <c r="C18" i="9"/>
  <c r="C25" i="9"/>
  <c r="C10" i="4"/>
  <c r="H8" i="6"/>
  <c r="H7" i="8"/>
  <c r="N122" i="2"/>
  <c r="M14" i="8"/>
  <c r="L24" i="8"/>
  <c r="L25" i="8"/>
  <c r="N15" i="9"/>
  <c r="N20" i="9"/>
  <c r="P44" i="2"/>
  <c r="O115" i="2"/>
  <c r="O118" i="2"/>
  <c r="O122" i="2"/>
  <c r="N14" i="8"/>
  <c r="O43" i="2"/>
  <c r="M16" i="8"/>
  <c r="M19" i="8"/>
  <c r="N120" i="2"/>
  <c r="M9" i="6"/>
  <c r="AB8" i="6"/>
  <c r="W5" i="9"/>
  <c r="W11" i="9"/>
  <c r="W18" i="9"/>
  <c r="I8" i="6"/>
  <c r="I7" i="8"/>
  <c r="O8" i="6"/>
  <c r="L5" i="9"/>
  <c r="L11" i="9"/>
  <c r="L18" i="9"/>
  <c r="L25" i="9"/>
  <c r="L18" i="6"/>
  <c r="AC8" i="6"/>
  <c r="AF8" i="6"/>
  <c r="N5" i="9"/>
  <c r="N11" i="9"/>
  <c r="N18" i="9"/>
  <c r="M8" i="6"/>
  <c r="AA5" i="9"/>
  <c r="AA11" i="9"/>
  <c r="AA18" i="9"/>
  <c r="Z8" i="6"/>
  <c r="P8" i="6"/>
  <c r="K8" i="6"/>
  <c r="K7" i="8"/>
  <c r="U8" i="6"/>
  <c r="Y5" i="9"/>
  <c r="Y11" i="9"/>
  <c r="Y18" i="9"/>
  <c r="S8" i="6"/>
  <c r="AD8" i="6"/>
  <c r="V8" i="6"/>
  <c r="X8" i="6"/>
  <c r="D5" i="9"/>
  <c r="D11" i="9"/>
  <c r="D18" i="9"/>
  <c r="D25" i="9"/>
  <c r="D18" i="6"/>
  <c r="C8" i="6"/>
  <c r="C12" i="6"/>
  <c r="D7" i="6"/>
  <c r="D12" i="6"/>
  <c r="G5" i="9"/>
  <c r="G11" i="9"/>
  <c r="G18" i="9"/>
  <c r="G25" i="9"/>
  <c r="G18" i="6"/>
  <c r="F5" i="9"/>
  <c r="F11" i="9"/>
  <c r="F18" i="9"/>
  <c r="F25" i="9"/>
  <c r="F18" i="6"/>
  <c r="J8" i="6"/>
  <c r="J7" i="8"/>
  <c r="Q8" i="6"/>
  <c r="R8" i="6"/>
  <c r="E8" i="6"/>
  <c r="E6" i="4"/>
  <c r="T8" i="6"/>
  <c r="AE8" i="6"/>
  <c r="H10" i="4"/>
  <c r="D6" i="4"/>
  <c r="D7" i="8"/>
  <c r="AB18" i="9"/>
  <c r="T18" i="9"/>
  <c r="U18" i="9"/>
  <c r="I10" i="4"/>
  <c r="E18" i="9"/>
  <c r="E25" i="9"/>
  <c r="E18" i="6"/>
  <c r="L7" i="8"/>
  <c r="L6" i="4"/>
  <c r="K10" i="4"/>
  <c r="AD18" i="9"/>
  <c r="P18" i="9"/>
  <c r="G6" i="4"/>
  <c r="G7" i="8"/>
  <c r="X18" i="9"/>
  <c r="F6" i="4"/>
  <c r="F7" i="8"/>
  <c r="J18" i="9"/>
  <c r="J25" i="9"/>
  <c r="J18" i="6"/>
  <c r="C18" i="6"/>
  <c r="C19" i="6"/>
  <c r="C20" i="6"/>
  <c r="C23" i="6"/>
  <c r="L27" i="8"/>
  <c r="L6" i="8"/>
  <c r="H6" i="4"/>
  <c r="O120" i="2"/>
  <c r="N9" i="6"/>
  <c r="O15" i="9"/>
  <c r="O20" i="9"/>
  <c r="Q44" i="2"/>
  <c r="P115" i="2"/>
  <c r="P118" i="2"/>
  <c r="M7" i="9"/>
  <c r="M13" i="9"/>
  <c r="M7" i="8"/>
  <c r="M24" i="8"/>
  <c r="M25" i="8"/>
  <c r="P43" i="2"/>
  <c r="N16" i="8"/>
  <c r="N19" i="8"/>
  <c r="N25" i="8"/>
  <c r="I6" i="4"/>
  <c r="L10" i="4"/>
  <c r="J6" i="4"/>
  <c r="K6" i="4"/>
  <c r="E7" i="8"/>
  <c r="D10" i="4"/>
  <c r="F10" i="4"/>
  <c r="H10" i="6"/>
  <c r="G10" i="6"/>
  <c r="C6" i="4"/>
  <c r="K10" i="6"/>
  <c r="B7" i="5"/>
  <c r="B8" i="5"/>
  <c r="B10" i="5"/>
  <c r="J10" i="6"/>
  <c r="C10" i="6"/>
  <c r="L10" i="6"/>
  <c r="I10" i="6"/>
  <c r="C7" i="8"/>
  <c r="D10" i="6"/>
  <c r="F10" i="6"/>
  <c r="E10" i="6"/>
  <c r="J10" i="4"/>
  <c r="C7" i="5"/>
  <c r="E7" i="6"/>
  <c r="E12" i="6"/>
  <c r="G10" i="4"/>
  <c r="E10" i="4"/>
  <c r="D19" i="6"/>
  <c r="D20" i="6"/>
  <c r="N7" i="9"/>
  <c r="N13" i="9"/>
  <c r="N23" i="9"/>
  <c r="M10" i="6"/>
  <c r="N10" i="6"/>
  <c r="M6" i="4"/>
  <c r="N24" i="8"/>
  <c r="N27" i="8"/>
  <c r="N6" i="8"/>
  <c r="M27" i="8"/>
  <c r="M6" i="8"/>
  <c r="Q43" i="2"/>
  <c r="O16" i="8"/>
  <c r="O19" i="8"/>
  <c r="N6" i="4"/>
  <c r="N7" i="8"/>
  <c r="P122" i="2"/>
  <c r="O14" i="8"/>
  <c r="P120" i="2"/>
  <c r="O9" i="6"/>
  <c r="M23" i="9"/>
  <c r="M25" i="9"/>
  <c r="M18" i="6"/>
  <c r="P15" i="9"/>
  <c r="P20" i="9"/>
  <c r="R44" i="2"/>
  <c r="Q115" i="2"/>
  <c r="Q118" i="2"/>
  <c r="E8" i="7"/>
  <c r="D7" i="5"/>
  <c r="F7" i="6"/>
  <c r="F12" i="6"/>
  <c r="E19" i="6"/>
  <c r="E20" i="6"/>
  <c r="F19" i="6"/>
  <c r="F20" i="6"/>
  <c r="G19" i="6"/>
  <c r="G20" i="6"/>
  <c r="H19" i="6"/>
  <c r="H20" i="6"/>
  <c r="I19" i="6"/>
  <c r="I20" i="6"/>
  <c r="J19" i="6"/>
  <c r="J20" i="6"/>
  <c r="K19" i="6"/>
  <c r="K20" i="6"/>
  <c r="L19" i="6"/>
  <c r="L20" i="6"/>
  <c r="M19" i="6"/>
  <c r="M20" i="6"/>
  <c r="N25" i="9"/>
  <c r="N18" i="6"/>
  <c r="Q15" i="9"/>
  <c r="Q20" i="9"/>
  <c r="S44" i="2"/>
  <c r="R115" i="2"/>
  <c r="R118" i="2"/>
  <c r="P16" i="8"/>
  <c r="P19" i="8"/>
  <c r="R43" i="2"/>
  <c r="M10" i="4"/>
  <c r="O7" i="9"/>
  <c r="O13" i="9"/>
  <c r="O25" i="8"/>
  <c r="O24" i="8"/>
  <c r="Q122" i="2"/>
  <c r="P14" i="8"/>
  <c r="Q120" i="2"/>
  <c r="P9" i="6"/>
  <c r="E7" i="5"/>
  <c r="G7" i="6"/>
  <c r="G12" i="6"/>
  <c r="N19" i="6"/>
  <c r="N20" i="6"/>
  <c r="N10" i="4"/>
  <c r="O27" i="8"/>
  <c r="O6" i="8"/>
  <c r="O7" i="8"/>
  <c r="O6" i="4"/>
  <c r="O10" i="6"/>
  <c r="O23" i="9"/>
  <c r="O25" i="9"/>
  <c r="O18" i="6"/>
  <c r="P25" i="8"/>
  <c r="P24" i="8"/>
  <c r="R15" i="9"/>
  <c r="R20" i="9"/>
  <c r="T44" i="2"/>
  <c r="S115" i="2"/>
  <c r="S118" i="2"/>
  <c r="P7" i="9"/>
  <c r="P13" i="9"/>
  <c r="S43" i="2"/>
  <c r="Q16" i="8"/>
  <c r="Q19" i="8"/>
  <c r="R122" i="2"/>
  <c r="Q14" i="8"/>
  <c r="R120" i="2"/>
  <c r="Q9" i="6"/>
  <c r="F7" i="5"/>
  <c r="H7" i="6"/>
  <c r="H12" i="6"/>
  <c r="O19" i="6"/>
  <c r="O20" i="6"/>
  <c r="P27" i="8"/>
  <c r="P6" i="8"/>
  <c r="O10" i="4"/>
  <c r="P23" i="9"/>
  <c r="P25" i="9"/>
  <c r="P18" i="6"/>
  <c r="S120" i="2"/>
  <c r="R9" i="6"/>
  <c r="S122" i="2"/>
  <c r="R14" i="8"/>
  <c r="S15" i="9"/>
  <c r="S20" i="9"/>
  <c r="U44" i="2"/>
  <c r="T115" i="2"/>
  <c r="T118" i="2"/>
  <c r="Q25" i="8"/>
  <c r="Q24" i="8"/>
  <c r="P7" i="8"/>
  <c r="P6" i="4"/>
  <c r="Q7" i="9"/>
  <c r="Q13" i="9"/>
  <c r="Q10" i="6"/>
  <c r="P10" i="6"/>
  <c r="T43" i="2"/>
  <c r="R16" i="8"/>
  <c r="R19" i="8"/>
  <c r="G7" i="5"/>
  <c r="I7" i="6"/>
  <c r="I12" i="6"/>
  <c r="P19" i="6"/>
  <c r="P20" i="6"/>
  <c r="Q27" i="8"/>
  <c r="Q6" i="8"/>
  <c r="U43" i="2"/>
  <c r="S16" i="8"/>
  <c r="S19" i="8"/>
  <c r="Q6" i="4"/>
  <c r="Q7" i="8"/>
  <c r="P10" i="4"/>
  <c r="Q23" i="9"/>
  <c r="Q25" i="9"/>
  <c r="Q18" i="6"/>
  <c r="T122" i="2"/>
  <c r="S14" i="8"/>
  <c r="T120" i="2"/>
  <c r="S9" i="6"/>
  <c r="R25" i="8"/>
  <c r="R24" i="8"/>
  <c r="R7" i="9"/>
  <c r="R13" i="9"/>
  <c r="T15" i="9"/>
  <c r="T20" i="9"/>
  <c r="V44" i="2"/>
  <c r="U115" i="2"/>
  <c r="U118" i="2"/>
  <c r="J7" i="6"/>
  <c r="J12" i="6"/>
  <c r="H7" i="5"/>
  <c r="Q19" i="6"/>
  <c r="Q20" i="6"/>
  <c r="R27" i="8"/>
  <c r="R6" i="8"/>
  <c r="U120" i="2"/>
  <c r="T9" i="6"/>
  <c r="U122" i="2"/>
  <c r="T14" i="8"/>
  <c r="S24" i="8"/>
  <c r="S25" i="8"/>
  <c r="T16" i="8"/>
  <c r="T19" i="8"/>
  <c r="V43" i="2"/>
  <c r="U15" i="9"/>
  <c r="U20" i="9"/>
  <c r="W44" i="2"/>
  <c r="V115" i="2"/>
  <c r="V118" i="2"/>
  <c r="Q10" i="4"/>
  <c r="R23" i="9"/>
  <c r="R25" i="9"/>
  <c r="R18" i="6"/>
  <c r="R6" i="4"/>
  <c r="R7" i="8"/>
  <c r="S7" i="9"/>
  <c r="S13" i="9"/>
  <c r="S10" i="6"/>
  <c r="R10" i="6"/>
  <c r="I7" i="5"/>
  <c r="K7" i="6"/>
  <c r="K12" i="6"/>
  <c r="R19" i="6"/>
  <c r="R20" i="6"/>
  <c r="S27" i="8"/>
  <c r="S6" i="8"/>
  <c r="V15" i="9"/>
  <c r="V20" i="9"/>
  <c r="X44" i="2"/>
  <c r="W115" i="2"/>
  <c r="W118" i="2"/>
  <c r="S7" i="8"/>
  <c r="S6" i="4"/>
  <c r="S23" i="9"/>
  <c r="S25" i="9"/>
  <c r="S18" i="6"/>
  <c r="R10" i="4"/>
  <c r="V120" i="2"/>
  <c r="U9" i="6"/>
  <c r="V122" i="2"/>
  <c r="U14" i="8"/>
  <c r="T25" i="8"/>
  <c r="T24" i="8"/>
  <c r="T7" i="9"/>
  <c r="T13" i="9"/>
  <c r="W43" i="2"/>
  <c r="U16" i="8"/>
  <c r="U19" i="8"/>
  <c r="J7" i="5"/>
  <c r="L7" i="6"/>
  <c r="L12" i="6"/>
  <c r="S19" i="6"/>
  <c r="S20" i="6"/>
  <c r="T27" i="8"/>
  <c r="T6" i="8"/>
  <c r="S10" i="4"/>
  <c r="U7" i="9"/>
  <c r="U13" i="9"/>
  <c r="W15" i="9"/>
  <c r="W20" i="9"/>
  <c r="Y44" i="2"/>
  <c r="X115" i="2"/>
  <c r="X118" i="2"/>
  <c r="X43" i="2"/>
  <c r="V16" i="8"/>
  <c r="V19" i="8"/>
  <c r="T23" i="9"/>
  <c r="T25" i="9"/>
  <c r="T18" i="6"/>
  <c r="U24" i="8"/>
  <c r="U25" i="8"/>
  <c r="W120" i="2"/>
  <c r="V9" i="6"/>
  <c r="W122" i="2"/>
  <c r="V14" i="8"/>
  <c r="T6" i="4"/>
  <c r="T7" i="8"/>
  <c r="T10" i="6"/>
  <c r="M7" i="6"/>
  <c r="M12" i="6"/>
  <c r="K7" i="5"/>
  <c r="T19" i="6"/>
  <c r="T20" i="6"/>
  <c r="U27" i="8"/>
  <c r="U6" i="8"/>
  <c r="V24" i="8"/>
  <c r="V25" i="8"/>
  <c r="Y43" i="2"/>
  <c r="W16" i="8"/>
  <c r="W19" i="8"/>
  <c r="V7" i="9"/>
  <c r="V13" i="9"/>
  <c r="X122" i="2"/>
  <c r="W14" i="8"/>
  <c r="X120" i="2"/>
  <c r="W9" i="6"/>
  <c r="X15" i="9"/>
  <c r="X20" i="9"/>
  <c r="Z44" i="2"/>
  <c r="Y115" i="2"/>
  <c r="Y118" i="2"/>
  <c r="U6" i="4"/>
  <c r="U7" i="8"/>
  <c r="U10" i="6"/>
  <c r="T10" i="4"/>
  <c r="U23" i="9"/>
  <c r="U25" i="9"/>
  <c r="U18" i="6"/>
  <c r="U19" i="6"/>
  <c r="U20" i="6"/>
  <c r="L7" i="5"/>
  <c r="N7" i="6"/>
  <c r="N12" i="6"/>
  <c r="V27" i="8"/>
  <c r="V6" i="8"/>
  <c r="U10" i="4"/>
  <c r="V23" i="9"/>
  <c r="V25" i="9"/>
  <c r="V18" i="6"/>
  <c r="V19" i="6"/>
  <c r="V20" i="6"/>
  <c r="V7" i="8"/>
  <c r="V6" i="4"/>
  <c r="Y122" i="2"/>
  <c r="X14" i="8"/>
  <c r="Y120" i="2"/>
  <c r="X9" i="6"/>
  <c r="Y15" i="9"/>
  <c r="Y20" i="9"/>
  <c r="AA44" i="2"/>
  <c r="Z115" i="2"/>
  <c r="Z118" i="2"/>
  <c r="Z43" i="2"/>
  <c r="X16" i="8"/>
  <c r="X19" i="8"/>
  <c r="V10" i="6"/>
  <c r="W7" i="9"/>
  <c r="W13" i="9"/>
  <c r="W10" i="6"/>
  <c r="W24" i="8"/>
  <c r="W25" i="8"/>
  <c r="M7" i="5"/>
  <c r="O7" i="6"/>
  <c r="O12" i="6"/>
  <c r="W27" i="8"/>
  <c r="W6" i="8"/>
  <c r="Z15" i="9"/>
  <c r="Z20" i="9"/>
  <c r="AB44" i="2"/>
  <c r="AA115" i="2"/>
  <c r="AA118" i="2"/>
  <c r="AA43" i="2"/>
  <c r="Y16" i="8"/>
  <c r="Y19" i="8"/>
  <c r="V10" i="4"/>
  <c r="Z120" i="2"/>
  <c r="Y9" i="6"/>
  <c r="Z122" i="2"/>
  <c r="Y14" i="8"/>
  <c r="X7" i="9"/>
  <c r="X13" i="9"/>
  <c r="W23" i="9"/>
  <c r="W25" i="9"/>
  <c r="W18" i="6"/>
  <c r="W19" i="6"/>
  <c r="W20" i="6"/>
  <c r="W7" i="8"/>
  <c r="W6" i="4"/>
  <c r="X24" i="8"/>
  <c r="X25" i="8"/>
  <c r="N7" i="5"/>
  <c r="P7" i="6"/>
  <c r="P12" i="6"/>
  <c r="X27" i="8"/>
  <c r="X6" i="8"/>
  <c r="W10" i="4"/>
  <c r="X6" i="4"/>
  <c r="X7" i="8"/>
  <c r="X10" i="6"/>
  <c r="AA120" i="2"/>
  <c r="Z9" i="6"/>
  <c r="AA122" i="2"/>
  <c r="Z14" i="8"/>
  <c r="X23" i="9"/>
  <c r="X25" i="9"/>
  <c r="X18" i="6"/>
  <c r="X19" i="6"/>
  <c r="X20" i="6"/>
  <c r="Z16" i="8"/>
  <c r="Z19" i="8"/>
  <c r="AB43" i="2"/>
  <c r="Y24" i="8"/>
  <c r="Y25" i="8"/>
  <c r="AA15" i="9"/>
  <c r="AA20" i="9"/>
  <c r="AC44" i="2"/>
  <c r="AB115" i="2"/>
  <c r="AB118" i="2"/>
  <c r="Y7" i="9"/>
  <c r="Y13" i="9"/>
  <c r="O7" i="5"/>
  <c r="Q7" i="6"/>
  <c r="Q12" i="6"/>
  <c r="Y27" i="8"/>
  <c r="Y6" i="8"/>
  <c r="Y7" i="8"/>
  <c r="Y6" i="4"/>
  <c r="Y10" i="6"/>
  <c r="AC43" i="2"/>
  <c r="AA16" i="8"/>
  <c r="AA19" i="8"/>
  <c r="AB120" i="2"/>
  <c r="AA9" i="6"/>
  <c r="AB122" i="2"/>
  <c r="AA14" i="8"/>
  <c r="X10" i="4"/>
  <c r="AB15" i="9"/>
  <c r="AB20" i="9"/>
  <c r="AD44" i="2"/>
  <c r="AC115" i="2"/>
  <c r="AC118" i="2"/>
  <c r="Z7" i="9"/>
  <c r="Z13" i="9"/>
  <c r="Y23" i="9"/>
  <c r="Y25" i="9"/>
  <c r="Y18" i="6"/>
  <c r="Y19" i="6"/>
  <c r="Y20" i="6"/>
  <c r="Z25" i="8"/>
  <c r="Z24" i="8"/>
  <c r="P7" i="5"/>
  <c r="R7" i="6"/>
  <c r="R12" i="6"/>
  <c r="Z27" i="8"/>
  <c r="Z6" i="8"/>
  <c r="AA7" i="9"/>
  <c r="AA13" i="9"/>
  <c r="Z6" i="4"/>
  <c r="Z7" i="8"/>
  <c r="Z10" i="6"/>
  <c r="Z23" i="9"/>
  <c r="Z25" i="9"/>
  <c r="Z18" i="6"/>
  <c r="Z19" i="6"/>
  <c r="Z20" i="6"/>
  <c r="AD43" i="2"/>
  <c r="AB16" i="8"/>
  <c r="AB19" i="8"/>
  <c r="AA25" i="8"/>
  <c r="AA24" i="8"/>
  <c r="AC15" i="9"/>
  <c r="AC20" i="9"/>
  <c r="AE44" i="2"/>
  <c r="AD115" i="2"/>
  <c r="AD118" i="2"/>
  <c r="AC120" i="2"/>
  <c r="AB9" i="6"/>
  <c r="AC122" i="2"/>
  <c r="AB14" i="8"/>
  <c r="Y10" i="4"/>
  <c r="Q7" i="5"/>
  <c r="S7" i="6"/>
  <c r="S12" i="6"/>
  <c r="AA27" i="8"/>
  <c r="AA6" i="8"/>
  <c r="AD120" i="2"/>
  <c r="AC9" i="6"/>
  <c r="AD122" i="2"/>
  <c r="AC14" i="8"/>
  <c r="AD15" i="9"/>
  <c r="AD20" i="9"/>
  <c r="AF44" i="2"/>
  <c r="AE115" i="2"/>
  <c r="AE118" i="2"/>
  <c r="AA6" i="4"/>
  <c r="AA7" i="8"/>
  <c r="AA10" i="6"/>
  <c r="AA23" i="9"/>
  <c r="AA25" i="9"/>
  <c r="AA18" i="6"/>
  <c r="AA19" i="6"/>
  <c r="AA20" i="6"/>
  <c r="Z10" i="4"/>
  <c r="AB24" i="8"/>
  <c r="AB25" i="8"/>
  <c r="AB7" i="9"/>
  <c r="AB13" i="9"/>
  <c r="AE43" i="2"/>
  <c r="AC16" i="8"/>
  <c r="AC19" i="8"/>
  <c r="R7" i="5"/>
  <c r="T7" i="6"/>
  <c r="T12" i="6"/>
  <c r="AB27" i="8"/>
  <c r="AB6" i="8"/>
  <c r="AE15" i="9"/>
  <c r="AE20" i="9"/>
  <c r="AG44" i="2"/>
  <c r="AF115" i="2"/>
  <c r="AF118" i="2"/>
  <c r="AE120" i="2"/>
  <c r="AD9" i="6"/>
  <c r="AE122" i="2"/>
  <c r="AD14" i="8"/>
  <c r="AC24" i="8"/>
  <c r="AC25" i="8"/>
  <c r="AA10" i="4"/>
  <c r="AC7" i="9"/>
  <c r="AC13" i="9"/>
  <c r="AD16" i="8"/>
  <c r="AD19" i="8"/>
  <c r="AF43" i="2"/>
  <c r="AB6" i="4"/>
  <c r="AB7" i="8"/>
  <c r="AB10" i="6"/>
  <c r="AB23" i="9"/>
  <c r="AB25" i="9"/>
  <c r="AB18" i="6"/>
  <c r="AB19" i="6"/>
  <c r="AB20" i="6"/>
  <c r="U7" i="6"/>
  <c r="U12" i="6"/>
  <c r="S7" i="5"/>
  <c r="AC27" i="8"/>
  <c r="AC6" i="8"/>
  <c r="AC23" i="9"/>
  <c r="AC25" i="9"/>
  <c r="AC18" i="6"/>
  <c r="AC19" i="6"/>
  <c r="AC20" i="6"/>
  <c r="AC6" i="4"/>
  <c r="AC7" i="8"/>
  <c r="AC10" i="6"/>
  <c r="AD24" i="8"/>
  <c r="AD25" i="8"/>
  <c r="AF15" i="9"/>
  <c r="AF20" i="9"/>
  <c r="AG115" i="2"/>
  <c r="AG118" i="2"/>
  <c r="AD7" i="9"/>
  <c r="AD13" i="9"/>
  <c r="AF122" i="2"/>
  <c r="AE14" i="8"/>
  <c r="AF120" i="2"/>
  <c r="AE9" i="6"/>
  <c r="AG43" i="2"/>
  <c r="AE16" i="8"/>
  <c r="AE19" i="8"/>
  <c r="AB10" i="4"/>
  <c r="V7" i="6"/>
  <c r="V12" i="6"/>
  <c r="T7" i="5"/>
  <c r="AD27" i="8"/>
  <c r="AD6" i="8"/>
  <c r="AC10" i="4"/>
  <c r="AD6" i="4"/>
  <c r="AD7" i="8"/>
  <c r="AD10" i="6"/>
  <c r="AD23" i="9"/>
  <c r="AD25" i="9"/>
  <c r="AD18" i="6"/>
  <c r="AD19" i="6"/>
  <c r="AD20" i="6"/>
  <c r="AG120" i="2"/>
  <c r="AF9" i="6"/>
  <c r="AG122" i="2"/>
  <c r="AF14" i="8"/>
  <c r="AE7" i="9"/>
  <c r="AE13" i="9"/>
  <c r="AE24" i="8"/>
  <c r="AE25" i="8"/>
  <c r="AF16" i="8"/>
  <c r="AF19" i="8"/>
  <c r="W7" i="6"/>
  <c r="W12" i="6"/>
  <c r="U7" i="5"/>
  <c r="AE27" i="8"/>
  <c r="AE6" i="8"/>
  <c r="AD10" i="4"/>
  <c r="AE7" i="8"/>
  <c r="AE6" i="4"/>
  <c r="AE10" i="6"/>
  <c r="AF7" i="9"/>
  <c r="AF13" i="9"/>
  <c r="AE23" i="9"/>
  <c r="AE25" i="9"/>
  <c r="AE18" i="6"/>
  <c r="AE19" i="6"/>
  <c r="AE20" i="6"/>
  <c r="AF25" i="8"/>
  <c r="AF24" i="8"/>
  <c r="V7" i="5"/>
  <c r="X7" i="6"/>
  <c r="X12" i="6"/>
  <c r="AF27" i="8"/>
  <c r="AF6" i="8"/>
  <c r="AF7" i="8"/>
  <c r="AF6" i="4"/>
  <c r="AF10" i="6"/>
  <c r="AE10" i="4"/>
  <c r="AF23" i="9"/>
  <c r="AF25" i="9"/>
  <c r="AF18" i="6"/>
  <c r="AF19" i="6"/>
  <c r="AF20" i="6"/>
  <c r="Y7" i="6"/>
  <c r="Y12" i="6"/>
  <c r="W7" i="5"/>
  <c r="AF10" i="4"/>
  <c r="X7" i="5"/>
  <c r="Z7" i="6"/>
  <c r="Z12" i="6"/>
  <c r="Y7" i="5"/>
  <c r="AA7" i="6"/>
  <c r="AA12" i="6"/>
  <c r="Z7" i="5"/>
  <c r="AB7" i="6"/>
  <c r="AB12" i="6"/>
  <c r="AA7" i="5"/>
  <c r="AC7" i="6"/>
  <c r="AC12" i="6"/>
  <c r="AB7" i="5"/>
  <c r="AD7" i="6"/>
  <c r="AD12" i="6"/>
  <c r="AC7" i="5"/>
  <c r="AE7" i="6"/>
  <c r="AE12" i="6"/>
  <c r="AD7" i="5"/>
  <c r="AF7" i="6"/>
  <c r="AF12" i="6"/>
  <c r="AE7" i="5"/>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<sst xmlns="http://schemas.openxmlformats.org/spreadsheetml/2006/main" count="277" uniqueCount="205">
  <si>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</si>
  <si>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</si>
  <si>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</si>
  <si>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</si>
  <si>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</si>
  <si>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</si>
  <si>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</si>
  <si>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</si>
  <si>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</si>
  <si>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</si>
  <si>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</si>
  <si>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</si>
  <si>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</si>
  <si>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</si>
  <si>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</si>
  <si>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</si>
  <si>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</si>
  <si>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</si>
  <si>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</si>
  <si>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</si>
  <si>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</si>
  <si>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</si>
  <si>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</si>
  <si>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</si>
  <si>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</si>
  <si>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</si>
  <si>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</si>
  <si>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</si>
  <si>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</si>
  <si>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</si>
  <si>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</si>
  <si>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</si>
  <si>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</si>
  <si>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</si>
  <si>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</si>
  <si>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</si>
  <si>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</si>
  <si>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</si>
  <si>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</si>
  <si>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</si>
  <si>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</si>
  <si>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</si>
  <si>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</si>
  <si>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</si>
  <si>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</si>
  <si>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</si>
  <si>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</si>
  <si>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</si>
  <si>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</si>
  <si>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</si>
  <si>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</si>
  <si>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</si>
  <si>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</si>
  <si>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</si>
  <si>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</si>
  <si>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</si>
  <si>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</si>
  <si>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</si>
  <si>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</si>
  <si>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</si>
  <si>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</si>
  <si>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</si>
  <si>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</si>
  <si>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</si>
  <si>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</si>
  <si>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</si>
  <si>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</si>
  <si>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</si>
  <si>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</si>
  <si>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</si>
  <si>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</si>
  <si>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</si>
  <si>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</si>
  <si>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</si>
  <si>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</si>
  <si>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</si>
  <si>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</si>
  <si>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</si>
  <si>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</si>
  <si>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</si>
  <si>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</si>
  <si>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</si>
  <si>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</si>
  <si>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</si>
  <si>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</si>
  <si>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</si>
  <si>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</si>
  <si>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</si>
  <si>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</si>
  <si>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</si>
  <si>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</si>
  <si>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</si>
  <si>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</si>
  <si>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</si>
  <si>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</si>
  <si>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</si>
  <si>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</si>
  <si>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</si>
  <si>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</si>
  <si>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</si>
  <si>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</si>
  <si>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</si>
  <si>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</si>
  <si>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</si>
  <si>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</si>
  <si>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</si>
  <si>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</si>
  <si>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</si>
  <si>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</si>
  <si>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</si>
  <si>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</si>
  <si>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</si>
  <si>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</si>
  <si>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</si>
  <si>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</si>
  <si>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</si>
  <si>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</si>
  <si>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</si>
  <si>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</si>
  <si>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</si>
  <si>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</si>
  <si>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</si>
  <si>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</si>
  <si>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</si>
  <si>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</si>
  <si>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</si>
  <si>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</si>
  <si>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</si>
  <si>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</si>
  <si>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</si>
  <si>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</si>
  <si>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</si>
  <si>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</si>
  <si>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</si>
  <si>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</si>
  <si>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</si>
  <si>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</si>
  <si>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</si>
  <si>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</si>
  <si>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</si>
  <si>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</si>
  <si>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</si>
  <si>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</si>
  <si>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</si>
  <si>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</si>
  <si>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</si>
  <si>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</si>
  <si>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</si>
  <si>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</si>
  <si>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</si>
  <si>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</si>
  <si>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</si>
  <si>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</si>
  <si>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</si>
  <si>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</si>
  <si>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</si>
  <si>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</si>
  <si>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</si>
  <si>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</si>
  <si>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</si>
  <si>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</si>
  <si>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</si>
  <si>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</si>
  <si>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</si>
  <si>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</si>
  <si>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</si>
  <si>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</si>
  <si>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</si>
  <si>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</si>
  <si>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</si>
  <si>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</si>
  <si>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</si>
  <si>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</si>
  <si>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</si>
  <si>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</si>
  <si>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</si>
  <si>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</si>
  <si>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</si>
  <si>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</si>
  <si>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</si>
  <si>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</si>
  <si>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</si>
  <si>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</si>
  <si>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</si>
  <si>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</si>
  <si>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</si>
  <si>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</si>
  <si>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</si>
  <si>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</si>
  <si>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</si>
  <si>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</si>
  <si>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</si>
  <si>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</si>
  <si>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</si>
  <si>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RFI Table A1; Line A1.43</t>
  </si>
  <si>
    <t>Ashburton District Stand-alone Council</t>
  </si>
  <si>
    <t>Funding Impact Statements for water, wastewater and stormwater from the Council Annual Report 2019/20. The Annual Report was used given that the operating expenditure reported in Section E did not reconcile with that reported in the Annual Report and Accounts</t>
  </si>
  <si>
    <t>RFI Table G1; Calculated from additional properties connected in the year (line G1.3b - population growth) divided by properties served in 2019/20</t>
  </si>
  <si>
    <t>New Zealand wide assumption based on the observed split in Great Britain</t>
  </si>
  <si>
    <t>Modelled based on investment requirements and operating expenditure forecasts</t>
  </si>
  <si>
    <t>Assumed inflation of 2.2% per annum from DIA's commercial and financial advisors</t>
  </si>
  <si>
    <t xml:space="preserve">Based on dividing the connected population from the RFI Table A (Lines A1.43 and A3.58) by the household occupancy rate of 2.7 people per household across New Zealand (as reported by Stats NZ) </t>
  </si>
  <si>
    <t>Calculated from the growth projections from the RFI Table G; line G1.3b</t>
  </si>
  <si>
    <t>Consistent with reaching a percentage split of 30% for short-medium life assets by 2051. This split is in line with international experience</t>
  </si>
  <si>
    <t>Consistent with reaching a percentage split of 70% for long life assets by 2051. This split is in line with international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</si>
</sst>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rgb="FFFF0000"/>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7">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5"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6" fillId="0" borderId="0" xfId="0" applyFont="1"/>
    <xf numFmtId="0" fontId="17" fillId="0" borderId="0" xfId="0" applyFont="1"/>
    <xf numFmtId="166" fontId="17" fillId="0" borderId="0" xfId="2" applyNumberFormat="1" applyFont="1" applyFill="1" applyAlignment="1">
      <alignment horizontal="center"/>
    </xf>
    <xf numFmtId="9" fontId="17" fillId="0" borderId="0" xfId="3" applyFont="1" applyFill="1" applyAlignment="1">
      <alignment horizontal="center"/>
    </xf>
    <xf numFmtId="167" fontId="17" fillId="0" borderId="0" xfId="0" applyNumberFormat="1" applyFont="1" applyAlignment="1">
      <alignment horizontal="center"/>
    </xf>
    <xf numFmtId="0" fontId="17" fillId="0" borderId="0" xfId="0" applyFont="1" applyFill="1"/>
    <xf numFmtId="3" fontId="17" fillId="0" borderId="0" xfId="1" applyNumberFormat="1" applyFont="1" applyFill="1" applyAlignment="1">
      <alignment horizontal="center"/>
    </xf>
    <xf numFmtId="0" fontId="18" fillId="0" borderId="0" xfId="0" applyFont="1" applyFill="1"/>
    <xf numFmtId="166" fontId="18" fillId="0" borderId="0" xfId="2" applyNumberFormat="1" applyFont="1" applyFill="1" applyAlignment="1">
      <alignment horizontal="center"/>
    </xf>
    <xf numFmtId="2" fontId="17" fillId="0" borderId="0" xfId="2" applyNumberFormat="1" applyFont="1" applyFill="1" applyAlignment="1"/>
    <xf numFmtId="1" fontId="18" fillId="0" borderId="0" xfId="2" applyNumberFormat="1" applyFont="1" applyFill="1" applyAlignment="1">
      <alignment horizontal="right"/>
    </xf>
    <xf numFmtId="173" fontId="17" fillId="0" borderId="0" xfId="0" applyNumberFormat="1" applyFont="1" applyFill="1"/>
    <xf numFmtId="167" fontId="17" fillId="0" borderId="0" xfId="0" applyNumberFormat="1" applyFont="1" applyFill="1" applyAlignment="1">
      <alignment horizontal="center"/>
    </xf>
    <xf numFmtId="0" fontId="16" fillId="0" borderId="0" xfId="0" applyFont="1" applyFill="1"/>
    <xf numFmtId="2" fontId="17"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4"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4" fillId="0" borderId="0" xfId="0" applyFont="1" applyFill="1" applyBorder="1" applyAlignment="1">
      <alignment vertical="top"/>
    </xf>
    <xf numFmtId="172" fontId="14" fillId="0" borderId="0" xfId="0" applyNumberFormat="1" applyFont="1" applyFill="1" applyBorder="1" applyAlignment="1">
      <alignment vertical="top"/>
    </xf>
    <xf numFmtId="167" fontId="14" fillId="0" borderId="0" xfId="1" applyNumberFormat="1" applyFont="1" applyFill="1" applyBorder="1" applyAlignment="1">
      <alignment vertical="top"/>
    </xf>
    <xf numFmtId="0" fontId="14" fillId="0" borderId="0" xfId="0" applyFont="1"/>
    <xf numFmtId="166" fontId="14"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3" fillId="0" borderId="5" xfId="0" applyNumberFormat="1" applyFont="1" applyFill="1" applyBorder="1" applyAlignment="1">
      <alignment vertical="top"/>
    </xf>
    <xf numFmtId="0" fontId="0" fillId="0" borderId="1" xfId="0" applyFont="1" applyFill="1" applyBorder="1" applyAlignment="1">
      <alignment vertical="top" wrapText="1"/>
    </xf>
    <xf numFmtId="0" fontId="17" fillId="0" borderId="0" xfId="0" applyFont="1" applyAlignment="1">
      <alignment vertical="center"/>
    </xf>
    <xf numFmtId="0" fontId="0" fillId="0" borderId="0" xfId="0"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2" fontId="17" fillId="0" borderId="0" xfId="2" applyNumberFormat="1" applyFont="1" applyFill="1" applyAlignment="1">
      <alignment vertical="center"/>
    </xf>
    <xf numFmtId="173" fontId="17" fillId="0" borderId="0" xfId="0" applyNumberFormat="1" applyFont="1" applyFill="1" applyAlignment="1">
      <alignment vertical="center"/>
    </xf>
    <xf numFmtId="0" fontId="16" fillId="0" borderId="0" xfId="0" applyFont="1" applyFill="1" applyAlignment="1">
      <alignment vertical="center"/>
    </xf>
    <xf numFmtId="166" fontId="17" fillId="0" borderId="0" xfId="2" applyNumberFormat="1" applyFont="1" applyFill="1" applyAlignment="1">
      <alignment vertical="center"/>
    </xf>
    <xf numFmtId="9" fontId="17" fillId="0" borderId="0" xfId="3" applyFont="1" applyFill="1" applyAlignment="1">
      <alignment vertical="center"/>
    </xf>
    <xf numFmtId="167" fontId="17" fillId="0" borderId="0" xfId="0" applyNumberFormat="1" applyFont="1" applyAlignment="1">
      <alignment vertical="center"/>
    </xf>
    <xf numFmtId="3" fontId="17" fillId="0" borderId="0" xfId="1" applyNumberFormat="1" applyFont="1" applyFill="1" applyAlignment="1">
      <alignment vertical="center"/>
    </xf>
    <xf numFmtId="166" fontId="18" fillId="0" borderId="0" xfId="2" applyNumberFormat="1" applyFont="1" applyFill="1" applyAlignment="1">
      <alignment vertical="center"/>
    </xf>
    <xf numFmtId="1" fontId="18" fillId="0" borderId="0" xfId="2" applyNumberFormat="1" applyFont="1" applyFill="1" applyAlignment="1">
      <alignment vertical="center"/>
    </xf>
    <xf numFmtId="167" fontId="17" fillId="0" borderId="0" xfId="0" applyNumberFormat="1" applyFont="1" applyFill="1" applyAlignment="1">
      <alignment vertical="center"/>
    </xf>
    <xf numFmtId="0" fontId="19" fillId="0" borderId="0" xfId="0" applyFont="1" applyAlignment="1">
      <alignmen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activeCell="C13"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195</v>
      </c>
      <c r="C2" s="170"/>
      <c r="D2" s="60"/>
      <c r="E2" s="14"/>
      <c r="F2" s="60"/>
    </row>
    <row r="3" spans="1:6" x14ac:dyDescent="0.35">
      <c r="C3" s="14"/>
      <c r="D3" s="14"/>
    </row>
    <row r="4" spans="1:6" x14ac:dyDescent="0.35">
      <c r="A4" s="14" t="s">
        <v>156</v>
      </c>
      <c r="B4" s="14"/>
      <c r="D4" s="14"/>
    </row>
    <row r="6" spans="1:6" ht="21" x14ac:dyDescent="0.5">
      <c r="A6" s="15" t="s">
        <v>165</v>
      </c>
    </row>
    <row r="7" spans="1:6" ht="241" customHeight="1" x14ac:dyDescent="0.35">
      <c r="A7" s="107">
        <v>1</v>
      </c>
      <c r="B7" s="104" t="s">
        <v>166</v>
      </c>
    </row>
    <row r="8" spans="1:6" ht="408" customHeight="1" x14ac:dyDescent="0.35">
      <c r="A8" s="107">
        <v>2</v>
      </c>
      <c r="B8" s="104" t="s">
        <v>187</v>
      </c>
    </row>
    <row r="9" spans="1:6" ht="195.5" customHeight="1" x14ac:dyDescent="0.35">
      <c r="A9" s="107">
        <f>A8+1</f>
        <v>3</v>
      </c>
      <c r="B9" s="105" t="s">
        <v>170</v>
      </c>
    </row>
    <row r="10" spans="1:6" ht="236" customHeight="1" x14ac:dyDescent="0.35">
      <c r="A10" s="107">
        <v>4</v>
      </c>
      <c r="B10" s="105" t="s">
        <v>171</v>
      </c>
    </row>
    <row r="11" spans="1:6" ht="21" x14ac:dyDescent="0.35">
      <c r="A11" s="107">
        <f>A10+1</f>
        <v>5</v>
      </c>
      <c r="B11" s="63" t="s">
        <v>185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162</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188</v>
      </c>
      <c r="B6" s="1">
        <f>Assumptions!C17</f>
        <v>376944533.12124997</v>
      </c>
      <c r="C6" s="12">
        <f ca="1">B6+Depreciation!C18+'Cash Flow'!C13</f>
        <v>384572917.42380792</v>
      </c>
      <c r="D6" s="1">
        <f ca="1">C6+Depreciation!D18</f>
        <v>445124969.66076088</v>
      </c>
      <c r="E6" s="1">
        <f ca="1">D6+Depreciation!E18</f>
        <v>508911273.75223589</v>
      </c>
      <c r="F6" s="1">
        <f ca="1">E6+Depreciation!F18</f>
        <v>576076816.51543176</v>
      </c>
      <c r="G6" s="1">
        <f ca="1">F6+Depreciation!G18</f>
        <v>646772552.04994893</v>
      </c>
      <c r="H6" s="1">
        <f ca="1">G6+Depreciation!H18</f>
        <v>721155635.17736244</v>
      </c>
      <c r="I6" s="1">
        <f ca="1">H6+Depreciation!I18</f>
        <v>799389663.71043026</v>
      </c>
      <c r="J6" s="1">
        <f ca="1">I6+Depreciation!J18</f>
        <v>881644929.87799191</v>
      </c>
      <c r="K6" s="1">
        <f ca="1">J6+Depreciation!K18</f>
        <v>968098681.24343705</v>
      </c>
      <c r="L6" s="1">
        <f ca="1">K6+Depreciation!L18</f>
        <v>1058935391.4668746</v>
      </c>
      <c r="M6" s="1">
        <f ca="1">L6+Depreciation!M18</f>
        <v>1154347041.273818</v>
      </c>
      <c r="N6" s="1">
        <f ca="1">M6+Depreciation!N18</f>
        <v>1254533410.0063426</v>
      </c>
      <c r="O6" s="1">
        <f ca="1">N6+Depreciation!O18</f>
        <v>1359702378.1462836</v>
      </c>
      <c r="P6" s="1">
        <f ca="1">O6+Depreciation!P18</f>
        <v>1470070241.2141333</v>
      </c>
      <c r="Q6" s="1">
        <f ca="1">P6+Depreciation!Q18</f>
        <v>1585862035.4619026</v>
      </c>
      <c r="R6" s="1">
        <f ca="1">Q6+Depreciation!R18</f>
        <v>1707311875.7933249</v>
      </c>
      <c r="S6" s="1">
        <f ca="1">R6+Depreciation!S18</f>
        <v>1834663306.3604445</v>
      </c>
      <c r="T6" s="1">
        <f ca="1">S6+Depreciation!T18</f>
        <v>1968169664.3018463</v>
      </c>
      <c r="U6" s="1">
        <f ca="1">T6+Depreciation!U18</f>
        <v>2108094457.1045837</v>
      </c>
      <c r="V6" s="1">
        <f ca="1">U6+Depreciation!V18</f>
        <v>2254711754.0892506</v>
      </c>
      <c r="W6" s="1">
        <f ca="1">V6+Depreciation!W18</f>
        <v>2408306592.5356598</v>
      </c>
      <c r="X6" s="1">
        <f ca="1">W6+Depreciation!X18</f>
        <v>2569175398.9852509</v>
      </c>
      <c r="Y6" s="1">
        <f ca="1">X6+Depreciation!Y18</f>
        <v>2737626426.2756586</v>
      </c>
      <c r="Z6" s="1">
        <f ca="1">Y6+Depreciation!Z18</f>
        <v>2913980206.8828902</v>
      </c>
      <c r="AA6" s="1">
        <f ca="1">Z6+Depreciation!AA18</f>
        <v>3098570023.1672773</v>
      </c>
      <c r="AB6" s="1">
        <f ca="1">AA6+Depreciation!AB18</f>
        <v>3291742395.1408162</v>
      </c>
      <c r="AC6" s="1">
        <f ca="1">AB6+Depreciation!AC18</f>
        <v>3493857586.3957376</v>
      </c>
      <c r="AD6" s="1">
        <f ca="1">AC6+Depreciation!AD18</f>
        <v>3705290128.8571486</v>
      </c>
      <c r="AE6" s="1">
        <f ca="1">AD6+Depreciation!AE18</f>
        <v>3926429367.0464201</v>
      </c>
      <c r="AF6" s="1"/>
      <c r="AG6" s="1"/>
      <c r="AH6" s="1"/>
      <c r="AI6" s="1"/>
      <c r="AJ6" s="1"/>
      <c r="AK6" s="1"/>
      <c r="AL6" s="1"/>
      <c r="AM6" s="1"/>
      <c r="AN6" s="1"/>
      <c r="AO6" s="1"/>
      <c r="AP6" s="1"/>
    </row>
    <row r="7" spans="1:42" x14ac:dyDescent="0.35">
      <c r="A7" t="s">
        <v>12</v>
      </c>
      <c r="B7" s="1">
        <f>Depreciation!C12</f>
        <v>195203295.56696412</v>
      </c>
      <c r="C7" s="1">
        <f>Depreciation!D12</f>
        <v>203406099.46171889</v>
      </c>
      <c r="D7" s="1">
        <f>Depreciation!E12</f>
        <v>213167979.26404539</v>
      </c>
      <c r="E7" s="1">
        <f>Depreciation!F12</f>
        <v>224580316.16083995</v>
      </c>
      <c r="F7" s="1">
        <f>Depreciation!G12</f>
        <v>237738743.24123096</v>
      </c>
      <c r="G7" s="1">
        <f>Depreciation!H12</f>
        <v>252743324.04398629</v>
      </c>
      <c r="H7" s="1">
        <f>Depreciation!I12</f>
        <v>269698738.17800689</v>
      </c>
      <c r="I7" s="1">
        <f>Depreciation!J12</f>
        <v>288714474.28575176</v>
      </c>
      <c r="J7" s="1">
        <f>Depreciation!K12</f>
        <v>309905030.629466</v>
      </c>
      <c r="K7" s="1">
        <f>Depreciation!L12</f>
        <v>333390123.59047735</v>
      </c>
      <c r="L7" s="1">
        <f>Depreciation!M12</f>
        <v>359294904.38259685</v>
      </c>
      <c r="M7" s="1">
        <f>Depreciation!N12</f>
        <v>387750184.29182327</v>
      </c>
      <c r="N7" s="1">
        <f>Depreciation!O12</f>
        <v>418892668.76612043</v>
      </c>
      <c r="O7" s="1">
        <f>Depreciation!P12</f>
        <v>452865200.69102579</v>
      </c>
      <c r="P7" s="1">
        <f>Depreciation!Q12</f>
        <v>489817013.19927651</v>
      </c>
      <c r="Q7" s="1">
        <f>Depreciation!R12</f>
        <v>529903992.3755157</v>
      </c>
      <c r="R7" s="1">
        <f>Depreciation!S12</f>
        <v>573288950.23048604</v>
      </c>
      <c r="S7" s="1">
        <f>Depreciation!T12</f>
        <v>620141908.33294988</v>
      </c>
      <c r="T7" s="1">
        <f>Depreciation!U12</f>
        <v>670640392.50190353</v>
      </c>
      <c r="U7" s="1">
        <f>Depreciation!V12</f>
        <v>724969738.97650528</v>
      </c>
      <c r="V7" s="1">
        <f>Depreciation!W12</f>
        <v>783323412.49652755</v>
      </c>
      <c r="W7" s="1">
        <f>Depreciation!X12</f>
        <v>845903336.74208724</v>
      </c>
      <c r="X7" s="1">
        <f>Depreciation!Y12</f>
        <v>912920237.59793425</v>
      </c>
      <c r="Y7" s="1">
        <f>Depreciation!Z12</f>
        <v>984593999.72469962</v>
      </c>
      <c r="Z7" s="1">
        <f>Depreciation!AA12</f>
        <v>1061154036.9372456</v>
      </c>
      <c r="AA7" s="1">
        <f>Depreciation!AB12</f>
        <v>1142839676.9086444</v>
      </c>
      <c r="AB7" s="1">
        <f>Depreciation!AC12</f>
        <v>1229900560.7373571</v>
      </c>
      <c r="AC7" s="1">
        <f>Depreciation!AD12</f>
        <v>1322597057.934921</v>
      </c>
      <c r="AD7" s="1">
        <f>Depreciation!AE12</f>
        <v>1421200697.411902</v>
      </c>
      <c r="AE7" s="1">
        <f>Depreciation!AF12</f>
        <v>1525994615.0610521</v>
      </c>
      <c r="AF7" s="1"/>
      <c r="AG7" s="1"/>
      <c r="AH7" s="1"/>
      <c r="AI7" s="1"/>
      <c r="AJ7" s="1"/>
      <c r="AK7" s="1"/>
      <c r="AL7" s="1"/>
      <c r="AM7" s="1"/>
      <c r="AN7" s="1"/>
      <c r="AO7" s="1"/>
      <c r="AP7" s="1"/>
    </row>
    <row r="8" spans="1:42" x14ac:dyDescent="0.35">
      <c r="A8" t="s">
        <v>189</v>
      </c>
      <c r="B8" s="1">
        <f t="shared" ref="B8:AE8" si="1">B6-B7</f>
        <v>181741237.55428585</v>
      </c>
      <c r="C8" s="1">
        <f t="shared" ca="1" si="1"/>
        <v>181166817.96208903</v>
      </c>
      <c r="D8" s="1">
        <f ca="1">D6-D7</f>
        <v>231956990.39671549</v>
      </c>
      <c r="E8" s="1">
        <f t="shared" ca="1" si="1"/>
        <v>284330957.59139597</v>
      </c>
      <c r="F8" s="1">
        <f t="shared" ca="1" si="1"/>
        <v>338338073.2742008</v>
      </c>
      <c r="G8" s="1">
        <f t="shared" ca="1" si="1"/>
        <v>394029228.00596261</v>
      </c>
      <c r="H8" s="1">
        <f t="shared" ca="1" si="1"/>
        <v>451456896.99935555</v>
      </c>
      <c r="I8" s="1">
        <f t="shared" ca="1" si="1"/>
        <v>510675189.4246785</v>
      </c>
      <c r="J8" s="1">
        <f t="shared" ca="1" si="1"/>
        <v>571739899.24852586</v>
      </c>
      <c r="K8" s="1">
        <f t="shared" ca="1" si="1"/>
        <v>634708557.6529597</v>
      </c>
      <c r="L8" s="1">
        <f t="shared" ca="1" si="1"/>
        <v>699640487.08427775</v>
      </c>
      <c r="M8" s="1">
        <f t="shared" ca="1" si="1"/>
        <v>766596856.98199475</v>
      </c>
      <c r="N8" s="1">
        <f t="shared" ca="1" si="1"/>
        <v>835640741.24022222</v>
      </c>
      <c r="O8" s="1">
        <f t="shared" ca="1" si="1"/>
        <v>906837177.45525789</v>
      </c>
      <c r="P8" s="1">
        <f t="shared" ca="1" si="1"/>
        <v>980253228.01485682</v>
      </c>
      <c r="Q8" s="1">
        <f t="shared" ca="1" si="1"/>
        <v>1055958043.0863869</v>
      </c>
      <c r="R8" s="1">
        <f t="shared" ca="1" si="1"/>
        <v>1134022925.562839</v>
      </c>
      <c r="S8" s="1">
        <f t="shared" ca="1" si="1"/>
        <v>1214521398.0274947</v>
      </c>
      <c r="T8" s="1">
        <f t="shared" ca="1" si="1"/>
        <v>1297529271.7999427</v>
      </c>
      <c r="U8" s="1">
        <f t="shared" ca="1" si="1"/>
        <v>1383124718.1280785</v>
      </c>
      <c r="V8" s="1">
        <f t="shared" ca="1" si="1"/>
        <v>1471388341.5927229</v>
      </c>
      <c r="W8" s="1">
        <f t="shared" ca="1" si="1"/>
        <v>1562403255.7935724</v>
      </c>
      <c r="X8" s="1">
        <f t="shared" ca="1" si="1"/>
        <v>1656255161.3873167</v>
      </c>
      <c r="Y8" s="1">
        <f t="shared" ca="1" si="1"/>
        <v>1753032426.5509591</v>
      </c>
      <c r="Z8" s="1">
        <f t="shared" ca="1" si="1"/>
        <v>1852826169.9456446</v>
      </c>
      <c r="AA8" s="1">
        <f t="shared" ca="1" si="1"/>
        <v>1955730346.2586329</v>
      </c>
      <c r="AB8" s="1">
        <f t="shared" ca="1" si="1"/>
        <v>2061841834.4034591</v>
      </c>
      <c r="AC8" s="1">
        <f t="shared" ca="1" si="1"/>
        <v>2171260528.4608164</v>
      </c>
      <c r="AD8" s="1">
        <f t="shared" ca="1" si="1"/>
        <v>2284089431.4452467</v>
      </c>
      <c r="AE8" s="1">
        <f t="shared" ca="1" si="1"/>
        <v>2400434751.9853678</v>
      </c>
      <c r="AF8" s="1"/>
      <c r="AG8" s="1"/>
      <c r="AH8" s="1"/>
      <c r="AI8" s="1"/>
      <c r="AJ8" s="1"/>
      <c r="AK8" s="1"/>
      <c r="AL8" s="1"/>
      <c r="AM8" s="1"/>
      <c r="AN8" s="1"/>
      <c r="AO8" s="1"/>
      <c r="AP8" s="1"/>
    </row>
    <row r="10" spans="1:42" x14ac:dyDescent="0.35">
      <c r="A10" t="s">
        <v>17</v>
      </c>
      <c r="B10" s="1">
        <f>B8-B11</f>
        <v>152394262.55428585</v>
      </c>
      <c r="C10" s="1">
        <f ca="1">C8-C11</f>
        <v>101991182.42284444</v>
      </c>
      <c r="D10" s="1">
        <f ca="1">D8-D11</f>
        <v>112629875.65287271</v>
      </c>
      <c r="E10" s="1">
        <f t="shared" ref="E10:AE10" ca="1" si="2">E8-E11</f>
        <v>132728138.40673813</v>
      </c>
      <c r="F10" s="1">
        <f t="shared" ca="1" si="2"/>
        <v>163293333.34411529</v>
      </c>
      <c r="G10" s="1">
        <f ca="1">G8-G11</f>
        <v>201289253.28748226</v>
      </c>
      <c r="H10" s="1">
        <f t="shared" ca="1" si="2"/>
        <v>241180917.40533578</v>
      </c>
      <c r="I10" s="1">
        <f t="shared" ca="1" si="2"/>
        <v>283358363.87494493</v>
      </c>
      <c r="J10" s="1">
        <f t="shared" ca="1" si="2"/>
        <v>328266609.88048929</v>
      </c>
      <c r="K10" s="1">
        <f t="shared" ca="1" si="2"/>
        <v>375403647.02497023</v>
      </c>
      <c r="L10" s="1">
        <f t="shared" ca="1" si="2"/>
        <v>424056718.57035255</v>
      </c>
      <c r="M10" s="1">
        <f t="shared" ca="1" si="2"/>
        <v>474451044.59528905</v>
      </c>
      <c r="N10" s="1">
        <f t="shared" ca="1" si="2"/>
        <v>526840283.06679195</v>
      </c>
      <c r="O10" s="1">
        <f t="shared" ca="1" si="2"/>
        <v>581509263.68247092</v>
      </c>
      <c r="P10" s="1">
        <f t="shared" ca="1" si="2"/>
        <v>638776947.13483906</v>
      </c>
      <c r="Q10" s="1">
        <f t="shared" ca="1" si="2"/>
        <v>698999626.83812976</v>
      </c>
      <c r="R10" s="1">
        <f t="shared" ca="1" si="2"/>
        <v>762574391.38223767</v>
      </c>
      <c r="S10" s="1">
        <f t="shared" ca="1" si="2"/>
        <v>828239075.37492573</v>
      </c>
      <c r="T10" s="1">
        <f t="shared" ca="1" si="2"/>
        <v>896212450.96250391</v>
      </c>
      <c r="U10" s="1">
        <f t="shared" ca="1" si="2"/>
        <v>966737005.84416497</v>
      </c>
      <c r="V10" s="1">
        <f t="shared" ca="1" si="2"/>
        <v>1039076422.5512207</v>
      </c>
      <c r="W10" s="1">
        <f t="shared" ca="1" si="2"/>
        <v>1111269517.8304517</v>
      </c>
      <c r="X10" s="1">
        <f t="shared" ca="1" si="2"/>
        <v>1184311188.7551386</v>
      </c>
      <c r="Y10" s="1">
        <f t="shared" ca="1" si="2"/>
        <v>1258226954.3635252</v>
      </c>
      <c r="Z10" s="1">
        <f t="shared" ca="1" si="2"/>
        <v>1333047571.0865164</v>
      </c>
      <c r="AA10" s="1">
        <f t="shared" ca="1" si="2"/>
        <v>1408809612.6174245</v>
      </c>
      <c r="AB10" s="1">
        <f t="shared" ca="1" si="2"/>
        <v>1480807828.6660016</v>
      </c>
      <c r="AC10" s="1">
        <f t="shared" ca="1" si="2"/>
        <v>1548565219.787704</v>
      </c>
      <c r="AD10" s="1">
        <f t="shared" ca="1" si="2"/>
        <v>1611573228.3543415</v>
      </c>
      <c r="AE10" s="1">
        <f t="shared" ca="1" si="2"/>
        <v>1669290043.8507466</v>
      </c>
      <c r="AF10" s="1"/>
      <c r="AG10" s="1"/>
      <c r="AH10" s="1"/>
      <c r="AI10" s="1"/>
      <c r="AJ10" s="1"/>
      <c r="AK10" s="1"/>
      <c r="AL10" s="1"/>
      <c r="AM10" s="1"/>
      <c r="AN10" s="1"/>
      <c r="AO10" s="1"/>
    </row>
    <row r="11" spans="1:42" x14ac:dyDescent="0.35">
      <c r="A11" t="s">
        <v>9</v>
      </c>
      <c r="B11" s="1">
        <f>Assumptions!$C$20</f>
        <v>29346975</v>
      </c>
      <c r="C11" s="1">
        <f ca="1">'Debt worksheet'!D5</f>
        <v>79175635.539244592</v>
      </c>
      <c r="D11" s="1">
        <f ca="1">'Debt worksheet'!E5</f>
        <v>119327114.74384278</v>
      </c>
      <c r="E11" s="1">
        <f ca="1">'Debt worksheet'!F5</f>
        <v>151602819.18465784</v>
      </c>
      <c r="F11" s="1">
        <f ca="1">'Debt worksheet'!G5</f>
        <v>175044739.93008551</v>
      </c>
      <c r="G11" s="1">
        <f ca="1">'Debt worksheet'!H5</f>
        <v>192739974.71848035</v>
      </c>
      <c r="H11" s="1">
        <f ca="1">'Debt worksheet'!I5</f>
        <v>210275979.59401977</v>
      </c>
      <c r="I11" s="1">
        <f ca="1">'Debt worksheet'!J5</f>
        <v>227316825.54973358</v>
      </c>
      <c r="J11" s="1">
        <f ca="1">'Debt worksheet'!K5</f>
        <v>243473289.36803657</v>
      </c>
      <c r="K11" s="1">
        <f ca="1">'Debt worksheet'!L5</f>
        <v>259304910.62798947</v>
      </c>
      <c r="L11" s="1">
        <f ca="1">'Debt worksheet'!M5</f>
        <v>275583768.51392519</v>
      </c>
      <c r="M11" s="1">
        <f ca="1">'Debt worksheet'!N5</f>
        <v>292145812.3867057</v>
      </c>
      <c r="N11" s="1">
        <f ca="1">'Debt worksheet'!O5</f>
        <v>308800458.17343026</v>
      </c>
      <c r="O11" s="1">
        <f ca="1">'Debt worksheet'!P5</f>
        <v>325327913.77278697</v>
      </c>
      <c r="P11" s="1">
        <f ca="1">'Debt worksheet'!Q5</f>
        <v>341476280.88001776</v>
      </c>
      <c r="Q11" s="1">
        <f ca="1">'Debt worksheet'!R5</f>
        <v>356958416.24825722</v>
      </c>
      <c r="R11" s="1">
        <f ca="1">'Debt worksheet'!S5</f>
        <v>371448534.18060142</v>
      </c>
      <c r="S11" s="1">
        <f ca="1">'Debt worksheet'!T5</f>
        <v>386282322.65256894</v>
      </c>
      <c r="T11" s="1">
        <f ca="1">'Debt worksheet'!U5</f>
        <v>401316820.83743888</v>
      </c>
      <c r="U11" s="1">
        <f ca="1">'Debt worksheet'!V5</f>
        <v>416387712.28391349</v>
      </c>
      <c r="V11" s="1">
        <f ca="1">'Debt worksheet'!W5</f>
        <v>432311919.04150218</v>
      </c>
      <c r="W11" s="1">
        <f ca="1">'Debt worksheet'!X5</f>
        <v>451133737.96312064</v>
      </c>
      <c r="X11" s="1">
        <f ca="1">'Debt worksheet'!Y5</f>
        <v>471943972.63217807</v>
      </c>
      <c r="Y11" s="1">
        <f ca="1">'Debt worksheet'!Z5</f>
        <v>494805472.18743396</v>
      </c>
      <c r="Z11" s="1">
        <f ca="1">'Debt worksheet'!AA5</f>
        <v>519778598.85912824</v>
      </c>
      <c r="AA11" s="1">
        <f ca="1">'Debt worksheet'!AB5</f>
        <v>546920733.64120853</v>
      </c>
      <c r="AB11" s="1">
        <f ca="1">'Debt worksheet'!AC5</f>
        <v>581034005.73745751</v>
      </c>
      <c r="AC11" s="1">
        <f ca="1">'Debt worksheet'!AD5</f>
        <v>622695308.67311239</v>
      </c>
      <c r="AD11" s="1">
        <f ca="1">'Debt worksheet'!AE5</f>
        <v>672516203.09090531</v>
      </c>
      <c r="AE11" s="1">
        <f ca="1">'Debt worksheet'!AF5</f>
        <v>731144708.13462114</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163</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897355.29621876962</v>
      </c>
      <c r="D5" s="4">
        <f ca="1">'Profit and Loss'!D9</f>
        <v>12197769.137600005</v>
      </c>
      <c r="E5" s="4">
        <f ca="1">'Profit and Loss'!E9</f>
        <v>21748719.848333474</v>
      </c>
      <c r="F5" s="4">
        <f ca="1">'Profit and Loss'!F9</f>
        <v>32311285.120973598</v>
      </c>
      <c r="G5" s="4">
        <f ca="1">'Profit and Loss'!G9</f>
        <v>39842073.665731274</v>
      </c>
      <c r="H5" s="4">
        <f ca="1">'Profit and Loss'!H9</f>
        <v>41842497.449118748</v>
      </c>
      <c r="I5" s="4">
        <f ca="1">'Profit and Loss'!I9</f>
        <v>44237768.443333395</v>
      </c>
      <c r="J5" s="4">
        <f ca="1">'Profit and Loss'!J9</f>
        <v>47083066.241513744</v>
      </c>
      <c r="K5" s="4">
        <f ca="1">'Profit and Loss'!K9</f>
        <v>49431573.761777982</v>
      </c>
      <c r="L5" s="4">
        <f ca="1">'Profit and Loss'!L9</f>
        <v>51072759.376490504</v>
      </c>
      <c r="M5" s="4">
        <f ca="1">'Profit and Loss'!M9</f>
        <v>52944825.142043382</v>
      </c>
      <c r="N5" s="4">
        <f ca="1">'Profit and Loss'!N9</f>
        <v>55076443.036573663</v>
      </c>
      <c r="O5" s="4">
        <f ca="1">'Profit and Loss'!O9</f>
        <v>57499028.066287115</v>
      </c>
      <c r="P5" s="4">
        <f ca="1">'Profit and Loss'!P9</f>
        <v>60246964.035713583</v>
      </c>
      <c r="Q5" s="4">
        <f ca="1">'Profit and Loss'!Q9</f>
        <v>63357846.371279165</v>
      </c>
      <c r="R5" s="4">
        <f ca="1">'Profit and Loss'!R9</f>
        <v>66872743.222839028</v>
      </c>
      <c r="S5" s="4">
        <f ca="1">'Profit and Loss'!S9</f>
        <v>69132684.240181595</v>
      </c>
      <c r="T5" s="4">
        <f ca="1">'Profit and Loss'!T9</f>
        <v>71618901.654067889</v>
      </c>
      <c r="U5" s="4">
        <f ca="1">'Profit and Loss'!U9</f>
        <v>74355417.187309235</v>
      </c>
      <c r="V5" s="4">
        <f ca="1">'Profit and Loss'!V9</f>
        <v>76363743.752476245</v>
      </c>
      <c r="W5" s="4">
        <f ca="1">'Profit and Loss'!W9</f>
        <v>76419346.004768565</v>
      </c>
      <c r="X5" s="4">
        <f ca="1">'Profit and Loss'!X9</f>
        <v>77478647.534973934</v>
      </c>
      <c r="Y5" s="4">
        <f ca="1">'Profit and Loss'!Y9</f>
        <v>78572626.879304498</v>
      </c>
      <c r="Z5" s="4">
        <f ca="1">'Profit and Loss'!Z9</f>
        <v>79706891.808771998</v>
      </c>
      <c r="AA5" s="4">
        <f ca="1">'Profit and Loss'!AA9</f>
        <v>80887644.289760977</v>
      </c>
      <c r="AB5" s="4">
        <f ca="1">'Profit and Loss'!AB9</f>
        <v>77373459.905891225</v>
      </c>
      <c r="AC5" s="4">
        <f ca="1">'Profit and Loss'!AC9</f>
        <v>73393004.490553766</v>
      </c>
      <c r="AD5" s="4">
        <f ca="1">'Profit and Loss'!AD9</f>
        <v>68915150.846054435</v>
      </c>
      <c r="AE5" s="4">
        <f ca="1">'Profit and Loss'!AE9</f>
        <v>63907093.668574654</v>
      </c>
      <c r="AF5" s="4">
        <f ca="1">'Profit and Loss'!AF9</f>
        <v>58334268.285069458</v>
      </c>
      <c r="AG5" s="4"/>
      <c r="AH5" s="4"/>
      <c r="AI5" s="4"/>
      <c r="AJ5" s="4"/>
      <c r="AK5" s="4"/>
      <c r="AL5" s="4"/>
      <c r="AM5" s="4"/>
      <c r="AN5" s="4"/>
      <c r="AO5" s="4"/>
      <c r="AP5" s="4"/>
    </row>
    <row r="6" spans="1:42" x14ac:dyDescent="0.35">
      <c r="A6" t="s">
        <v>21</v>
      </c>
      <c r="C6" s="4">
        <f>Depreciation!C8+Depreciation!C9</f>
        <v>6731029.0063391533</v>
      </c>
      <c r="D6" s="4">
        <f>Depreciation!D8+Depreciation!D9</f>
        <v>8202803.8947547618</v>
      </c>
      <c r="E6" s="4">
        <f>Depreciation!E8+Depreciation!E9</f>
        <v>9761879.8023264781</v>
      </c>
      <c r="F6" s="4">
        <f>Depreciation!F8+Depreciation!F9</f>
        <v>11412336.896794558</v>
      </c>
      <c r="G6" s="4">
        <f>Depreciation!G8+Depreciation!G9</f>
        <v>13158427.080391012</v>
      </c>
      <c r="H6" s="4">
        <f>Depreciation!H8+Depreciation!H9</f>
        <v>15004580.802755315</v>
      </c>
      <c r="I6" s="4">
        <f>Depreciation!I8+Depreciation!I9</f>
        <v>16955414.134020619</v>
      </c>
      <c r="J6" s="4">
        <f>Depreciation!J8+Depreciation!J9</f>
        <v>19015736.10774488</v>
      </c>
      <c r="K6" s="4">
        <f>Depreciation!K8+Depreciation!K9</f>
        <v>21190556.34371426</v>
      </c>
      <c r="L6" s="4">
        <f>Depreciation!L8+Depreciation!L9</f>
        <v>23485092.961011346</v>
      </c>
      <c r="M6" s="4">
        <f>Depreciation!M8+Depreciation!M9</f>
        <v>25904780.792119481</v>
      </c>
      <c r="N6" s="4">
        <f>Depreciation!N8+Depreciation!N9</f>
        <v>28455279.909226459</v>
      </c>
      <c r="O6" s="4">
        <f>Depreciation!O8+Depreciation!O9</f>
        <v>31142484.474297158</v>
      </c>
      <c r="P6" s="4">
        <f>Depreciation!P8+Depreciation!P9</f>
        <v>33972531.924905322</v>
      </c>
      <c r="Q6" s="4">
        <f>Depreciation!Q8+Depreciation!Q9</f>
        <v>36951812.508250736</v>
      </c>
      <c r="R6" s="4">
        <f>Depreciation!R8+Depreciation!R9</f>
        <v>40086979.176239163</v>
      </c>
      <c r="S6" s="4">
        <f>Depreciation!S8+Depreciation!S9</f>
        <v>43384957.854970388</v>
      </c>
      <c r="T6" s="4">
        <f>Depreciation!T8+Depreciation!T9</f>
        <v>46852958.102463946</v>
      </c>
      <c r="U6" s="4">
        <f>Depreciation!U8+Depreciation!U9</f>
        <v>50498484.168953598</v>
      </c>
      <c r="V6" s="4">
        <f>Depreciation!V8+Depreciation!V9</f>
        <v>54329346.474601671</v>
      </c>
      <c r="W6" s="4">
        <f>Depreciation!W8+Depreciation!W9</f>
        <v>58353673.520022221</v>
      </c>
      <c r="X6" s="4">
        <f>Depreciation!X8+Depreciation!X9</f>
        <v>62579924.245559677</v>
      </c>
      <c r="Y6" s="4">
        <f>Depreciation!Y8+Depreciation!Y9</f>
        <v>67016900.855847031</v>
      </c>
      <c r="Z6" s="4">
        <f>Depreciation!Z8+Depreciation!Z9</f>
        <v>71673762.126765326</v>
      </c>
      <c r="AA6" s="4">
        <f>Depreciation!AA8+Depreciation!AA9</f>
        <v>76560037.212546036</v>
      </c>
      <c r="AB6" s="4">
        <f>Depreciation!AB8+Depreciation!AB9</f>
        <v>81685639.97139886</v>
      </c>
      <c r="AC6" s="4">
        <f>Depreciation!AC8+Depreciation!AC9</f>
        <v>87060883.828712627</v>
      </c>
      <c r="AD6" s="4">
        <f>Depreciation!AD8+Depreciation!AD9</f>
        <v>92696497.197563797</v>
      </c>
      <c r="AE6" s="4">
        <f>Depreciation!AE8+Depreciation!AE9</f>
        <v>98603639.47698079</v>
      </c>
      <c r="AF6" s="4">
        <f>Depreciation!AF8+Depreciation!AF9</f>
        <v>104793917.64915019</v>
      </c>
      <c r="AG6" s="4"/>
      <c r="AH6" s="4"/>
      <c r="AI6" s="4"/>
      <c r="AJ6" s="4"/>
      <c r="AK6" s="4"/>
      <c r="AL6" s="4"/>
      <c r="AM6" s="4"/>
      <c r="AN6" s="4"/>
      <c r="AO6" s="4"/>
      <c r="AP6" s="4"/>
    </row>
    <row r="7" spans="1:42" x14ac:dyDescent="0.35">
      <c r="A7" t="s">
        <v>23</v>
      </c>
      <c r="C7" s="4">
        <f ca="1">C6+C5</f>
        <v>7628384.3025579229</v>
      </c>
      <c r="D7" s="4">
        <f ca="1">D6+D5</f>
        <v>20400573.032354765</v>
      </c>
      <c r="E7" s="4">
        <f t="shared" ref="E7:AF7" ca="1" si="1">E6+E5</f>
        <v>31510599.650659952</v>
      </c>
      <c r="F7" s="4">
        <f t="shared" ca="1" si="1"/>
        <v>43723622.01776816</v>
      </c>
      <c r="G7" s="4">
        <f ca="1">G6+G5</f>
        <v>53000500.746122286</v>
      </c>
      <c r="H7" s="4">
        <f t="shared" ca="1" si="1"/>
        <v>56847078.251874059</v>
      </c>
      <c r="I7" s="4">
        <f t="shared" ca="1" si="1"/>
        <v>61193182.577354014</v>
      </c>
      <c r="J7" s="4">
        <f t="shared" ca="1" si="1"/>
        <v>66098802.349258624</v>
      </c>
      <c r="K7" s="4">
        <f t="shared" ca="1" si="1"/>
        <v>70622130.105492234</v>
      </c>
      <c r="L7" s="4">
        <f t="shared" ca="1" si="1"/>
        <v>74557852.337501854</v>
      </c>
      <c r="M7" s="4">
        <f t="shared" ca="1" si="1"/>
        <v>78849605.934162855</v>
      </c>
      <c r="N7" s="4">
        <f t="shared" ca="1" si="1"/>
        <v>83531722.945800126</v>
      </c>
      <c r="O7" s="4">
        <f t="shared" ca="1" si="1"/>
        <v>88641512.540584266</v>
      </c>
      <c r="P7" s="4">
        <f t="shared" ca="1" si="1"/>
        <v>94219495.960618913</v>
      </c>
      <c r="Q7" s="4">
        <f t="shared" ca="1" si="1"/>
        <v>100309658.87952989</v>
      </c>
      <c r="R7" s="4">
        <f t="shared" ca="1" si="1"/>
        <v>106959722.39907819</v>
      </c>
      <c r="S7" s="4">
        <f t="shared" ca="1" si="1"/>
        <v>112517642.09515199</v>
      </c>
      <c r="T7" s="4">
        <f t="shared" ca="1" si="1"/>
        <v>118471859.75653183</v>
      </c>
      <c r="U7" s="4">
        <f t="shared" ca="1" si="1"/>
        <v>124853901.35626283</v>
      </c>
      <c r="V7" s="4">
        <f t="shared" ca="1" si="1"/>
        <v>130693090.22707792</v>
      </c>
      <c r="W7" s="4">
        <f t="shared" ca="1" si="1"/>
        <v>134773019.52479079</v>
      </c>
      <c r="X7" s="4">
        <f t="shared" ca="1" si="1"/>
        <v>140058571.78053361</v>
      </c>
      <c r="Y7" s="4">
        <f t="shared" ca="1" si="1"/>
        <v>145589527.73515153</v>
      </c>
      <c r="Z7" s="4">
        <f t="shared" ca="1" si="1"/>
        <v>151380653.93553734</v>
      </c>
      <c r="AA7" s="4">
        <f t="shared" ca="1" si="1"/>
        <v>157447681.502307</v>
      </c>
      <c r="AB7" s="4">
        <f t="shared" ca="1" si="1"/>
        <v>159059099.87729007</v>
      </c>
      <c r="AC7" s="4">
        <f t="shared" ca="1" si="1"/>
        <v>160453888.31926638</v>
      </c>
      <c r="AD7" s="4">
        <f t="shared" ca="1" si="1"/>
        <v>161611648.04361823</v>
      </c>
      <c r="AE7" s="4">
        <f t="shared" ca="1" si="1"/>
        <v>162510733.14555544</v>
      </c>
      <c r="AF7" s="4">
        <f t="shared" ca="1" si="1"/>
        <v>163128185.93421966</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57457044.841802515</v>
      </c>
      <c r="D10" s="9">
        <f>Investment!D25</f>
        <v>60552052.236952946</v>
      </c>
      <c r="E10" s="9">
        <f>Investment!E25</f>
        <v>63786304.091475002</v>
      </c>
      <c r="F10" s="9">
        <f>Investment!F25</f>
        <v>67165542.763195828</v>
      </c>
      <c r="G10" s="9">
        <f>Investment!G25</f>
        <v>70695735.534517139</v>
      </c>
      <c r="H10" s="9">
        <f>Investment!H25</f>
        <v>74383083.127413467</v>
      </c>
      <c r="I10" s="9">
        <f>Investment!I25</f>
        <v>78234028.533067822</v>
      </c>
      <c r="J10" s="9">
        <f>Investment!J25</f>
        <v>82255266.167561606</v>
      </c>
      <c r="K10" s="9">
        <f>Investment!K25</f>
        <v>86453751.365445122</v>
      </c>
      <c r="L10" s="9">
        <f>Investment!L25</f>
        <v>90836710.223437592</v>
      </c>
      <c r="M10" s="9">
        <f>Investment!M25</f>
        <v>95411649.806943357</v>
      </c>
      <c r="N10" s="9">
        <f>Investment!N25</f>
        <v>100186368.73252471</v>
      </c>
      <c r="O10" s="9">
        <f>Investment!O25</f>
        <v>105168968.13994095</v>
      </c>
      <c r="P10" s="9">
        <f>Investment!P25</f>
        <v>110367863.06784973</v>
      </c>
      <c r="Q10" s="9">
        <f>Investment!Q25</f>
        <v>115791794.24776934</v>
      </c>
      <c r="R10" s="9">
        <f>Investment!R25</f>
        <v>121449840.33142237</v>
      </c>
      <c r="S10" s="9">
        <f>Investment!S25</f>
        <v>127351430.56711948</v>
      </c>
      <c r="T10" s="9">
        <f>Investment!T25</f>
        <v>133506357.94140178</v>
      </c>
      <c r="U10" s="9">
        <f>Investment!U25</f>
        <v>139924792.80273744</v>
      </c>
      <c r="V10" s="9">
        <f>Investment!V25</f>
        <v>146617296.98466659</v>
      </c>
      <c r="W10" s="9">
        <f>Investment!W25</f>
        <v>153594838.44640926</v>
      </c>
      <c r="X10" s="9">
        <f>Investment!X25</f>
        <v>160868806.44959107</v>
      </c>
      <c r="Y10" s="9">
        <f>Investment!Y25</f>
        <v>168451027.29040742</v>
      </c>
      <c r="Z10" s="9">
        <f>Investment!Z25</f>
        <v>176353780.60723165</v>
      </c>
      <c r="AA10" s="9">
        <f>Investment!AA25</f>
        <v>184589816.28438729</v>
      </c>
      <c r="AB10" s="9">
        <f>Investment!AB25</f>
        <v>193172371.97353902</v>
      </c>
      <c r="AC10" s="9">
        <f>Investment!AC25</f>
        <v>202115191.25492126</v>
      </c>
      <c r="AD10" s="9">
        <f>Investment!AD25</f>
        <v>211432542.46141112</v>
      </c>
      <c r="AE10" s="9">
        <f>Investment!AE25</f>
        <v>221139238.18927127</v>
      </c>
      <c r="AF10" s="9">
        <f>Investment!AF25</f>
        <v>231250655.52023393</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-49828660.539244592</v>
      </c>
      <c r="D12" s="1">
        <f t="shared" ref="D12:AF12" ca="1" si="2">D7-D9-D10</f>
        <v>-40151479.204598181</v>
      </c>
      <c r="E12" s="1">
        <f ca="1">E7-E9-E10</f>
        <v>-32275704.44081505</v>
      </c>
      <c r="F12" s="1">
        <f t="shared" ca="1" si="2"/>
        <v>-23441920.745427668</v>
      </c>
      <c r="G12" s="1">
        <f ca="1">G7-G9-G10</f>
        <v>-17695234.788394853</v>
      </c>
      <c r="H12" s="1">
        <f t="shared" ca="1" si="2"/>
        <v>-17536004.875539407</v>
      </c>
      <c r="I12" s="1">
        <f t="shared" ca="1" si="2"/>
        <v>-17040845.955713809</v>
      </c>
      <c r="J12" s="1">
        <f t="shared" ca="1" si="2"/>
        <v>-16156463.818302982</v>
      </c>
      <c r="K12" s="1">
        <f t="shared" ca="1" si="2"/>
        <v>-15831621.259952888</v>
      </c>
      <c r="L12" s="1">
        <f t="shared" ca="1" si="2"/>
        <v>-16278857.885935739</v>
      </c>
      <c r="M12" s="1">
        <f t="shared" ca="1" si="2"/>
        <v>-16562043.872780502</v>
      </c>
      <c r="N12" s="1">
        <f t="shared" ca="1" si="2"/>
        <v>-16654645.786724582</v>
      </c>
      <c r="O12" s="1">
        <f t="shared" ca="1" si="2"/>
        <v>-16527455.599356681</v>
      </c>
      <c r="P12" s="1">
        <f t="shared" ca="1" si="2"/>
        <v>-16148367.107230812</v>
      </c>
      <c r="Q12" s="1">
        <f t="shared" ca="1" si="2"/>
        <v>-15482135.368239447</v>
      </c>
      <c r="R12" s="1">
        <f t="shared" ca="1" si="2"/>
        <v>-14490117.932344183</v>
      </c>
      <c r="S12" s="1">
        <f t="shared" ca="1" si="2"/>
        <v>-14833788.471967489</v>
      </c>
      <c r="T12" s="1">
        <f t="shared" ca="1" si="2"/>
        <v>-15034498.184869945</v>
      </c>
      <c r="U12" s="1">
        <f t="shared" ca="1" si="2"/>
        <v>-15070891.446474612</v>
      </c>
      <c r="V12" s="1">
        <f t="shared" ca="1" si="2"/>
        <v>-15924206.75758867</v>
      </c>
      <c r="W12" s="1">
        <f t="shared" ca="1" si="2"/>
        <v>-18821818.921618462</v>
      </c>
      <c r="X12" s="1">
        <f t="shared" ca="1" si="2"/>
        <v>-20810234.669057459</v>
      </c>
      <c r="Y12" s="1">
        <f t="shared" ca="1" si="2"/>
        <v>-22861499.55525589</v>
      </c>
      <c r="Z12" s="1">
        <f t="shared" ca="1" si="2"/>
        <v>-24973126.671694309</v>
      </c>
      <c r="AA12" s="1">
        <f t="shared" ca="1" si="2"/>
        <v>-27142134.782080293</v>
      </c>
      <c r="AB12" s="1">
        <f t="shared" ca="1" si="2"/>
        <v>-34113272.096248955</v>
      </c>
      <c r="AC12" s="1">
        <f t="shared" ca="1" si="2"/>
        <v>-41661302.935654879</v>
      </c>
      <c r="AD12" s="1">
        <f t="shared" ca="1" si="2"/>
        <v>-49820894.417792886</v>
      </c>
      <c r="AE12" s="1">
        <f t="shared" ca="1" si="2"/>
        <v>-58628505.043715835</v>
      </c>
      <c r="AF12" s="1">
        <f t="shared" ca="1" si="2"/>
        <v>-68122469.586014271</v>
      </c>
      <c r="AG12" s="1"/>
      <c r="AH12" s="1"/>
      <c r="AI12" s="1"/>
      <c r="AJ12" s="1"/>
      <c r="AK12" s="1"/>
      <c r="AL12" s="1"/>
      <c r="AM12" s="1"/>
      <c r="AN12" s="1"/>
      <c r="AO12" s="1"/>
      <c r="AP12" s="1"/>
    </row>
    <row r="13" spans="1:42" x14ac:dyDescent="0.35">
      <c r="A13" t="s">
        <v>19</v>
      </c>
      <c r="C13" s="1">
        <f ca="1">C12</f>
        <v>-49828660.539244592</v>
      </c>
      <c r="D13" s="1">
        <f ca="1">D12</f>
        <v>-40151479.204598181</v>
      </c>
      <c r="E13" s="1">
        <f ca="1">E12</f>
        <v>-32275704.44081505</v>
      </c>
      <c r="F13" s="1">
        <f t="shared" ref="F13:AF13" ca="1" si="3">F12</f>
        <v>-23441920.745427668</v>
      </c>
      <c r="G13" s="1">
        <f ca="1">G12</f>
        <v>-17695234.788394853</v>
      </c>
      <c r="H13" s="1">
        <f t="shared" ca="1" si="3"/>
        <v>-17536004.875539407</v>
      </c>
      <c r="I13" s="1">
        <f t="shared" ca="1" si="3"/>
        <v>-17040845.955713809</v>
      </c>
      <c r="J13" s="1">
        <f t="shared" ca="1" si="3"/>
        <v>-16156463.818302982</v>
      </c>
      <c r="K13" s="1">
        <f t="shared" ca="1" si="3"/>
        <v>-15831621.259952888</v>
      </c>
      <c r="L13" s="1">
        <f t="shared" ca="1" si="3"/>
        <v>-16278857.885935739</v>
      </c>
      <c r="M13" s="1">
        <f t="shared" ca="1" si="3"/>
        <v>-16562043.872780502</v>
      </c>
      <c r="N13" s="1">
        <f t="shared" ca="1" si="3"/>
        <v>-16654645.786724582</v>
      </c>
      <c r="O13" s="1">
        <f t="shared" ca="1" si="3"/>
        <v>-16527455.599356681</v>
      </c>
      <c r="P13" s="1">
        <f t="shared" ca="1" si="3"/>
        <v>-16148367.107230812</v>
      </c>
      <c r="Q13" s="1">
        <f t="shared" ca="1" si="3"/>
        <v>-15482135.368239447</v>
      </c>
      <c r="R13" s="1">
        <f t="shared" ca="1" si="3"/>
        <v>-14490117.932344183</v>
      </c>
      <c r="S13" s="1">
        <f t="shared" ca="1" si="3"/>
        <v>-14833788.471967489</v>
      </c>
      <c r="T13" s="1">
        <f t="shared" ca="1" si="3"/>
        <v>-15034498.184869945</v>
      </c>
      <c r="U13" s="1">
        <f t="shared" ca="1" si="3"/>
        <v>-15070891.446474612</v>
      </c>
      <c r="V13" s="1">
        <f t="shared" ca="1" si="3"/>
        <v>-15924206.75758867</v>
      </c>
      <c r="W13" s="1">
        <f t="shared" ca="1" si="3"/>
        <v>-18821818.921618462</v>
      </c>
      <c r="X13" s="1">
        <f t="shared" ca="1" si="3"/>
        <v>-20810234.669057459</v>
      </c>
      <c r="Y13" s="1">
        <f t="shared" ca="1" si="3"/>
        <v>-22861499.55525589</v>
      </c>
      <c r="Z13" s="1">
        <f t="shared" ca="1" si="3"/>
        <v>-24973126.671694309</v>
      </c>
      <c r="AA13" s="1">
        <f t="shared" ca="1" si="3"/>
        <v>-27142134.782080293</v>
      </c>
      <c r="AB13" s="1">
        <f t="shared" ca="1" si="3"/>
        <v>-34113272.096248955</v>
      </c>
      <c r="AC13" s="1">
        <f t="shared" ca="1" si="3"/>
        <v>-41661302.935654879</v>
      </c>
      <c r="AD13" s="1">
        <f t="shared" ca="1" si="3"/>
        <v>-49820894.417792886</v>
      </c>
      <c r="AE13" s="1">
        <f t="shared" ca="1" si="3"/>
        <v>-58628505.043715835</v>
      </c>
      <c r="AF13" s="1">
        <f t="shared" ca="1" si="3"/>
        <v>-68122469.586014271</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activeCell="F65" sqref="F65"/>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137</v>
      </c>
      <c r="C6" s="9">
        <f>Assumptions!C17</f>
        <v>376944533.12124997</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188472266.56062499</v>
      </c>
      <c r="D7" s="9">
        <f>C12</f>
        <v>195203295.56696412</v>
      </c>
      <c r="E7" s="9">
        <f>D12</f>
        <v>203406099.46171889</v>
      </c>
      <c r="F7" s="9">
        <f t="shared" ref="F7:H7" si="1">E12</f>
        <v>213167979.26404539</v>
      </c>
      <c r="G7" s="9">
        <f t="shared" si="1"/>
        <v>224580316.16083995</v>
      </c>
      <c r="H7" s="9">
        <f t="shared" si="1"/>
        <v>237738743.24123096</v>
      </c>
      <c r="I7" s="9">
        <f t="shared" ref="I7" si="2">H12</f>
        <v>252743324.04398629</v>
      </c>
      <c r="J7" s="9">
        <f t="shared" ref="J7" si="3">I12</f>
        <v>269698738.17800689</v>
      </c>
      <c r="K7" s="9">
        <f t="shared" ref="K7" si="4">J12</f>
        <v>288714474.28575176</v>
      </c>
      <c r="L7" s="9">
        <f t="shared" ref="L7" si="5">K12</f>
        <v>309905030.629466</v>
      </c>
      <c r="M7" s="9">
        <f t="shared" ref="M7" si="6">L12</f>
        <v>333390123.59047735</v>
      </c>
      <c r="N7" s="9">
        <f t="shared" ref="N7" si="7">M12</f>
        <v>359294904.38259685</v>
      </c>
      <c r="O7" s="9">
        <f t="shared" ref="O7" si="8">N12</f>
        <v>387750184.29182327</v>
      </c>
      <c r="P7" s="9">
        <f t="shared" ref="P7" si="9">O12</f>
        <v>418892668.76612043</v>
      </c>
      <c r="Q7" s="9">
        <f t="shared" ref="Q7" si="10">P12</f>
        <v>452865200.69102579</v>
      </c>
      <c r="R7" s="9">
        <f t="shared" ref="R7" si="11">Q12</f>
        <v>489817013.19927651</v>
      </c>
      <c r="S7" s="9">
        <f t="shared" ref="S7" si="12">R12</f>
        <v>529903992.3755157</v>
      </c>
      <c r="T7" s="9">
        <f t="shared" ref="T7" si="13">S12</f>
        <v>573288950.23048604</v>
      </c>
      <c r="U7" s="9">
        <f t="shared" ref="U7" si="14">T12</f>
        <v>620141908.33294988</v>
      </c>
      <c r="V7" s="9">
        <f t="shared" ref="V7" si="15">U12</f>
        <v>670640392.50190353</v>
      </c>
      <c r="W7" s="9">
        <f t="shared" ref="W7" si="16">V12</f>
        <v>724969738.97650528</v>
      </c>
      <c r="X7" s="9">
        <f t="shared" ref="X7" si="17">W12</f>
        <v>783323412.49652755</v>
      </c>
      <c r="Y7" s="9">
        <f t="shared" ref="Y7" si="18">X12</f>
        <v>845903336.74208724</v>
      </c>
      <c r="Z7" s="9">
        <f t="shared" ref="Z7" si="19">Y12</f>
        <v>912920237.59793425</v>
      </c>
      <c r="AA7" s="9">
        <f t="shared" ref="AA7" si="20">Z12</f>
        <v>984593999.72469962</v>
      </c>
      <c r="AB7" s="9">
        <f t="shared" ref="AB7" si="21">AA12</f>
        <v>1061154036.9372456</v>
      </c>
      <c r="AC7" s="9">
        <f t="shared" ref="AC7" si="22">AB12</f>
        <v>1142839676.9086444</v>
      </c>
      <c r="AD7" s="9">
        <f t="shared" ref="AD7" si="23">AC12</f>
        <v>1229900560.7373571</v>
      </c>
      <c r="AE7" s="9">
        <f t="shared" ref="AE7" si="24">AD12</f>
        <v>1322597057.934921</v>
      </c>
      <c r="AF7" s="9">
        <f t="shared" ref="AF7" si="25">AE12</f>
        <v>1421200697.411902</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138</v>
      </c>
      <c r="C8" s="9">
        <f>Assumptions!D111*Assumptions!D11</f>
        <v>5513604.6262880322</v>
      </c>
      <c r="D8" s="9">
        <f>Assumptions!E111*Assumptions!E11</f>
        <v>5690039.974329249</v>
      </c>
      <c r="E8" s="9">
        <f>Assumptions!F111*Assumptions!F11</f>
        <v>5872121.2535077846</v>
      </c>
      <c r="F8" s="9">
        <f>Assumptions!G111*Assumptions!G11</f>
        <v>6060029.133620034</v>
      </c>
      <c r="G8" s="9">
        <f>Assumptions!H111*Assumptions!H11</f>
        <v>6253950.0658958759</v>
      </c>
      <c r="H8" s="9">
        <f>Assumptions!I111*Assumptions!I11</f>
        <v>6454076.4680045424</v>
      </c>
      <c r="I8" s="9">
        <f>Assumptions!J111*Assumptions!J11</f>
        <v>6660606.9149806872</v>
      </c>
      <c r="J8" s="9">
        <f>Assumptions!K111*Assumptions!K11</f>
        <v>6873746.3362600701</v>
      </c>
      <c r="K8" s="9">
        <f>Assumptions!L111*Assumptions!L11</f>
        <v>7093706.2190203927</v>
      </c>
      <c r="L8" s="9">
        <f>Assumptions!M111*Assumptions!M11</f>
        <v>7320704.8180290451</v>
      </c>
      <c r="M8" s="9">
        <f>Assumptions!N111*Assumptions!N11</f>
        <v>7554967.3722059745</v>
      </c>
      <c r="N8" s="9">
        <f>Assumptions!O111*Assumptions!O11</f>
        <v>7796726.3281165659</v>
      </c>
      <c r="O8" s="9">
        <f>Assumptions!P111*Assumptions!P11</f>
        <v>8046221.5706162965</v>
      </c>
      <c r="P8" s="9">
        <f>Assumptions!Q111*Assumptions!Q11</f>
        <v>8303700.6608760161</v>
      </c>
      <c r="Q8" s="9">
        <f>Assumptions!R111*Assumptions!R11</f>
        <v>8569419.0820240472</v>
      </c>
      <c r="R8" s="9">
        <f>Assumptions!S111*Assumptions!S11</f>
        <v>8843640.4926488195</v>
      </c>
      <c r="S8" s="9">
        <f>Assumptions!T111*Assumptions!T11</f>
        <v>9126636.9884135816</v>
      </c>
      <c r="T8" s="9">
        <f>Assumptions!U111*Assumptions!U11</f>
        <v>9418689.3720428161</v>
      </c>
      <c r="U8" s="9">
        <f>Assumptions!V111*Assumptions!V11</f>
        <v>9720087.431948185</v>
      </c>
      <c r="V8" s="9">
        <f>Assumptions!W111*Assumptions!W11</f>
        <v>10031130.229770528</v>
      </c>
      <c r="W8" s="9">
        <f>Assumptions!X111*Assumptions!X11</f>
        <v>10352126.397123186</v>
      </c>
      <c r="X8" s="9">
        <f>Assumptions!Y111*Assumptions!Y11</f>
        <v>10683394.441831127</v>
      </c>
      <c r="Y8" s="9">
        <f>Assumptions!Z111*Assumptions!Z11</f>
        <v>11025263.06396972</v>
      </c>
      <c r="Z8" s="9">
        <f>Assumptions!AA111*Assumptions!AA11</f>
        <v>11378071.482016752</v>
      </c>
      <c r="AA8" s="9">
        <f>Assumptions!AB111*Assumptions!AB11</f>
        <v>11742169.769441292</v>
      </c>
      <c r="AB8" s="9">
        <f>Assumptions!AC111*Assumptions!AC11</f>
        <v>12117919.20206341</v>
      </c>
      <c r="AC8" s="9">
        <f>Assumptions!AD111*Assumptions!AD11</f>
        <v>12505692.616529439</v>
      </c>
      <c r="AD8" s="9">
        <f>Assumptions!AE111*Assumptions!AE11</f>
        <v>12905874.780258382</v>
      </c>
      <c r="AE8" s="9">
        <f>Assumptions!AF111*Assumptions!AF11</f>
        <v>13318862.77322665</v>
      </c>
      <c r="AF8" s="9">
        <f>Assumptions!AG111*Assumptions!AG11</f>
        <v>13745066.381969901</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1217424.3800511207</v>
      </c>
      <c r="D9" s="9">
        <f>Assumptions!E120*Assumptions!E11</f>
        <v>2512763.9204255128</v>
      </c>
      <c r="E9" s="9">
        <f>Assumptions!F120*Assumptions!F11</f>
        <v>3889758.5488186935</v>
      </c>
      <c r="F9" s="9">
        <f>Assumptions!G120*Assumptions!G11</f>
        <v>5352307.7631745227</v>
      </c>
      <c r="G9" s="9">
        <f>Assumptions!H120*Assumptions!H11</f>
        <v>6904477.0144951353</v>
      </c>
      <c r="H9" s="9">
        <f>Assumptions!I120*Assumptions!I11</f>
        <v>8550504.3347507734</v>
      </c>
      <c r="I9" s="9">
        <f>Assumptions!J120*Assumptions!J11</f>
        <v>10294807.21903993</v>
      </c>
      <c r="J9" s="9">
        <f>Assumptions!K120*Assumptions!K11</f>
        <v>12141989.771484811</v>
      </c>
      <c r="K9" s="9">
        <f>Assumptions!L120*Assumptions!L11</f>
        <v>14096850.124693869</v>
      </c>
      <c r="L9" s="9">
        <f>Assumptions!M120*Assumptions!M11</f>
        <v>16164388.1429823</v>
      </c>
      <c r="M9" s="9">
        <f>Assumptions!N120*Assumptions!N11</f>
        <v>18349813.419913508</v>
      </c>
      <c r="N9" s="9">
        <f>Assumptions!O120*Assumptions!O11</f>
        <v>20658553.581109893</v>
      </c>
      <c r="O9" s="9">
        <f>Assumptions!P120*Assumptions!P11</f>
        <v>23096262.903680861</v>
      </c>
      <c r="P9" s="9">
        <f>Assumptions!Q120*Assumptions!Q11</f>
        <v>25668831.264029309</v>
      </c>
      <c r="Q9" s="9">
        <f>Assumptions!R120*Assumptions!R11</f>
        <v>28382393.426226687</v>
      </c>
      <c r="R9" s="9">
        <f>Assumptions!S120*Assumptions!S11</f>
        <v>31243338.683590341</v>
      </c>
      <c r="S9" s="9">
        <f>Assumptions!T120*Assumptions!T11</f>
        <v>34258320.866556808</v>
      </c>
      <c r="T9" s="9">
        <f>Assumptions!U120*Assumptions!U11</f>
        <v>37434268.730421126</v>
      </c>
      <c r="U9" s="9">
        <f>Assumptions!V120*Assumptions!V11</f>
        <v>40778396.737005413</v>
      </c>
      <c r="V9" s="9">
        <f>Assumptions!W120*Assumptions!W11</f>
        <v>44298216.244831145</v>
      </c>
      <c r="W9" s="9">
        <f>Assumptions!X120*Assumptions!X11</f>
        <v>48001547.122899033</v>
      </c>
      <c r="X9" s="9">
        <f>Assumptions!Y120*Assumptions!Y11</f>
        <v>51896529.803728551</v>
      </c>
      <c r="Y9" s="9">
        <f>Assumptions!Z120*Assumptions!Z11</f>
        <v>55991637.791877314</v>
      </c>
      <c r="Z9" s="9">
        <f>Assumptions!AA120*Assumptions!AA11</f>
        <v>60295690.644748576</v>
      </c>
      <c r="AA9" s="9">
        <f>Assumptions!AB120*Assumptions!AB11</f>
        <v>64817867.443104744</v>
      </c>
      <c r="AB9" s="9">
        <f>Assumptions!AC120*Assumptions!AC11</f>
        <v>69567720.769335449</v>
      </c>
      <c r="AC9" s="9">
        <f>Assumptions!AD120*Assumptions!AD11</f>
        <v>74555191.212183192</v>
      </c>
      <c r="AD9" s="9">
        <f>Assumptions!AE120*Assumptions!AE11</f>
        <v>79790622.41730541</v>
      </c>
      <c r="AE9" s="9">
        <f>Assumptions!AF120*Assumptions!AF11</f>
        <v>85284776.703754142</v>
      </c>
      <c r="AF9" s="9">
        <f>Assumptions!AG120*Assumptions!AG11</f>
        <v>91048851.267180294</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6731029.0063391533</v>
      </c>
      <c r="D10" s="9">
        <f>SUM($C$8:D9)</f>
        <v>14933832.901093915</v>
      </c>
      <c r="E10" s="9">
        <f>SUM($C$8:E9)</f>
        <v>24695712.703420393</v>
      </c>
      <c r="F10" s="9">
        <f>SUM($C$8:F9)</f>
        <v>36108049.600214951</v>
      </c>
      <c r="G10" s="9">
        <f>SUM($C$8:G9)</f>
        <v>49266476.680605963</v>
      </c>
      <c r="H10" s="9">
        <f>SUM($C$8:H9)</f>
        <v>64271057.483361274</v>
      </c>
      <c r="I10" s="9">
        <f>SUM($C$8:I9)</f>
        <v>81226471.617381886</v>
      </c>
      <c r="J10" s="9">
        <f>SUM($C$8:J9)</f>
        <v>100242207.72512677</v>
      </c>
      <c r="K10" s="9">
        <f>SUM($C$8:K9)</f>
        <v>121432764.06884104</v>
      </c>
      <c r="L10" s="9">
        <f>SUM($C$8:L9)</f>
        <v>144917857.02985239</v>
      </c>
      <c r="M10" s="9">
        <f>SUM($C$8:M9)</f>
        <v>170822637.82197186</v>
      </c>
      <c r="N10" s="9">
        <f>SUM($C$8:N9)</f>
        <v>199277917.73119831</v>
      </c>
      <c r="O10" s="9">
        <f>SUM($C$8:O9)</f>
        <v>230420402.20549548</v>
      </c>
      <c r="P10" s="9">
        <f>SUM($C$8:P9)</f>
        <v>264392934.13040078</v>
      </c>
      <c r="Q10" s="9">
        <f>SUM($C$8:Q9)</f>
        <v>301344746.63865155</v>
      </c>
      <c r="R10" s="9">
        <f>SUM($C$8:R9)</f>
        <v>341431725.81489068</v>
      </c>
      <c r="S10" s="9">
        <f>SUM($C$8:S9)</f>
        <v>384816683.66986114</v>
      </c>
      <c r="T10" s="9">
        <f>SUM($C$8:T9)</f>
        <v>431669641.7723251</v>
      </c>
      <c r="U10" s="9">
        <f>SUM($C$8:U9)</f>
        <v>482168125.9412787</v>
      </c>
      <c r="V10" s="9">
        <f>SUM($C$8:V9)</f>
        <v>536497472.41588038</v>
      </c>
      <c r="W10" s="9">
        <f>SUM($C$8:W9)</f>
        <v>594851145.9359026</v>
      </c>
      <c r="X10" s="9">
        <f>SUM($C$8:X9)</f>
        <v>657431070.18146229</v>
      </c>
      <c r="Y10" s="9">
        <f>SUM($C$8:Y9)</f>
        <v>724447971.03730929</v>
      </c>
      <c r="Z10" s="9">
        <f>SUM($C$8:Z9)</f>
        <v>796121733.16407454</v>
      </c>
      <c r="AA10" s="9">
        <f>SUM($C$8:AA9)</f>
        <v>872681770.37662065</v>
      </c>
      <c r="AB10" s="9">
        <f>SUM($C$8:AB9)</f>
        <v>954367410.34801936</v>
      </c>
      <c r="AC10" s="9">
        <f>SUM($C$8:AC9)</f>
        <v>1041428294.1767321</v>
      </c>
      <c r="AD10" s="9">
        <f>SUM($C$8:AD9)</f>
        <v>1134124791.3742959</v>
      </c>
      <c r="AE10" s="9">
        <f>SUM($C$8:AE9)</f>
        <v>1232728430.8512769</v>
      </c>
      <c r="AF10" s="9">
        <f>SUM($C$8:AF9)</f>
        <v>1337522348.500427</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195203295.56696412</v>
      </c>
      <c r="D12" s="9">
        <f>D7+D8+D9</f>
        <v>203406099.46171889</v>
      </c>
      <c r="E12" s="9">
        <f>E7+E8+E9</f>
        <v>213167979.26404539</v>
      </c>
      <c r="F12" s="9">
        <f t="shared" ref="F12:H12" si="26">F7+F8+F9</f>
        <v>224580316.16083995</v>
      </c>
      <c r="G12" s="9">
        <f t="shared" si="26"/>
        <v>237738743.24123096</v>
      </c>
      <c r="H12" s="9">
        <f t="shared" si="26"/>
        <v>252743324.04398629</v>
      </c>
      <c r="I12" s="9">
        <f t="shared" ref="I12:AF12" si="27">I7+I8+I9</f>
        <v>269698738.17800689</v>
      </c>
      <c r="J12" s="9">
        <f t="shared" si="27"/>
        <v>288714474.28575176</v>
      </c>
      <c r="K12" s="9">
        <f t="shared" si="27"/>
        <v>309905030.629466</v>
      </c>
      <c r="L12" s="9">
        <f t="shared" si="27"/>
        <v>333390123.59047735</v>
      </c>
      <c r="M12" s="9">
        <f t="shared" si="27"/>
        <v>359294904.38259685</v>
      </c>
      <c r="N12" s="9">
        <f t="shared" si="27"/>
        <v>387750184.29182327</v>
      </c>
      <c r="O12" s="9">
        <f t="shared" si="27"/>
        <v>418892668.76612043</v>
      </c>
      <c r="P12" s="9">
        <f t="shared" si="27"/>
        <v>452865200.69102579</v>
      </c>
      <c r="Q12" s="9">
        <f t="shared" si="27"/>
        <v>489817013.19927651</v>
      </c>
      <c r="R12" s="9">
        <f t="shared" si="27"/>
        <v>529903992.3755157</v>
      </c>
      <c r="S12" s="9">
        <f t="shared" si="27"/>
        <v>573288950.23048604</v>
      </c>
      <c r="T12" s="9">
        <f t="shared" si="27"/>
        <v>620141908.33294988</v>
      </c>
      <c r="U12" s="9">
        <f t="shared" si="27"/>
        <v>670640392.50190353</v>
      </c>
      <c r="V12" s="9">
        <f t="shared" si="27"/>
        <v>724969738.97650528</v>
      </c>
      <c r="W12" s="9">
        <f t="shared" si="27"/>
        <v>783323412.49652755</v>
      </c>
      <c r="X12" s="9">
        <f t="shared" si="27"/>
        <v>845903336.74208724</v>
      </c>
      <c r="Y12" s="9">
        <f t="shared" si="27"/>
        <v>912920237.59793425</v>
      </c>
      <c r="Z12" s="9">
        <f t="shared" si="27"/>
        <v>984593999.72469962</v>
      </c>
      <c r="AA12" s="9">
        <f t="shared" si="27"/>
        <v>1061154036.9372456</v>
      </c>
      <c r="AB12" s="9">
        <f t="shared" si="27"/>
        <v>1142839676.9086444</v>
      </c>
      <c r="AC12" s="9">
        <f t="shared" si="27"/>
        <v>1229900560.7373571</v>
      </c>
      <c r="AD12" s="9">
        <f t="shared" si="27"/>
        <v>1322597057.934921</v>
      </c>
      <c r="AE12" s="9">
        <f t="shared" si="27"/>
        <v>1421200697.411902</v>
      </c>
      <c r="AF12" s="9">
        <f t="shared" si="27"/>
        <v>1525994615.0610521</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57457044.841802515</v>
      </c>
      <c r="D18" s="9">
        <f>Investment!D25</f>
        <v>60552052.236952946</v>
      </c>
      <c r="E18" s="9">
        <f>Investment!E25</f>
        <v>63786304.091475002</v>
      </c>
      <c r="F18" s="9">
        <f>Investment!F25</f>
        <v>67165542.763195828</v>
      </c>
      <c r="G18" s="9">
        <f>Investment!G25</f>
        <v>70695735.534517139</v>
      </c>
      <c r="H18" s="9">
        <f>Investment!H25</f>
        <v>74383083.127413467</v>
      </c>
      <c r="I18" s="9">
        <f>Investment!I25</f>
        <v>78234028.533067822</v>
      </c>
      <c r="J18" s="9">
        <f>Investment!J25</f>
        <v>82255266.167561606</v>
      </c>
      <c r="K18" s="9">
        <f>Investment!K25</f>
        <v>86453751.365445122</v>
      </c>
      <c r="L18" s="9">
        <f>Investment!L25</f>
        <v>90836710.223437592</v>
      </c>
      <c r="M18" s="9">
        <f>Investment!M25</f>
        <v>95411649.806943357</v>
      </c>
      <c r="N18" s="9">
        <f>Investment!N25</f>
        <v>100186368.73252471</v>
      </c>
      <c r="O18" s="9">
        <f>Investment!O25</f>
        <v>105168968.13994095</v>
      </c>
      <c r="P18" s="9">
        <f>Investment!P25</f>
        <v>110367863.06784973</v>
      </c>
      <c r="Q18" s="9">
        <f>Investment!Q25</f>
        <v>115791794.24776934</v>
      </c>
      <c r="R18" s="9">
        <f>Investment!R25</f>
        <v>121449840.33142237</v>
      </c>
      <c r="S18" s="9">
        <f>Investment!S25</f>
        <v>127351430.56711948</v>
      </c>
      <c r="T18" s="9">
        <f>Investment!T25</f>
        <v>133506357.94140178</v>
      </c>
      <c r="U18" s="9">
        <f>Investment!U25</f>
        <v>139924792.80273744</v>
      </c>
      <c r="V18" s="9">
        <f>Investment!V25</f>
        <v>146617296.98466659</v>
      </c>
      <c r="W18" s="9">
        <f>Investment!W25</f>
        <v>153594838.44640926</v>
      </c>
      <c r="X18" s="9">
        <f>Investment!X25</f>
        <v>160868806.44959107</v>
      </c>
      <c r="Y18" s="9">
        <f>Investment!Y25</f>
        <v>168451027.29040742</v>
      </c>
      <c r="Z18" s="9">
        <f>Investment!Z25</f>
        <v>176353780.60723165</v>
      </c>
      <c r="AA18" s="9">
        <f>Investment!AA25</f>
        <v>184589816.28438729</v>
      </c>
      <c r="AB18" s="9">
        <f>Investment!AB25</f>
        <v>193172371.97353902</v>
      </c>
      <c r="AC18" s="9">
        <f>Investment!AC25</f>
        <v>202115191.25492126</v>
      </c>
      <c r="AD18" s="9">
        <f>Investment!AD25</f>
        <v>211432542.46141112</v>
      </c>
      <c r="AE18" s="9">
        <f>Investment!AE25</f>
        <v>221139238.18927127</v>
      </c>
      <c r="AF18" s="9">
        <f>Investment!AF25</f>
        <v>231250655.52023393</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245929311.40242749</v>
      </c>
      <c r="D19" s="9">
        <f>D18+C20</f>
        <v>299750334.63304132</v>
      </c>
      <c r="E19" s="9">
        <f>E18+D20</f>
        <v>355333834.82976156</v>
      </c>
      <c r="F19" s="9">
        <f t="shared" ref="F19:AF19" si="28">F18+E20</f>
        <v>412737497.79063088</v>
      </c>
      <c r="G19" s="9">
        <f t="shared" si="28"/>
        <v>472020896.42835343</v>
      </c>
      <c r="H19" s="9">
        <f t="shared" si="28"/>
        <v>533245552.47537589</v>
      </c>
      <c r="I19" s="9">
        <f t="shared" si="28"/>
        <v>596475000.20568848</v>
      </c>
      <c r="J19" s="9">
        <f t="shared" si="28"/>
        <v>661774852.23922956</v>
      </c>
      <c r="K19" s="9">
        <f t="shared" si="28"/>
        <v>729212867.49692976</v>
      </c>
      <c r="L19" s="9">
        <f t="shared" si="28"/>
        <v>798859021.37665308</v>
      </c>
      <c r="M19" s="9">
        <f t="shared" si="28"/>
        <v>870785578.2225852</v>
      </c>
      <c r="N19" s="9">
        <f t="shared" si="28"/>
        <v>945067166.16299045</v>
      </c>
      <c r="O19" s="9">
        <f t="shared" si="28"/>
        <v>1021780854.393705</v>
      </c>
      <c r="P19" s="9">
        <f t="shared" si="28"/>
        <v>1101006232.9872575</v>
      </c>
      <c r="Q19" s="9">
        <f t="shared" si="28"/>
        <v>1182825495.3101215</v>
      </c>
      <c r="R19" s="9">
        <f t="shared" si="28"/>
        <v>1267323523.1332932</v>
      </c>
      <c r="S19" s="9">
        <f t="shared" si="28"/>
        <v>1354587974.5241733</v>
      </c>
      <c r="T19" s="9">
        <f t="shared" si="28"/>
        <v>1444709374.6106045</v>
      </c>
      <c r="U19" s="9">
        <f t="shared" si="28"/>
        <v>1537781209.310878</v>
      </c>
      <c r="V19" s="9">
        <f t="shared" si="28"/>
        <v>1633900022.126591</v>
      </c>
      <c r="W19" s="9">
        <f t="shared" si="28"/>
        <v>1733165514.0983987</v>
      </c>
      <c r="X19" s="9">
        <f t="shared" si="28"/>
        <v>1835680647.0279677</v>
      </c>
      <c r="Y19" s="9">
        <f t="shared" si="28"/>
        <v>1941551750.0728154</v>
      </c>
      <c r="Z19" s="9">
        <f t="shared" si="28"/>
        <v>2050888629.8242002</v>
      </c>
      <c r="AA19" s="9">
        <f t="shared" si="28"/>
        <v>2163804683.981822</v>
      </c>
      <c r="AB19" s="9">
        <f t="shared" si="28"/>
        <v>2280417018.742815</v>
      </c>
      <c r="AC19" s="9">
        <f t="shared" si="28"/>
        <v>2400846570.0263376</v>
      </c>
      <c r="AD19" s="9">
        <f t="shared" si="28"/>
        <v>2525218228.6590362</v>
      </c>
      <c r="AE19" s="9">
        <f t="shared" si="28"/>
        <v>2653660969.650744</v>
      </c>
      <c r="AF19" s="9">
        <f t="shared" si="28"/>
        <v>2786307985.6939974</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239198282.39608836</v>
      </c>
      <c r="D20" s="9">
        <f>D19-D8-D9</f>
        <v>291547530.73828655</v>
      </c>
      <c r="E20" s="9">
        <f t="shared" ref="E20:AF20" si="29">E19-E8-E9</f>
        <v>345571955.02743506</v>
      </c>
      <c r="F20" s="9">
        <f t="shared" si="29"/>
        <v>401325160.89383632</v>
      </c>
      <c r="G20" s="9">
        <f t="shared" si="29"/>
        <v>458862469.34796244</v>
      </c>
      <c r="H20" s="9">
        <f t="shared" si="29"/>
        <v>518240971.67262059</v>
      </c>
      <c r="I20" s="9">
        <f t="shared" si="29"/>
        <v>579519586.07166791</v>
      </c>
      <c r="J20" s="9">
        <f t="shared" si="29"/>
        <v>642759116.13148463</v>
      </c>
      <c r="K20" s="9">
        <f t="shared" si="29"/>
        <v>708022311.15321553</v>
      </c>
      <c r="L20" s="9">
        <f t="shared" si="29"/>
        <v>775373928.41564178</v>
      </c>
      <c r="M20" s="9">
        <f t="shared" si="29"/>
        <v>844880797.4304657</v>
      </c>
      <c r="N20" s="9">
        <f t="shared" si="29"/>
        <v>916611886.25376403</v>
      </c>
      <c r="O20" s="9">
        <f t="shared" si="29"/>
        <v>990638369.91940784</v>
      </c>
      <c r="P20" s="9">
        <f t="shared" si="29"/>
        <v>1067033701.0623522</v>
      </c>
      <c r="Q20" s="9">
        <f t="shared" si="29"/>
        <v>1145873682.8018708</v>
      </c>
      <c r="R20" s="9">
        <f t="shared" si="29"/>
        <v>1227236543.9570539</v>
      </c>
      <c r="S20" s="9">
        <f t="shared" si="29"/>
        <v>1311203016.6692028</v>
      </c>
      <c r="T20" s="9">
        <f t="shared" si="29"/>
        <v>1397856416.5081406</v>
      </c>
      <c r="U20" s="9">
        <f t="shared" si="29"/>
        <v>1487282725.1419244</v>
      </c>
      <c r="V20" s="9">
        <f t="shared" si="29"/>
        <v>1579570675.6519895</v>
      </c>
      <c r="W20" s="9">
        <f t="shared" si="29"/>
        <v>1674811840.5783765</v>
      </c>
      <c r="X20" s="9">
        <f t="shared" si="29"/>
        <v>1773100722.782408</v>
      </c>
      <c r="Y20" s="9">
        <f t="shared" si="29"/>
        <v>1874534849.2169685</v>
      </c>
      <c r="Z20" s="9">
        <f t="shared" si="29"/>
        <v>1979214867.6974347</v>
      </c>
      <c r="AA20" s="9">
        <f t="shared" si="29"/>
        <v>2087244646.7692761</v>
      </c>
      <c r="AB20" s="9">
        <f t="shared" si="29"/>
        <v>2198731378.7714162</v>
      </c>
      <c r="AC20" s="9">
        <f t="shared" si="29"/>
        <v>2313785686.1976252</v>
      </c>
      <c r="AD20" s="9">
        <f t="shared" si="29"/>
        <v>2432521731.4614725</v>
      </c>
      <c r="AE20" s="9">
        <f t="shared" si="29"/>
        <v>2555057330.1737633</v>
      </c>
      <c r="AF20" s="9">
        <f t="shared" si="29"/>
        <v>2681514068.044847</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29346975</v>
      </c>
      <c r="D22" s="9">
        <f ca="1">'Balance Sheet'!C11</f>
        <v>79175635.539244592</v>
      </c>
      <c r="E22" s="9">
        <f ca="1">'Balance Sheet'!D11</f>
        <v>119327114.74384278</v>
      </c>
      <c r="F22" s="9">
        <f ca="1">'Balance Sheet'!E11</f>
        <v>151602819.18465784</v>
      </c>
      <c r="G22" s="9">
        <f ca="1">'Balance Sheet'!F11</f>
        <v>175044739.93008551</v>
      </c>
      <c r="H22" s="9">
        <f ca="1">'Balance Sheet'!G11</f>
        <v>192739974.71848035</v>
      </c>
      <c r="I22" s="9">
        <f ca="1">'Balance Sheet'!H11</f>
        <v>210275979.59401977</v>
      </c>
      <c r="J22" s="9">
        <f ca="1">'Balance Sheet'!I11</f>
        <v>227316825.54973358</v>
      </c>
      <c r="K22" s="9">
        <f ca="1">'Balance Sheet'!J11</f>
        <v>243473289.36803657</v>
      </c>
      <c r="L22" s="9">
        <f ca="1">'Balance Sheet'!K11</f>
        <v>259304910.62798947</v>
      </c>
      <c r="M22" s="9">
        <f ca="1">'Balance Sheet'!L11</f>
        <v>275583768.51392519</v>
      </c>
      <c r="N22" s="9">
        <f ca="1">'Balance Sheet'!M11</f>
        <v>292145812.3867057</v>
      </c>
      <c r="O22" s="9">
        <f ca="1">'Balance Sheet'!N11</f>
        <v>308800458.17343026</v>
      </c>
      <c r="P22" s="9">
        <f ca="1">'Balance Sheet'!O11</f>
        <v>325327913.77278697</v>
      </c>
      <c r="Q22" s="9">
        <f ca="1">'Balance Sheet'!P11</f>
        <v>341476280.88001776</v>
      </c>
      <c r="R22" s="9">
        <f ca="1">'Balance Sheet'!Q11</f>
        <v>356958416.24825722</v>
      </c>
      <c r="S22" s="9">
        <f ca="1">'Balance Sheet'!R11</f>
        <v>371448534.18060142</v>
      </c>
      <c r="T22" s="9">
        <f ca="1">'Balance Sheet'!S11</f>
        <v>386282322.65256894</v>
      </c>
      <c r="U22" s="9">
        <f ca="1">'Balance Sheet'!T11</f>
        <v>401316820.83743888</v>
      </c>
      <c r="V22" s="9">
        <f ca="1">'Balance Sheet'!U11</f>
        <v>416387712.28391349</v>
      </c>
      <c r="W22" s="9">
        <f ca="1">'Balance Sheet'!V11</f>
        <v>432311919.04150218</v>
      </c>
      <c r="X22" s="9">
        <f ca="1">'Balance Sheet'!W11</f>
        <v>451133737.96312064</v>
      </c>
      <c r="Y22" s="9">
        <f ca="1">'Balance Sheet'!X11</f>
        <v>471943972.63217807</v>
      </c>
      <c r="Z22" s="9">
        <f ca="1">'Balance Sheet'!Y11</f>
        <v>494805472.18743396</v>
      </c>
      <c r="AA22" s="9">
        <f ca="1">'Balance Sheet'!Z11</f>
        <v>519778598.85912824</v>
      </c>
      <c r="AB22" s="9">
        <f ca="1">'Balance Sheet'!AA11</f>
        <v>546920733.64120853</v>
      </c>
      <c r="AC22" s="9">
        <f ca="1">'Balance Sheet'!AB11</f>
        <v>581034005.73745751</v>
      </c>
      <c r="AD22" s="9">
        <f ca="1">'Balance Sheet'!AC11</f>
        <v>622695308.67311239</v>
      </c>
      <c r="AE22" s="9">
        <f ca="1">'Balance Sheet'!AD11</f>
        <v>672516203.09090531</v>
      </c>
      <c r="AF22" s="9">
        <f ca="1">'Balance Sheet'!AE11</f>
        <v>731144708.13462114</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209851307.39608836</v>
      </c>
      <c r="D23" s="9">
        <f t="shared" ref="D23:AF23" ca="1" si="30">D20-D22</f>
        <v>212371895.19904196</v>
      </c>
      <c r="E23" s="9">
        <f t="shared" ca="1" si="30"/>
        <v>226244840.28359228</v>
      </c>
      <c r="F23" s="9">
        <f t="shared" ca="1" si="30"/>
        <v>249722341.70917848</v>
      </c>
      <c r="G23" s="9">
        <f t="shared" ca="1" si="30"/>
        <v>283817729.41787696</v>
      </c>
      <c r="H23" s="9">
        <f t="shared" ca="1" si="30"/>
        <v>325500996.95414025</v>
      </c>
      <c r="I23" s="9">
        <f t="shared" ca="1" si="30"/>
        <v>369243606.47764814</v>
      </c>
      <c r="J23" s="9">
        <f ca="1">J20-J22</f>
        <v>415442290.58175105</v>
      </c>
      <c r="K23" s="9">
        <f t="shared" ca="1" si="30"/>
        <v>464549021.78517896</v>
      </c>
      <c r="L23" s="9">
        <f t="shared" ca="1" si="30"/>
        <v>516069017.78765231</v>
      </c>
      <c r="M23" s="9">
        <f t="shared" ca="1" si="30"/>
        <v>569297028.9165405</v>
      </c>
      <c r="N23" s="9">
        <f t="shared" ca="1" si="30"/>
        <v>624466073.86705828</v>
      </c>
      <c r="O23" s="9">
        <f t="shared" ca="1" si="30"/>
        <v>681837911.74597764</v>
      </c>
      <c r="P23" s="9">
        <f t="shared" ca="1" si="30"/>
        <v>741705787.28956521</v>
      </c>
      <c r="Q23" s="9">
        <f t="shared" ca="1" si="30"/>
        <v>804397401.92185307</v>
      </c>
      <c r="R23" s="9">
        <f t="shared" ca="1" si="30"/>
        <v>870278127.70879674</v>
      </c>
      <c r="S23" s="9">
        <f t="shared" ca="1" si="30"/>
        <v>939754482.48860145</v>
      </c>
      <c r="T23" s="9">
        <f t="shared" ca="1" si="30"/>
        <v>1011574093.8555716</v>
      </c>
      <c r="U23" s="9">
        <f t="shared" ca="1" si="30"/>
        <v>1085965904.3044856</v>
      </c>
      <c r="V23" s="9">
        <f t="shared" ca="1" si="30"/>
        <v>1163182963.3680758</v>
      </c>
      <c r="W23" s="9">
        <f t="shared" ca="1" si="30"/>
        <v>1242499921.5368743</v>
      </c>
      <c r="X23" s="9">
        <f t="shared" ca="1" si="30"/>
        <v>1321966984.8192873</v>
      </c>
      <c r="Y23" s="9">
        <f t="shared" ca="1" si="30"/>
        <v>1402590876.5847905</v>
      </c>
      <c r="Z23" s="9">
        <f t="shared" ca="1" si="30"/>
        <v>1484409395.5100007</v>
      </c>
      <c r="AA23" s="9">
        <f t="shared" ca="1" si="30"/>
        <v>1567466047.9101479</v>
      </c>
      <c r="AB23" s="9">
        <f t="shared" ca="1" si="30"/>
        <v>1651810645.1302075</v>
      </c>
      <c r="AC23" s="9">
        <f t="shared" ca="1" si="30"/>
        <v>1732751680.4601676</v>
      </c>
      <c r="AD23" s="9">
        <f t="shared" ca="1" si="30"/>
        <v>1809826422.7883601</v>
      </c>
      <c r="AE23" s="9">
        <f t="shared" ca="1" si="30"/>
        <v>1882541127.0828581</v>
      </c>
      <c r="AF23" s="9">
        <f t="shared" ca="1" si="30"/>
        <v>1950369359.9102259</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164</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29346975</v>
      </c>
      <c r="D5" s="1">
        <f ca="1">C5+C6</f>
        <v>79175635.539244592</v>
      </c>
      <c r="E5" s="1">
        <f t="shared" ref="E5:AF5" ca="1" si="1">D5+D6</f>
        <v>119327114.74384278</v>
      </c>
      <c r="F5" s="1">
        <f t="shared" ca="1" si="1"/>
        <v>151602819.18465784</v>
      </c>
      <c r="G5" s="1">
        <f t="shared" ca="1" si="1"/>
        <v>175044739.93008551</v>
      </c>
      <c r="H5" s="1">
        <f t="shared" ca="1" si="1"/>
        <v>192739974.71848035</v>
      </c>
      <c r="I5" s="1">
        <f t="shared" ca="1" si="1"/>
        <v>210275979.59401977</v>
      </c>
      <c r="J5" s="1">
        <f t="shared" ca="1" si="1"/>
        <v>227316825.54973358</v>
      </c>
      <c r="K5" s="1">
        <f t="shared" ca="1" si="1"/>
        <v>243473289.36803657</v>
      </c>
      <c r="L5" s="1">
        <f t="shared" ca="1" si="1"/>
        <v>259304910.62798947</v>
      </c>
      <c r="M5" s="1">
        <f t="shared" ca="1" si="1"/>
        <v>275583768.51392519</v>
      </c>
      <c r="N5" s="1">
        <f t="shared" ca="1" si="1"/>
        <v>292145812.3867057</v>
      </c>
      <c r="O5" s="1">
        <f t="shared" ca="1" si="1"/>
        <v>308800458.17343026</v>
      </c>
      <c r="P5" s="1">
        <f t="shared" ca="1" si="1"/>
        <v>325327913.77278697</v>
      </c>
      <c r="Q5" s="1">
        <f t="shared" ca="1" si="1"/>
        <v>341476280.88001776</v>
      </c>
      <c r="R5" s="1">
        <f t="shared" ca="1" si="1"/>
        <v>356958416.24825722</v>
      </c>
      <c r="S5" s="1">
        <f t="shared" ca="1" si="1"/>
        <v>371448534.18060142</v>
      </c>
      <c r="T5" s="1">
        <f t="shared" ca="1" si="1"/>
        <v>386282322.65256894</v>
      </c>
      <c r="U5" s="1">
        <f t="shared" ca="1" si="1"/>
        <v>401316820.83743888</v>
      </c>
      <c r="V5" s="1">
        <f t="shared" ca="1" si="1"/>
        <v>416387712.28391349</v>
      </c>
      <c r="W5" s="1">
        <f t="shared" ca="1" si="1"/>
        <v>432311919.04150218</v>
      </c>
      <c r="X5" s="1">
        <f t="shared" ca="1" si="1"/>
        <v>451133737.96312064</v>
      </c>
      <c r="Y5" s="1">
        <f t="shared" ca="1" si="1"/>
        <v>471943972.63217807</v>
      </c>
      <c r="Z5" s="1">
        <f t="shared" ca="1" si="1"/>
        <v>494805472.18743396</v>
      </c>
      <c r="AA5" s="1">
        <f t="shared" ca="1" si="1"/>
        <v>519778598.85912824</v>
      </c>
      <c r="AB5" s="1">
        <f t="shared" ca="1" si="1"/>
        <v>546920733.64120853</v>
      </c>
      <c r="AC5" s="1">
        <f t="shared" ca="1" si="1"/>
        <v>581034005.73745751</v>
      </c>
      <c r="AD5" s="1">
        <f t="shared" ca="1" si="1"/>
        <v>622695308.67311239</v>
      </c>
      <c r="AE5" s="1">
        <f t="shared" ca="1" si="1"/>
        <v>672516203.09090531</v>
      </c>
      <c r="AF5" s="1">
        <f t="shared" ca="1" si="1"/>
        <v>731144708.13462114</v>
      </c>
      <c r="AG5" s="1"/>
      <c r="AH5" s="1"/>
      <c r="AI5" s="1"/>
      <c r="AJ5" s="1"/>
      <c r="AK5" s="1"/>
      <c r="AL5" s="1"/>
      <c r="AM5" s="1"/>
      <c r="AN5" s="1"/>
      <c r="AO5" s="1"/>
      <c r="AP5" s="1"/>
    </row>
    <row r="6" spans="1:42" x14ac:dyDescent="0.35">
      <c r="A6" s="63" t="s">
        <v>3</v>
      </c>
      <c r="C6" s="1">
        <f ca="1">-'Cash Flow'!C13</f>
        <v>49828660.539244592</v>
      </c>
      <c r="D6" s="1">
        <f ca="1">-'Cash Flow'!D13</f>
        <v>40151479.204598181</v>
      </c>
      <c r="E6" s="1">
        <f ca="1">-'Cash Flow'!E13</f>
        <v>32275704.44081505</v>
      </c>
      <c r="F6" s="1">
        <f ca="1">-'Cash Flow'!F13</f>
        <v>23441920.745427668</v>
      </c>
      <c r="G6" s="1">
        <f ca="1">-'Cash Flow'!G13</f>
        <v>17695234.788394853</v>
      </c>
      <c r="H6" s="1">
        <f ca="1">-'Cash Flow'!H13</f>
        <v>17536004.875539407</v>
      </c>
      <c r="I6" s="1">
        <f ca="1">-'Cash Flow'!I13</f>
        <v>17040845.955713809</v>
      </c>
      <c r="J6" s="1">
        <f ca="1">-'Cash Flow'!J13</f>
        <v>16156463.818302982</v>
      </c>
      <c r="K6" s="1">
        <f ca="1">-'Cash Flow'!K13</f>
        <v>15831621.259952888</v>
      </c>
      <c r="L6" s="1">
        <f ca="1">-'Cash Flow'!L13</f>
        <v>16278857.885935739</v>
      </c>
      <c r="M6" s="1">
        <f ca="1">-'Cash Flow'!M13</f>
        <v>16562043.872780502</v>
      </c>
      <c r="N6" s="1">
        <f ca="1">-'Cash Flow'!N13</f>
        <v>16654645.786724582</v>
      </c>
      <c r="O6" s="1">
        <f ca="1">-'Cash Flow'!O13</f>
        <v>16527455.599356681</v>
      </c>
      <c r="P6" s="1">
        <f ca="1">-'Cash Flow'!P13</f>
        <v>16148367.107230812</v>
      </c>
      <c r="Q6" s="1">
        <f ca="1">-'Cash Flow'!Q13</f>
        <v>15482135.368239447</v>
      </c>
      <c r="R6" s="1">
        <f ca="1">-'Cash Flow'!R13</f>
        <v>14490117.932344183</v>
      </c>
      <c r="S6" s="1">
        <f ca="1">-'Cash Flow'!S13</f>
        <v>14833788.471967489</v>
      </c>
      <c r="T6" s="1">
        <f ca="1">-'Cash Flow'!T13</f>
        <v>15034498.184869945</v>
      </c>
      <c r="U6" s="1">
        <f ca="1">-'Cash Flow'!U13</f>
        <v>15070891.446474612</v>
      </c>
      <c r="V6" s="1">
        <f ca="1">-'Cash Flow'!V13</f>
        <v>15924206.75758867</v>
      </c>
      <c r="W6" s="1">
        <f ca="1">-'Cash Flow'!W13</f>
        <v>18821818.921618462</v>
      </c>
      <c r="X6" s="1">
        <f ca="1">-'Cash Flow'!X13</f>
        <v>20810234.669057459</v>
      </c>
      <c r="Y6" s="1">
        <f ca="1">-'Cash Flow'!Y13</f>
        <v>22861499.55525589</v>
      </c>
      <c r="Z6" s="1">
        <f ca="1">-'Cash Flow'!Z13</f>
        <v>24973126.671694309</v>
      </c>
      <c r="AA6" s="1">
        <f ca="1">-'Cash Flow'!AA13</f>
        <v>27142134.782080293</v>
      </c>
      <c r="AB6" s="1">
        <f ca="1">-'Cash Flow'!AB13</f>
        <v>34113272.096248955</v>
      </c>
      <c r="AC6" s="1">
        <f ca="1">-'Cash Flow'!AC13</f>
        <v>41661302.935654879</v>
      </c>
      <c r="AD6" s="1">
        <f ca="1">-'Cash Flow'!AD13</f>
        <v>49820894.417792886</v>
      </c>
      <c r="AE6" s="1">
        <f ca="1">-'Cash Flow'!AE13</f>
        <v>58628505.043715835</v>
      </c>
      <c r="AF6" s="1">
        <f ca="1">-'Cash Flow'!AF13</f>
        <v>68122469.586014271</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2771147.2438735608</v>
      </c>
      <c r="D8" s="1">
        <f ca="1">IF(SUM(D5:D6)&gt;0,Assumptions!$C$26*SUM(D5:D6),Assumptions!$C$27*(SUM(D5:D6)))</f>
        <v>4176449.0160344979</v>
      </c>
      <c r="E8" s="1">
        <f ca="1">IF(SUM(E5:E6)&gt;0,Assumptions!$C$26*SUM(E5:E6),Assumptions!$C$27*(SUM(E5:E6)))</f>
        <v>5306098.6714630248</v>
      </c>
      <c r="F8" s="1">
        <f ca="1">IF(SUM(F5:F6)&gt;0,Assumptions!$C$26*SUM(F5:F6),Assumptions!$C$27*(SUM(F5:F6)))</f>
        <v>6126565.8975529931</v>
      </c>
      <c r="G8" s="1">
        <f ca="1">IF(SUM(G5:G6)&gt;0,Assumptions!$C$26*SUM(G5:G6),Assumptions!$C$27*(SUM(G5:G6)))</f>
        <v>6745899.115146813</v>
      </c>
      <c r="H8" s="1">
        <f ca="1">IF(SUM(H5:H6)&gt;0,Assumptions!$C$26*SUM(H5:H6),Assumptions!$C$27*(SUM(H5:H6)))</f>
        <v>7359659.285790693</v>
      </c>
      <c r="I8" s="1">
        <f ca="1">IF(SUM(I5:I6)&gt;0,Assumptions!$C$26*SUM(I5:I6),Assumptions!$C$27*(SUM(I5:I6)))</f>
        <v>7956088.8942406764</v>
      </c>
      <c r="J8" s="1">
        <f ca="1">IF(SUM(J5:J6)&gt;0,Assumptions!$C$26*SUM(J5:J6),Assumptions!$C$27*(SUM(J5:J6)))</f>
        <v>8521565.1278812811</v>
      </c>
      <c r="K8" s="1">
        <f ca="1">IF(SUM(K5:K6)&gt;0,Assumptions!$C$26*SUM(K5:K6),Assumptions!$C$27*(SUM(K5:K6)))</f>
        <v>9075671.8719796315</v>
      </c>
      <c r="L8" s="1">
        <f ca="1">IF(SUM(L5:L6)&gt;0,Assumptions!$C$26*SUM(L5:L6),Assumptions!$C$27*(SUM(L5:L6)))</f>
        <v>9645431.8979873825</v>
      </c>
      <c r="M8" s="1">
        <f ca="1">IF(SUM(M5:M6)&gt;0,Assumptions!$C$26*SUM(M5:M6),Assumptions!$C$27*(SUM(M5:M6)))</f>
        <v>10225103.4335347</v>
      </c>
      <c r="N8" s="1">
        <f ca="1">IF(SUM(N5:N6)&gt;0,Assumptions!$C$26*SUM(N5:N6),Assumptions!$C$27*(SUM(N5:N6)))</f>
        <v>10808016.03607006</v>
      </c>
      <c r="O8" s="1">
        <f ca="1">IF(SUM(O5:O6)&gt;0,Assumptions!$C$26*SUM(O5:O6),Assumptions!$C$27*(SUM(O5:O6)))</f>
        <v>11386476.982047545</v>
      </c>
      <c r="P8" s="1">
        <f ca="1">IF(SUM(P5:P6)&gt;0,Assumptions!$C$26*SUM(P5:P6),Assumptions!$C$27*(SUM(P5:P6)))</f>
        <v>11951669.830800623</v>
      </c>
      <c r="Q8" s="1">
        <f ca="1">IF(SUM(Q5:Q6)&gt;0,Assumptions!$C$26*SUM(Q5:Q6),Assumptions!$C$27*(SUM(Q5:Q6)))</f>
        <v>12493544.568689004</v>
      </c>
      <c r="R8" s="1">
        <f ca="1">IF(SUM(R5:R6)&gt;0,Assumptions!$C$26*SUM(R5:R6),Assumptions!$C$27*(SUM(R5:R6)))</f>
        <v>13000698.696321052</v>
      </c>
      <c r="S8" s="1">
        <f ca="1">IF(SUM(S5:S6)&gt;0,Assumptions!$C$26*SUM(S5:S6),Assumptions!$C$27*(SUM(S5:S6)))</f>
        <v>13519881.292839915</v>
      </c>
      <c r="T8" s="1">
        <f ca="1">IF(SUM(T5:T6)&gt;0,Assumptions!$C$26*SUM(T5:T6),Assumptions!$C$27*(SUM(T5:T6)))</f>
        <v>14046088.729310362</v>
      </c>
      <c r="U8" s="1">
        <f ca="1">IF(SUM(U5:U6)&gt;0,Assumptions!$C$26*SUM(U5:U6),Assumptions!$C$27*(SUM(U5:U6)))</f>
        <v>14573569.929936973</v>
      </c>
      <c r="V8" s="1">
        <f ca="1">IF(SUM(V5:V6)&gt;0,Assumptions!$C$26*SUM(V5:V6),Assumptions!$C$27*(SUM(V5:V6)))</f>
        <v>15130917.166452577</v>
      </c>
      <c r="W8" s="1">
        <f ca="1">IF(SUM(W5:W6)&gt;0,Assumptions!$C$26*SUM(W5:W6),Assumptions!$C$27*(SUM(W5:W6)))</f>
        <v>15789680.828709224</v>
      </c>
      <c r="X8" s="1">
        <f ca="1">IF(SUM(X5:X6)&gt;0,Assumptions!$C$26*SUM(X5:X6),Assumptions!$C$27*(SUM(X5:X6)))</f>
        <v>16518039.042126235</v>
      </c>
      <c r="Y8" s="1">
        <f ca="1">IF(SUM(Y5:Y6)&gt;0,Assumptions!$C$26*SUM(Y5:Y6),Assumptions!$C$27*(SUM(Y5:Y6)))</f>
        <v>17318191.526560191</v>
      </c>
      <c r="Z8" s="1">
        <f ca="1">IF(SUM(Z5:Z6)&gt;0,Assumptions!$C$26*SUM(Z5:Z6),Assumptions!$C$27*(SUM(Z5:Z6)))</f>
        <v>18192250.960069489</v>
      </c>
      <c r="AA8" s="1">
        <f ca="1">IF(SUM(AA5:AA6)&gt;0,Assumptions!$C$26*SUM(AA5:AA6),Assumptions!$C$27*(SUM(AA5:AA6)))</f>
        <v>19142225.677442301</v>
      </c>
      <c r="AB8" s="1">
        <f ca="1">IF(SUM(AB5:AB6)&gt;0,Assumptions!$C$26*SUM(AB5:AB6),Assumptions!$C$27*(SUM(AB5:AB6)))</f>
        <v>20336190.200811014</v>
      </c>
      <c r="AC8" s="1">
        <f ca="1">IF(SUM(AC5:AC6)&gt;0,Assumptions!$C$26*SUM(AC5:AC6),Assumptions!$C$27*(SUM(AC5:AC6)))</f>
        <v>21794335.803558934</v>
      </c>
      <c r="AD8" s="1">
        <f ca="1">IF(SUM(AD5:AD6)&gt;0,Assumptions!$C$26*SUM(AD5:AD6),Assumptions!$C$27*(SUM(AD5:AD6)))</f>
        <v>23538067.108181689</v>
      </c>
      <c r="AE8" s="1">
        <f ca="1">IF(SUM(AE5:AE6)&gt;0,Assumptions!$C$26*SUM(AE5:AE6),Assumptions!$C$27*(SUM(AE5:AE6)))</f>
        <v>25590064.784711741</v>
      </c>
      <c r="AF8" s="1">
        <f ca="1">IF(SUM(AF5:AF6)&gt;0,Assumptions!$C$26*SUM(AF5:AF6),Assumptions!$C$27*(SUM(AF5:AF6)))</f>
        <v>27974351.220222242</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3"/>
  </cols>
  <sheetData>
    <row r="1" spans="1:1" x14ac:dyDescent="0.35">
      <c r="A1" s="174"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4" zoomScale="80" zoomScaleNormal="80" workbookViewId="0">
      <selection sqref="A1:XFD1048576"/>
    </sheetView>
  </sheetViews>
  <sheetFormatPr defaultRowHeight="15.5" x14ac:dyDescent="0.35"/>
  <cols>
    <col min="1" max="1" width="94.83203125" style="63" customWidth="1"/>
    <col min="2" max="2" width="18.1640625" style="63" bestFit="1" customWidth="1"/>
    <col min="3" max="3" width="68.25" style="63" customWidth="1"/>
    <col min="4" max="16384" width="8.6640625" style="63"/>
  </cols>
  <sheetData>
    <row r="1" spans="1:3" ht="26" x14ac:dyDescent="0.6">
      <c r="A1" s="13" t="s">
        <v>183</v>
      </c>
    </row>
    <row r="2" spans="1:3" ht="26" x14ac:dyDescent="0.6">
      <c r="A2" s="13"/>
    </row>
    <row r="3" spans="1:3" ht="232.5" x14ac:dyDescent="0.35">
      <c r="A3" s="172" t="s">
        <v>186</v>
      </c>
    </row>
    <row r="4" spans="1:3" ht="26" x14ac:dyDescent="0.6">
      <c r="A4" s="13"/>
    </row>
    <row r="5" spans="1:3" ht="18.5" x14ac:dyDescent="0.45">
      <c r="A5" s="89" t="s">
        <v>175</v>
      </c>
      <c r="B5" s="90"/>
    </row>
    <row r="6" spans="1:3" ht="18.5" x14ac:dyDescent="0.45">
      <c r="A6" s="90"/>
      <c r="B6" s="90"/>
    </row>
    <row r="7" spans="1:3" s="181" customFormat="1" ht="18.5" x14ac:dyDescent="0.35">
      <c r="A7" s="180" t="s">
        <v>97</v>
      </c>
      <c r="B7" s="187">
        <f>Assumptions!C24</f>
        <v>7355000</v>
      </c>
      <c r="C7" s="194" t="str">
        <f>Assumptions!B24</f>
        <v>RFI Table F10; Lines F10.62 + F10.70</v>
      </c>
    </row>
    <row r="8" spans="1:3" s="181" customFormat="1" ht="18.5" x14ac:dyDescent="0.35">
      <c r="A8" s="180" t="s">
        <v>172</v>
      </c>
      <c r="B8" s="188">
        <f>Assumptions!$C$133</f>
        <v>0.7</v>
      </c>
      <c r="C8" s="194" t="s">
        <v>198</v>
      </c>
    </row>
    <row r="9" spans="1:3" s="181" customFormat="1" ht="18.5" x14ac:dyDescent="0.35">
      <c r="A9" s="180"/>
      <c r="B9" s="189"/>
      <c r="C9" s="194"/>
    </row>
    <row r="10" spans="1:3" s="181" customFormat="1" ht="51" x14ac:dyDescent="0.35">
      <c r="A10" s="182" t="s">
        <v>103</v>
      </c>
      <c r="B10" s="190">
        <f>Assumptions!C135</f>
        <v>8453.3333333333321</v>
      </c>
      <c r="C10" s="194" t="s">
        <v>201</v>
      </c>
    </row>
    <row r="11" spans="1:3" s="181" customFormat="1" ht="18.5" x14ac:dyDescent="0.35">
      <c r="A11" s="182"/>
      <c r="B11" s="182"/>
      <c r="C11" s="194"/>
    </row>
    <row r="12" spans="1:3" s="181" customFormat="1" ht="18.5" x14ac:dyDescent="0.35">
      <c r="A12" s="182" t="s">
        <v>182</v>
      </c>
      <c r="B12" s="187">
        <f>(B7*B8)/B10</f>
        <v>609.04968454258687</v>
      </c>
      <c r="C12" s="194"/>
    </row>
    <row r="13" spans="1:3" s="181" customFormat="1" ht="18.5" x14ac:dyDescent="0.35">
      <c r="A13" s="183"/>
      <c r="B13" s="191"/>
      <c r="C13" s="194"/>
    </row>
    <row r="14" spans="1:3" s="181" customFormat="1" ht="18.5" x14ac:dyDescent="0.35">
      <c r="A14" s="182" t="s">
        <v>104</v>
      </c>
      <c r="B14" s="184">
        <v>1</v>
      </c>
      <c r="C14" s="194"/>
    </row>
    <row r="15" spans="1:3" s="181" customFormat="1" ht="18.5" x14ac:dyDescent="0.35">
      <c r="A15" s="183"/>
      <c r="B15" s="192"/>
      <c r="C15" s="194"/>
    </row>
    <row r="16" spans="1:3" s="181" customFormat="1" ht="18.5" x14ac:dyDescent="0.35">
      <c r="A16" s="183" t="s">
        <v>177</v>
      </c>
      <c r="B16" s="185">
        <f>B12/B14</f>
        <v>609.04968454258687</v>
      </c>
      <c r="C16" s="194"/>
    </row>
    <row r="17" spans="1:3" s="181" customFormat="1" ht="18.5" x14ac:dyDescent="0.35">
      <c r="A17" s="182"/>
      <c r="B17" s="193"/>
      <c r="C17" s="194"/>
    </row>
    <row r="18" spans="1:3" s="181" customFormat="1" ht="18.5" x14ac:dyDescent="0.35">
      <c r="A18" s="186" t="s">
        <v>176</v>
      </c>
      <c r="B18" s="193"/>
      <c r="C18" s="194"/>
    </row>
    <row r="19" spans="1:3" s="181" customFormat="1" ht="18.5" x14ac:dyDescent="0.35">
      <c r="A19" s="182"/>
      <c r="B19" s="193"/>
      <c r="C19" s="194"/>
    </row>
    <row r="20" spans="1:3" s="181" customFormat="1" ht="34" x14ac:dyDescent="0.35">
      <c r="A20" s="182" t="s">
        <v>66</v>
      </c>
      <c r="B20" s="187">
        <f>'Profit and Loss'!L5</f>
        <v>111012887.37281536</v>
      </c>
      <c r="C20" s="194" t="s">
        <v>199</v>
      </c>
    </row>
    <row r="21" spans="1:3" s="181" customFormat="1" ht="18.5" x14ac:dyDescent="0.35">
      <c r="A21" s="182" t="str">
        <f>A8</f>
        <v>Assumed revenue from households</v>
      </c>
      <c r="B21" s="188">
        <f>B8</f>
        <v>0.7</v>
      </c>
      <c r="C21" s="194" t="s">
        <v>198</v>
      </c>
    </row>
    <row r="22" spans="1:3" s="181" customFormat="1" ht="18.5" x14ac:dyDescent="0.35">
      <c r="A22" s="182"/>
      <c r="B22" s="182"/>
      <c r="C22" s="194"/>
    </row>
    <row r="23" spans="1:3" s="181" customFormat="1" ht="18.5" x14ac:dyDescent="0.35">
      <c r="A23" s="182" t="s">
        <v>102</v>
      </c>
      <c r="B23" s="190">
        <f>Assumptions!M135</f>
        <v>8990.6827701986822</v>
      </c>
      <c r="C23" s="194" t="s">
        <v>202</v>
      </c>
    </row>
    <row r="24" spans="1:3" s="181" customFormat="1" ht="18.5" x14ac:dyDescent="0.35">
      <c r="A24" s="182"/>
      <c r="B24" s="182"/>
      <c r="C24" s="194"/>
    </row>
    <row r="25" spans="1:3" s="181" customFormat="1" ht="18.5" x14ac:dyDescent="0.35">
      <c r="A25" s="182" t="s">
        <v>181</v>
      </c>
      <c r="B25" s="187">
        <f>(B20*B21)/B23</f>
        <v>8643.2836245264916</v>
      </c>
      <c r="C25" s="194"/>
    </row>
    <row r="26" spans="1:3" s="181" customFormat="1" ht="18.5" x14ac:dyDescent="0.35">
      <c r="A26" s="182"/>
      <c r="B26" s="187"/>
      <c r="C26" s="194"/>
    </row>
    <row r="27" spans="1:3" s="181" customFormat="1" ht="34" x14ac:dyDescent="0.35">
      <c r="A27" s="182" t="s">
        <v>104</v>
      </c>
      <c r="B27" s="184">
        <f>1.022^11</f>
        <v>1.2704566586717592</v>
      </c>
      <c r="C27" s="194" t="s">
        <v>200</v>
      </c>
    </row>
    <row r="28" spans="1:3" s="181" customFormat="1" ht="18.5" x14ac:dyDescent="0.35">
      <c r="A28" s="183"/>
      <c r="B28" s="191"/>
      <c r="C28" s="194"/>
    </row>
    <row r="29" spans="1:3" s="181" customFormat="1" ht="18.5" x14ac:dyDescent="0.35">
      <c r="A29" s="183" t="s">
        <v>178</v>
      </c>
      <c r="B29" s="187">
        <f>B25/B27</f>
        <v>6803.288853287524</v>
      </c>
      <c r="C29" s="194"/>
    </row>
    <row r="30" spans="1:3" s="181" customFormat="1" ht="18.5" x14ac:dyDescent="0.35">
      <c r="A30" s="183"/>
      <c r="B30" s="191"/>
      <c r="C30" s="194"/>
    </row>
    <row r="31" spans="1:3" s="181" customFormat="1" ht="18.5" x14ac:dyDescent="0.35">
      <c r="A31" s="186" t="s">
        <v>184</v>
      </c>
      <c r="B31" s="183"/>
      <c r="C31" s="194"/>
    </row>
    <row r="32" spans="1:3" s="181" customFormat="1" ht="18.5" x14ac:dyDescent="0.35">
      <c r="A32" s="182"/>
      <c r="B32" s="187"/>
      <c r="C32" s="194"/>
    </row>
    <row r="33" spans="1:3" s="181" customFormat="1" ht="34" x14ac:dyDescent="0.35">
      <c r="A33" s="182" t="s">
        <v>67</v>
      </c>
      <c r="B33" s="187">
        <f>'Profit and Loss'!AF5</f>
        <v>290904422.09689766</v>
      </c>
      <c r="C33" s="194" t="s">
        <v>199</v>
      </c>
    </row>
    <row r="34" spans="1:3" s="181" customFormat="1" ht="18.5" x14ac:dyDescent="0.35">
      <c r="A34" s="182" t="str">
        <f>A21</f>
        <v>Assumed revenue from households</v>
      </c>
      <c r="B34" s="188">
        <f>B21</f>
        <v>0.7</v>
      </c>
      <c r="C34" s="194" t="s">
        <v>198</v>
      </c>
    </row>
    <row r="35" spans="1:3" s="181" customFormat="1" ht="18.5" x14ac:dyDescent="0.35">
      <c r="A35" s="182"/>
      <c r="B35" s="182"/>
      <c r="C35" s="194"/>
    </row>
    <row r="36" spans="1:3" s="181" customFormat="1" ht="18.5" x14ac:dyDescent="0.35">
      <c r="A36" s="182" t="s">
        <v>101</v>
      </c>
      <c r="B36" s="190">
        <f>Assumptions!AG135</f>
        <v>10170.025304639052</v>
      </c>
      <c r="C36" s="194" t="s">
        <v>202</v>
      </c>
    </row>
    <row r="37" spans="1:3" s="181" customFormat="1" ht="18.5" x14ac:dyDescent="0.35">
      <c r="A37" s="182"/>
      <c r="B37" s="182"/>
      <c r="C37" s="194"/>
    </row>
    <row r="38" spans="1:3" s="181" customFormat="1" ht="18.5" x14ac:dyDescent="0.35">
      <c r="A38" s="182" t="s">
        <v>180</v>
      </c>
      <c r="B38" s="187">
        <f>(B33*B34)/B36</f>
        <v>20022.870088134514</v>
      </c>
      <c r="C38" s="194"/>
    </row>
    <row r="39" spans="1:3" s="181" customFormat="1" ht="18.5" x14ac:dyDescent="0.35">
      <c r="A39" s="182"/>
      <c r="B39" s="182"/>
      <c r="C39" s="194"/>
    </row>
    <row r="40" spans="1:3" s="181" customFormat="1" ht="34" x14ac:dyDescent="0.35">
      <c r="A40" s="182" t="s">
        <v>104</v>
      </c>
      <c r="B40" s="184">
        <f>1.022^31</f>
        <v>1.9632597808456462</v>
      </c>
      <c r="C40" s="194" t="s">
        <v>200</v>
      </c>
    </row>
    <row r="41" spans="1:3" s="181" customFormat="1" ht="18.5" x14ac:dyDescent="0.35">
      <c r="A41" s="183"/>
      <c r="B41" s="191"/>
    </row>
    <row r="42" spans="1:3" s="181" customFormat="1" ht="18.5" x14ac:dyDescent="0.35">
      <c r="A42" s="183" t="s">
        <v>179</v>
      </c>
      <c r="B42" s="187">
        <f>B38/B40</f>
        <v>10198.787895257523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3"/>
  </cols>
  <sheetData>
    <row r="1" spans="1:1" x14ac:dyDescent="0.35">
      <c r="A1" s="174"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1.5</v>
      </c>
      <c r="F4" s="65">
        <v>0.85</v>
      </c>
      <c r="G4" s="65">
        <v>0.4</v>
      </c>
      <c r="H4" s="65">
        <v>0.3</v>
      </c>
      <c r="I4" s="65">
        <v>0.18</v>
      </c>
      <c r="J4" s="65">
        <v>0.08</v>
      </c>
      <c r="K4" s="65">
        <v>0.08</v>
      </c>
      <c r="L4" s="65">
        <v>0.08</v>
      </c>
      <c r="M4" s="65">
        <v>7.0000000000000007E-2</v>
      </c>
      <c r="N4" s="65">
        <v>0.06</v>
      </c>
      <c r="O4" s="65">
        <v>0.06</v>
      </c>
      <c r="P4" s="65">
        <v>0.06</v>
      </c>
      <c r="Q4" s="65">
        <v>0.06</v>
      </c>
      <c r="R4" s="65">
        <v>0.06</v>
      </c>
      <c r="S4" s="65">
        <v>0.06</v>
      </c>
      <c r="T4" s="65">
        <v>0.06</v>
      </c>
      <c r="U4" s="65">
        <v>0.05</v>
      </c>
      <c r="V4" s="65">
        <v>0.05</v>
      </c>
      <c r="W4" s="65">
        <v>0.05</v>
      </c>
      <c r="X4" s="65">
        <v>4.4999999999999998E-2</v>
      </c>
      <c r="Y4" s="65">
        <v>3.5000000000000003E-2</v>
      </c>
      <c r="Z4" s="65">
        <v>0.04</v>
      </c>
      <c r="AA4" s="65">
        <v>0.04</v>
      </c>
      <c r="AB4" s="65">
        <v>0.04</v>
      </c>
      <c r="AC4" s="65">
        <v>0.04</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2.513350271076606</v>
      </c>
      <c r="C6" s="25"/>
      <c r="D6" s="25"/>
      <c r="E6" s="27">
        <f>'Debt worksheet'!C5/'Profit and Loss'!C5</f>
        <v>1.5862228012879298</v>
      </c>
      <c r="F6" s="28">
        <f ca="1">'Debt worksheet'!D5/'Profit and Loss'!D5</f>
        <v>2.2990277217959187</v>
      </c>
      <c r="G6" s="28">
        <f ca="1">'Debt worksheet'!E5/'Profit and Loss'!E5</f>
        <v>2.4597291393293519</v>
      </c>
      <c r="H6" s="28">
        <f ca="1">'Debt worksheet'!F5/'Profit and Loss'!F5</f>
        <v>2.3891070148180895</v>
      </c>
      <c r="I6" s="28">
        <f ca="1">'Debt worksheet'!G5/'Profit and Loss'!G5</f>
        <v>2.3233728793207753</v>
      </c>
      <c r="J6" s="28">
        <f ca="1">'Debt worksheet'!H5/'Profit and Loss'!H5</f>
        <v>2.3541895357769347</v>
      </c>
      <c r="K6" s="28">
        <f ca="1">'Debt worksheet'!I5/'Profit and Loss'!I5</f>
        <v>2.363518841080853</v>
      </c>
      <c r="L6" s="28">
        <f ca="1">'Debt worksheet'!J5/'Profit and Loss'!J5</f>
        <v>2.3512605808296754</v>
      </c>
      <c r="M6" s="28">
        <f ca="1">'Debt worksheet'!K5/'Profit and Loss'!K5</f>
        <v>2.3391617723634526</v>
      </c>
      <c r="N6" s="28">
        <f ca="1">'Debt worksheet'!L5/'Profit and Loss'!L5</f>
        <v>2.3358090827523834</v>
      </c>
      <c r="O6" s="28">
        <f ca="1">'Debt worksheet'!M5/'Profit and Loss'!M5</f>
        <v>2.3275440175140951</v>
      </c>
      <c r="P6" s="28">
        <f ca="1">'Debt worksheet'!N5/'Profit and Loss'!N5</f>
        <v>2.3134578992818646</v>
      </c>
      <c r="Q6" s="28">
        <f ca="1">'Debt worksheet'!O5/'Profit and Loss'!O5</f>
        <v>2.2927544118972323</v>
      </c>
      <c r="R6" s="28">
        <f ca="1">'Debt worksheet'!P5/'Profit and Loss'!P5</f>
        <v>2.2647412831090983</v>
      </c>
      <c r="S6" s="28">
        <f ca="1">'Debt worksheet'!Q5/'Profit and Loss'!Q5</f>
        <v>2.2288224730791204</v>
      </c>
      <c r="T6" s="28">
        <f ca="1">'Debt worksheet'!R5/'Profit and Loss'!R5</f>
        <v>2.1844908409559287</v>
      </c>
      <c r="U6" s="28">
        <f ca="1">'Debt worksheet'!S5/'Profit and Loss'!S5</f>
        <v>2.1516195609547197</v>
      </c>
      <c r="V6" s="28">
        <f ca="1">'Debt worksheet'!T5/'Profit and Loss'!T5</f>
        <v>2.1179022029905115</v>
      </c>
      <c r="W6" s="28">
        <f ca="1">'Debt worksheet'!U5/'Profit and Loss'!U5</f>
        <v>2.0826805641660937</v>
      </c>
      <c r="X6" s="28">
        <f ca="1">'Debt worksheet'!V5/'Profit and Loss'!V5</f>
        <v>2.0551354347421418</v>
      </c>
      <c r="Y6" s="28">
        <f ca="1">'Debt worksheet'!W5/'Profit and Loss'!W5</f>
        <v>2.0489102458534334</v>
      </c>
      <c r="Z6" s="28">
        <f ca="1">'Debt worksheet'!X5/'Profit and Loss'!X5</f>
        <v>2.0432486680772479</v>
      </c>
      <c r="AA6" s="28">
        <f ca="1">'Debt worksheet'!Y5/'Profit and Loss'!Y5</f>
        <v>2.0426622092113167</v>
      </c>
      <c r="AB6" s="28">
        <f ca="1">'Debt worksheet'!Z5/'Profit and Loss'!Z5</f>
        <v>2.0465897606517265</v>
      </c>
      <c r="AC6" s="28">
        <f ca="1">'Debt worksheet'!AA5/'Profit and Loss'!AA5</f>
        <v>2.0544940593233876</v>
      </c>
      <c r="AD6" s="28">
        <f ca="1">'Debt worksheet'!AB5/'Profit and Loss'!AB5</f>
        <v>2.1022459266792963</v>
      </c>
      <c r="AE6" s="28">
        <f ca="1">'Debt worksheet'!AC5/'Profit and Loss'!AC5</f>
        <v>2.1718674620748919</v>
      </c>
      <c r="AF6" s="28">
        <f ca="1">'Debt worksheet'!AD5/'Profit and Loss'!AD5</f>
        <v>2.2634973909577547</v>
      </c>
      <c r="AG6" s="28">
        <f ca="1">'Debt worksheet'!AE5/'Profit and Loss'!AE5</f>
        <v>2.377277024186303</v>
      </c>
      <c r="AH6" s="28">
        <f ca="1">'Debt worksheet'!AF5/'Profit and Loss'!AF5</f>
        <v>2.513350271076606</v>
      </c>
      <c r="AI6" s="31"/>
    </row>
    <row r="7" spans="1:35" ht="21" x14ac:dyDescent="0.5">
      <c r="A7" s="19" t="s">
        <v>39</v>
      </c>
      <c r="B7" s="26">
        <f ca="1">MIN('Price and Financial ratios'!E7:AH7)</f>
        <v>0.22311340575849983</v>
      </c>
      <c r="C7" s="26"/>
      <c r="D7" s="26"/>
      <c r="E7" s="56">
        <f ca="1">'Cash Flow'!C7/'Debt worksheet'!C5</f>
        <v>0.2599376699832921</v>
      </c>
      <c r="F7" s="32">
        <f ca="1">'Cash Flow'!D7/'Debt worksheet'!D5</f>
        <v>0.25766225800919418</v>
      </c>
      <c r="G7" s="32">
        <f ca="1">'Cash Flow'!E7/'Debt worksheet'!E5</f>
        <v>0.26406906526067564</v>
      </c>
      <c r="H7" s="32">
        <f ca="1">'Cash Flow'!F7/'Debt worksheet'!F5</f>
        <v>0.28840902994363959</v>
      </c>
      <c r="I7" s="32">
        <f ca="1">'Cash Flow'!G7/'Debt worksheet'!G5</f>
        <v>0.30278259585115885</v>
      </c>
      <c r="J7" s="32">
        <f ca="1">'Cash Flow'!H7/'Debt worksheet'!H5</f>
        <v>0.29494181648049905</v>
      </c>
      <c r="K7" s="32">
        <f ca="1">'Cash Flow'!I7/'Debt worksheet'!I5</f>
        <v>0.29101366069248519</v>
      </c>
      <c r="L7" s="32">
        <f ca="1">'Cash Flow'!J7/'Debt worksheet'!J5</f>
        <v>0.29077830991792192</v>
      </c>
      <c r="M7" s="17">
        <f ca="1">'Cash Flow'!K7/'Debt worksheet'!K5</f>
        <v>0.29006109987999196</v>
      </c>
      <c r="N7" s="17">
        <f ca="1">'Cash Flow'!L7/'Debt worksheet'!L5</f>
        <v>0.2875296582580571</v>
      </c>
      <c r="O7" s="17">
        <f ca="1">'Cash Flow'!M7/'Debt worksheet'!M5</f>
        <v>0.28611846902071303</v>
      </c>
      <c r="P7" s="17">
        <f ca="1">'Cash Flow'!N7/'Debt worksheet'!N5</f>
        <v>0.28592476566198866</v>
      </c>
      <c r="Q7" s="17">
        <f ca="1">'Cash Flow'!O7/'Debt worksheet'!O5</f>
        <v>0.28705110434389614</v>
      </c>
      <c r="R7" s="17">
        <f ca="1">'Cash Flow'!P7/'Debt worksheet'!P5</f>
        <v>0.28961393096573623</v>
      </c>
      <c r="S7" s="17">
        <f ca="1">'Cash Flow'!Q7/'Debt worksheet'!Q5</f>
        <v>0.29375293247607737</v>
      </c>
      <c r="T7" s="17">
        <f ca="1">'Cash Flow'!R7/'Debt worksheet'!R5</f>
        <v>0.29964196816889144</v>
      </c>
      <c r="U7" s="17">
        <f ca="1">'Cash Flow'!S7/'Debt worksheet'!S5</f>
        <v>0.30291583285787033</v>
      </c>
      <c r="V7" s="17">
        <f ca="1">'Cash Flow'!T7/'Debt worksheet'!T5</f>
        <v>0.30669759605615737</v>
      </c>
      <c r="W7" s="17">
        <f ca="1">'Cash Flow'!U7/'Debt worksheet'!U5</f>
        <v>0.3111105612162649</v>
      </c>
      <c r="X7" s="17">
        <f ca="1">'Cash Flow'!V7/'Debt worksheet'!V5</f>
        <v>0.31387355191203381</v>
      </c>
      <c r="Y7" s="17">
        <f ca="1">'Cash Flow'!W7/'Debt worksheet'!W5</f>
        <v>0.31174948824821208</v>
      </c>
      <c r="Z7" s="17">
        <f ca="1">'Cash Flow'!X7/'Debt worksheet'!X5</f>
        <v>0.31045909448692827</v>
      </c>
      <c r="AA7" s="17">
        <f ca="1">'Cash Flow'!Y7/'Debt worksheet'!Y5</f>
        <v>0.30848900754713221</v>
      </c>
      <c r="AB7" s="17">
        <f ca="1">'Cash Flow'!Z7/'Debt worksheet'!Z5</f>
        <v>0.30593973277278924</v>
      </c>
      <c r="AC7" s="17">
        <f ca="1">'Cash Flow'!AA7/'Debt worksheet'!AA5</f>
        <v>0.30291297457781419</v>
      </c>
      <c r="AD7" s="17">
        <f ca="1">'Cash Flow'!AB7/'Debt worksheet'!AB5</f>
        <v>0.29082660446666514</v>
      </c>
      <c r="AE7" s="17">
        <f ca="1">'Cash Flow'!AC7/'Debt worksheet'!AC5</f>
        <v>0.27615231937348622</v>
      </c>
      <c r="AF7" s="17">
        <f ca="1">'Cash Flow'!AD7/'Debt worksheet'!AD5</f>
        <v>0.25953567626515911</v>
      </c>
      <c r="AG7" s="17">
        <f ca="1">'Cash Flow'!AE7/'Debt worksheet'!AE5</f>
        <v>0.24164582563014997</v>
      </c>
      <c r="AH7" s="17">
        <f ca="1">'Cash Flow'!AF7/'Debt worksheet'!AF5</f>
        <v>0.22311340575849983</v>
      </c>
      <c r="AI7" s="29"/>
    </row>
    <row r="8" spans="1:35" ht="21" x14ac:dyDescent="0.5">
      <c r="A8" s="19" t="s">
        <v>34</v>
      </c>
      <c r="B8" s="26">
        <f ca="1">MAX('Price and Financial ratios'!E8:AH8)</f>
        <v>0.53319139241433566</v>
      </c>
      <c r="C8" s="26"/>
      <c r="D8" s="175"/>
      <c r="E8" s="17">
        <f>'Balance Sheet'!B11/'Balance Sheet'!B8</f>
        <v>0.16147669838131315</v>
      </c>
      <c r="F8" s="17">
        <f ca="1">'Balance Sheet'!C11/'Balance Sheet'!C8</f>
        <v>0.4370316619228411</v>
      </c>
      <c r="G8" s="17">
        <f ca="1">'Balance Sheet'!D11/'Balance Sheet'!D8</f>
        <v>0.51443638124359992</v>
      </c>
      <c r="H8" s="17">
        <f ca="1">'Balance Sheet'!E11/'Balance Sheet'!E8</f>
        <v>0.53319139241433566</v>
      </c>
      <c r="I8" s="17">
        <f ca="1">'Balance Sheet'!F11/'Balance Sheet'!F8</f>
        <v>0.51736636742097675</v>
      </c>
      <c r="J8" s="17">
        <f ca="1">'Balance Sheet'!G11/'Balance Sheet'!G8</f>
        <v>0.48915146648858171</v>
      </c>
      <c r="K8" s="17">
        <f ca="1">'Balance Sheet'!H11/'Balance Sheet'!H8</f>
        <v>0.46577199504899786</v>
      </c>
      <c r="L8" s="17">
        <f ca="1">'Balance Sheet'!I11/'Balance Sheet'!I8</f>
        <v>0.44512995786191689</v>
      </c>
      <c r="M8" s="17">
        <f ca="1">'Balance Sheet'!J11/'Balance Sheet'!J8</f>
        <v>0.42584624527350462</v>
      </c>
      <c r="N8" s="17">
        <f ca="1">'Balance Sheet'!K11/'Balance Sheet'!K8</f>
        <v>0.40854169602951834</v>
      </c>
      <c r="O8" s="17">
        <f ca="1">'Balance Sheet'!L11/'Balance Sheet'!L8</f>
        <v>0.39389339753965491</v>
      </c>
      <c r="P8" s="17">
        <f ca="1">'Balance Sheet'!M11/'Balance Sheet'!M8</f>
        <v>0.38109445626590588</v>
      </c>
      <c r="Q8" s="17">
        <f ca="1">'Balance Sheet'!N11/'Balance Sheet'!N8</f>
        <v>0.36953734174703096</v>
      </c>
      <c r="R8" s="17">
        <f ca="1">'Balance Sheet'!O11/'Balance Sheet'!O8</f>
        <v>0.35875008420553889</v>
      </c>
      <c r="S8" s="17">
        <f ca="1">'Balance Sheet'!P11/'Balance Sheet'!P8</f>
        <v>0.348355171011834</v>
      </c>
      <c r="T8" s="17">
        <f ca="1">'Balance Sheet'!Q11/'Balance Sheet'!Q8</f>
        <v>0.33804223433435676</v>
      </c>
      <c r="U8" s="17">
        <f ca="1">'Balance Sheet'!R11/'Balance Sheet'!R8</f>
        <v>0.32754940469677352</v>
      </c>
      <c r="V8" s="17">
        <f ca="1">'Balance Sheet'!S11/'Balance Sheet'!S8</f>
        <v>0.31805312222570176</v>
      </c>
      <c r="W8" s="17">
        <f ca="1">'Balance Sheet'!T11/'Balance Sheet'!T8</f>
        <v>0.30929307689585228</v>
      </c>
      <c r="X8" s="17">
        <f ca="1">'Balance Sheet'!U11/'Balance Sheet'!U8</f>
        <v>0.30104856548833342</v>
      </c>
      <c r="Y8" s="17">
        <f ca="1">'Balance Sheet'!V11/'Balance Sheet'!V8</f>
        <v>0.29381224984665888</v>
      </c>
      <c r="Z8" s="17">
        <f ca="1">'Balance Sheet'!W11/'Balance Sheet'!W8</f>
        <v>0.28874347022144536</v>
      </c>
      <c r="AA8" s="17">
        <f ca="1">'Balance Sheet'!X11/'Balance Sheet'!X8</f>
        <v>0.28494641624957545</v>
      </c>
      <c r="AB8" s="17">
        <f ca="1">'Balance Sheet'!Y11/'Balance Sheet'!Y8</f>
        <v>0.28225688509421898</v>
      </c>
      <c r="AC8" s="17">
        <f ca="1">'Balance Sheet'!Z11/'Balance Sheet'!Z8</f>
        <v>0.28053284614086421</v>
      </c>
      <c r="AD8" s="17">
        <f ca="1">'Balance Sheet'!AA11/'Balance Sheet'!AA8</f>
        <v>0.27965037955640626</v>
      </c>
      <c r="AE8" s="17">
        <f ca="1">'Balance Sheet'!AB11/'Balance Sheet'!AB8</f>
        <v>0.28180338377194908</v>
      </c>
      <c r="AF8" s="17">
        <f ca="1">'Balance Sheet'!AC11/'Balance Sheet'!AC8</f>
        <v>0.28678977050926935</v>
      </c>
      <c r="AG8" s="17">
        <f ca="1">'Balance Sheet'!AD11/'Balance Sheet'!AD8</f>
        <v>0.2944351450658278</v>
      </c>
      <c r="AH8" s="17">
        <f ca="1">'Balance Sheet'!AE11/'Balance Sheet'!AE8</f>
        <v>0.30458845320827865</v>
      </c>
      <c r="AI8" s="29"/>
    </row>
    <row r="9" spans="1:35" ht="21.5" thickBot="1" x14ac:dyDescent="0.55000000000000004">
      <c r="A9" s="20" t="s">
        <v>33</v>
      </c>
      <c r="B9" s="21">
        <f ca="1">MIN('Price and Financial ratios'!E9:AH9)</f>
        <v>3.7527892353691126</v>
      </c>
      <c r="C9" s="21"/>
      <c r="D9" s="176"/>
      <c r="E9" s="21">
        <f ca="1">('Cash Flow'!C7+'Profit and Loss'!C8)/('Profit and Loss'!C8)</f>
        <v>3.7527892353691126</v>
      </c>
      <c r="F9" s="21">
        <f ca="1">('Cash Flow'!D7+'Profit and Loss'!D8)/('Profit and Loss'!D8)</f>
        <v>5.8846694773554145</v>
      </c>
      <c r="G9" s="21">
        <f ca="1">('Cash Flow'!E7+'Profit and Loss'!E8)/('Profit and Loss'!E8)</f>
        <v>6.938562699583513</v>
      </c>
      <c r="H9" s="21">
        <f ca="1">('Cash Flow'!F7+'Profit and Loss'!F8)/('Profit and Loss'!F8)</f>
        <v>8.1367259813906152</v>
      </c>
      <c r="I9" s="21">
        <f ca="1">('Cash Flow'!G7+'Profit and Loss'!G8)/('Profit and Loss'!G8)</f>
        <v>8.8566992837349634</v>
      </c>
      <c r="J9" s="21">
        <f ca="1">('Cash Flow'!H7+'Profit and Loss'!H8)/('Profit and Loss'!H8)</f>
        <v>8.7241453774400686</v>
      </c>
      <c r="K9" s="21">
        <f ca="1">('Cash Flow'!I7+'Profit and Loss'!I8)/('Profit and Loss'!I8)</f>
        <v>8.6913648641672516</v>
      </c>
      <c r="L9" s="21">
        <f ca="1">('Cash Flow'!J7+'Profit and Loss'!J8)/('Profit and Loss'!J8)</f>
        <v>8.7566504928763926</v>
      </c>
      <c r="M9" s="21">
        <f ca="1">('Cash Flow'!K7+'Profit and Loss'!K8)/('Profit and Loss'!K8)</f>
        <v>8.7814767988177351</v>
      </c>
      <c r="N9" s="21">
        <f ca="1">('Cash Flow'!L7+'Profit and Loss'!L8)/('Profit and Loss'!L8)</f>
        <v>8.7298614645819139</v>
      </c>
      <c r="O9" s="21">
        <f ca="1">('Cash Flow'!M7+'Profit and Loss'!M8)/('Profit and Loss'!M8)</f>
        <v>8.7113748967628251</v>
      </c>
      <c r="P9" s="21">
        <f ca="1">('Cash Flow'!N7+'Profit and Loss'!N8)/('Profit and Loss'!N8)</f>
        <v>8.7286823656650849</v>
      </c>
      <c r="Q9" s="21">
        <f ca="1">('Cash Flow'!O7+'Profit and Loss'!O8)/('Profit and Loss'!O8)</f>
        <v>8.7848058429609654</v>
      </c>
      <c r="R9" s="21">
        <f ca="1">('Cash Flow'!P7+'Profit and Loss'!P8)/('Profit and Loss'!P8)</f>
        <v>8.8833750676249483</v>
      </c>
      <c r="S9" s="21">
        <f ca="1">('Cash Flow'!Q7+'Profit and Loss'!Q8)/('Profit and Loss'!Q8)</f>
        <v>9.0289191212334856</v>
      </c>
      <c r="T9" s="21">
        <f ca="1">('Cash Flow'!R7+'Profit and Loss'!R8)/('Profit and Loss'!R8)</f>
        <v>9.2272287742000927</v>
      </c>
      <c r="U9" s="21">
        <f ca="1">('Cash Flow'!S7+'Profit and Loss'!S8)/('Profit and Loss'!S8)</f>
        <v>9.3223838773452083</v>
      </c>
      <c r="V9" s="21">
        <f ca="1">('Cash Flow'!T7+'Profit and Loss'!T8)/('Profit and Loss'!T8)</f>
        <v>9.4345088543626616</v>
      </c>
      <c r="W9" s="21">
        <f ca="1">('Cash Flow'!U7+'Profit and Loss'!U8)/('Profit and Loss'!U8)</f>
        <v>9.5671460017348533</v>
      </c>
      <c r="X9" s="21">
        <f ca="1">('Cash Flow'!V7+'Profit and Loss'!V8)/('Profit and Loss'!V8)</f>
        <v>9.6374863327415028</v>
      </c>
      <c r="Y9" s="21">
        <f ca="1">('Cash Flow'!W7+'Profit and Loss'!W8)/('Profit and Loss'!W8)</f>
        <v>9.5355125912198826</v>
      </c>
      <c r="Z9" s="21">
        <f ca="1">('Cash Flow'!X7+'Profit and Loss'!X8)/('Profit and Loss'!X8)</f>
        <v>9.4791282683943212</v>
      </c>
      <c r="AA9" s="21">
        <f ca="1">('Cash Flow'!Y7+'Profit and Loss'!Y8)/('Profit and Loss'!Y8)</f>
        <v>9.4067396709331295</v>
      </c>
      <c r="AB9" s="21">
        <f ca="1">('Cash Flow'!Z7+'Profit and Loss'!Z8)/('Profit and Loss'!Z8)</f>
        <v>9.3211612607920564</v>
      </c>
      <c r="AC9" s="21">
        <f ca="1">('Cash Flow'!AA7+'Profit and Loss'!AA8)/('Profit and Loss'!AA8)</f>
        <v>9.2251502074728684</v>
      </c>
      <c r="AD9" s="21">
        <f ca="1">('Cash Flow'!AB7+'Profit and Loss'!AB8)/('Profit and Loss'!AB8)</f>
        <v>8.8214797514505321</v>
      </c>
      <c r="AE9" s="21">
        <f ca="1">('Cash Flow'!AC7+'Profit and Loss'!AC8)/('Profit and Loss'!AC8)</f>
        <v>8.3621829894474171</v>
      </c>
      <c r="AF9" s="21">
        <f ca="1">('Cash Flow'!AD7+'Profit and Loss'!AD8)/('Profit and Loss'!AD8)</f>
        <v>7.8659693806142226</v>
      </c>
      <c r="AG9" s="21">
        <f ca="1">('Cash Flow'!AE7+'Profit and Loss'!AE8)/('Profit and Loss'!AE8)</f>
        <v>7.3505401222213456</v>
      </c>
      <c r="AH9" s="21">
        <f ca="1">('Cash Flow'!AF7+'Profit and Loss'!AF8)/('Profit and Loss'!AF8)</f>
        <v>6.8313483179655199</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5" activePane="bottomLeft" state="frozen"/>
      <selection pane="bottomLeft" sqref="A1:XFD1048576"/>
    </sheetView>
  </sheetViews>
  <sheetFormatPr defaultColWidth="10.83203125" defaultRowHeight="15.5" x14ac:dyDescent="0.35"/>
  <cols>
    <col min="1" max="1" width="59.25" style="76" customWidth="1"/>
    <col min="2" max="2" width="64.58203125" style="76" customWidth="1"/>
    <col min="3" max="3" width="16.1640625" style="109"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159</v>
      </c>
    </row>
    <row r="2" spans="1:33" ht="26.5" thickBot="1" x14ac:dyDescent="0.4">
      <c r="A2" s="111"/>
      <c r="B2" s="111"/>
      <c r="D2" s="112"/>
    </row>
    <row r="3" spans="1:33" s="114" customFormat="1" ht="21.5" thickBot="1" x14ac:dyDescent="0.4">
      <c r="A3" s="84"/>
      <c r="B3" s="84"/>
      <c r="C3" s="113"/>
      <c r="D3" s="195" t="s">
        <v>28</v>
      </c>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row>
    <row r="4" spans="1:33" s="120" customFormat="1" ht="16" thickBot="1" x14ac:dyDescent="0.4">
      <c r="A4" s="115" t="s">
        <v>26</v>
      </c>
      <c r="B4" s="115" t="s">
        <v>193</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197</v>
      </c>
      <c r="C13" s="127">
        <v>6.1818243373799042E-3</v>
      </c>
      <c r="D13" s="128">
        <f t="shared" ref="D13:AG13" si="3">(1+$C$13)^D8</f>
        <v>1.0061818243373799</v>
      </c>
      <c r="E13" s="128">
        <f t="shared" si="3"/>
        <v>1.0124018636268981</v>
      </c>
      <c r="F13" s="128">
        <f t="shared" si="3"/>
        <v>1.0186603541066757</v>
      </c>
      <c r="G13" s="128">
        <f t="shared" si="3"/>
        <v>1.0249575334752163</v>
      </c>
      <c r="H13" s="128">
        <f t="shared" si="3"/>
        <v>1.0312936409004343</v>
      </c>
      <c r="I13" s="128">
        <f t="shared" si="3"/>
        <v>1.0376689170287379</v>
      </c>
      <c r="J13" s="128">
        <f t="shared" si="3"/>
        <v>1.0440836039941688</v>
      </c>
      <c r="K13" s="128">
        <f t="shared" si="3"/>
        <v>1.0505379454275992</v>
      </c>
      <c r="L13" s="128">
        <f t="shared" si="3"/>
        <v>1.0570321864659846</v>
      </c>
      <c r="M13" s="128">
        <f t="shared" si="3"/>
        <v>1.063566573761674</v>
      </c>
      <c r="N13" s="128">
        <f t="shared" si="3"/>
        <v>1.0701413554917776</v>
      </c>
      <c r="O13" s="128">
        <f t="shared" si="3"/>
        <v>1.0767567813675936</v>
      </c>
      <c r="P13" s="128">
        <f t="shared" si="3"/>
        <v>1.0834131026440905</v>
      </c>
      <c r="Q13" s="128">
        <f t="shared" si="3"/>
        <v>1.0901105721294522</v>
      </c>
      <c r="R13" s="128">
        <f t="shared" si="3"/>
        <v>1.0968494441946772</v>
      </c>
      <c r="S13" s="128">
        <f t="shared" si="3"/>
        <v>1.1036299747832412</v>
      </c>
      <c r="T13" s="128">
        <f t="shared" si="3"/>
        <v>1.1104524214208182</v>
      </c>
      <c r="U13" s="128">
        <f t="shared" si="3"/>
        <v>1.1173170432250599</v>
      </c>
      <c r="V13" s="128">
        <f t="shared" si="3"/>
        <v>1.1242241009154381</v>
      </c>
      <c r="W13" s="128">
        <f t="shared" si="3"/>
        <v>1.1311738568231462</v>
      </c>
      <c r="X13" s="128">
        <f t="shared" si="3"/>
        <v>1.1381665749010632</v>
      </c>
      <c r="Y13" s="128">
        <f t="shared" si="3"/>
        <v>1.1452025207337793</v>
      </c>
      <c r="Z13" s="128">
        <f t="shared" si="3"/>
        <v>1.15228196154768</v>
      </c>
      <c r="AA13" s="128">
        <f t="shared" si="3"/>
        <v>1.1594051662210993</v>
      </c>
      <c r="AB13" s="128">
        <f t="shared" si="3"/>
        <v>1.166572405294529</v>
      </c>
      <c r="AC13" s="128">
        <f t="shared" si="3"/>
        <v>1.1737839509808945</v>
      </c>
      <c r="AD13" s="128">
        <f t="shared" si="3"/>
        <v>1.181040077175894</v>
      </c>
      <c r="AE13" s="128">
        <f t="shared" si="3"/>
        <v>1.1883410594684012</v>
      </c>
      <c r="AF13" s="128">
        <f t="shared" si="3"/>
        <v>1.1956871751509308</v>
      </c>
      <c r="AG13" s="128">
        <f t="shared" si="3"/>
        <v>1.203078703230172</v>
      </c>
    </row>
    <row r="14" spans="1:33" ht="16" thickBot="1" x14ac:dyDescent="0.4">
      <c r="A14" s="79"/>
      <c r="B14" s="79"/>
      <c r="C14" s="129"/>
      <c r="D14" s="178"/>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190</v>
      </c>
      <c r="B15" s="177" t="s">
        <v>191</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131</v>
      </c>
      <c r="B17" s="77" t="s">
        <v>168</v>
      </c>
      <c r="C17" s="136">
        <f>AVERAGE(C49:C50)</f>
        <v>376944533.12124997</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188472266.56062499</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136</v>
      </c>
      <c r="C20" s="137">
        <v>29346975</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ht="31" x14ac:dyDescent="0.35">
      <c r="A22" s="80" t="s">
        <v>157</v>
      </c>
      <c r="B22" s="179" t="s">
        <v>191</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135</v>
      </c>
      <c r="C24" s="136">
        <v>7355000</v>
      </c>
      <c r="D24" s="140"/>
      <c r="E24" s="167"/>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196</v>
      </c>
      <c r="C25" s="136">
        <v>6413000</v>
      </c>
      <c r="D25" s="140"/>
      <c r="E25" s="167"/>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130</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130</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ht="31"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158</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133</v>
      </c>
      <c r="C49" s="71">
        <v>334847918.33000004</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134</v>
      </c>
      <c r="C50" s="71">
        <v>419041147.9124999</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169</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169</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988988.02996440302</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1750403.5298102829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1369695.7798873428</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2695705.3151730075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4488767.9087103661</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3592236.6119416868</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5342640.1417519692</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139</v>
      </c>
      <c r="B77" s="70" t="s">
        <v>174</v>
      </c>
      <c r="C77" s="87">
        <v>19243560</v>
      </c>
      <c r="D77" s="171"/>
      <c r="E77" s="168"/>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140</v>
      </c>
      <c r="B79" s="69" t="s">
        <v>153</v>
      </c>
      <c r="C79" s="87">
        <v>1381117825.6209145</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141</v>
      </c>
      <c r="B80" s="69" t="s">
        <v>153</v>
      </c>
      <c r="C80" s="87">
        <v>1529582021.5571883</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142</v>
      </c>
      <c r="B82" s="69" t="s">
        <v>87</v>
      </c>
      <c r="C82" s="87">
        <f>C79+$C$77</f>
        <v>1400361385.6209145</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143</v>
      </c>
      <c r="B83" s="69" t="s">
        <v>87</v>
      </c>
      <c r="C83" s="87">
        <f>C80+$C$77</f>
        <v>1548825581.5571883</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148</v>
      </c>
      <c r="B85" s="69" t="s">
        <v>194</v>
      </c>
      <c r="C85" s="150">
        <v>23658</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149</v>
      </c>
      <c r="B86" s="69" t="s">
        <v>132</v>
      </c>
      <c r="C86" s="150">
        <v>21990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22824</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144</v>
      </c>
      <c r="B89" s="69" t="s">
        <v>87</v>
      </c>
      <c r="C89" s="150">
        <f>C82/$C$87</f>
        <v>61354.775044729868</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144</v>
      </c>
      <c r="B90" s="69" t="s">
        <v>87</v>
      </c>
      <c r="C90" s="150">
        <f>C83/$C$87</f>
        <v>67859.515490588339</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145</v>
      </c>
      <c r="B92" s="69" t="s">
        <v>152</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146</v>
      </c>
      <c r="B94" s="69" t="s">
        <v>87</v>
      </c>
      <c r="C94" s="87">
        <f>IF(C89&lt;$C$92,C89*$C$87,$C$92*$C$87)</f>
        <v>1400361385.6209145</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147</v>
      </c>
      <c r="B95" s="69" t="s">
        <v>87</v>
      </c>
      <c r="C95" s="87">
        <f>IF(C90&lt;$C$92,C90*$C$87,$C$92*$C$87)</f>
        <v>1548825581.5571883</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151</v>
      </c>
      <c r="B96" s="69" t="s">
        <v>87</v>
      </c>
      <c r="C96" s="87">
        <f>AVERAGE(C94:C95)</f>
        <v>1474593483.5890512</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1474593483.5890512</v>
      </c>
      <c r="D98" s="168"/>
      <c r="E98" s="169"/>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49153116.119635038</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203</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204</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167</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167</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5342640.1417519692</v>
      </c>
      <c r="E111" s="149">
        <f t="shared" si="9"/>
        <v>5342640.1417519692</v>
      </c>
      <c r="F111" s="149">
        <f t="shared" si="9"/>
        <v>5342640.1417519692</v>
      </c>
      <c r="G111" s="149">
        <f t="shared" si="9"/>
        <v>5342640.1417519692</v>
      </c>
      <c r="H111" s="149">
        <f t="shared" si="9"/>
        <v>5342640.1417519692</v>
      </c>
      <c r="I111" s="149">
        <f t="shared" si="9"/>
        <v>5342640.1417519692</v>
      </c>
      <c r="J111" s="149">
        <f t="shared" si="9"/>
        <v>5342640.1417519692</v>
      </c>
      <c r="K111" s="149">
        <f t="shared" si="9"/>
        <v>5342640.1417519692</v>
      </c>
      <c r="L111" s="149">
        <f t="shared" si="9"/>
        <v>5342640.1417519692</v>
      </c>
      <c r="M111" s="149">
        <f t="shared" si="9"/>
        <v>5342640.1417519692</v>
      </c>
      <c r="N111" s="149">
        <f t="shared" si="9"/>
        <v>5342640.1417519692</v>
      </c>
      <c r="O111" s="149">
        <f t="shared" si="9"/>
        <v>5342640.1417519692</v>
      </c>
      <c r="P111" s="149">
        <f t="shared" si="9"/>
        <v>5342640.1417519692</v>
      </c>
      <c r="Q111" s="149">
        <f t="shared" si="9"/>
        <v>5342640.1417519692</v>
      </c>
      <c r="R111" s="149">
        <f t="shared" si="9"/>
        <v>5342640.1417519692</v>
      </c>
      <c r="S111" s="149">
        <f t="shared" si="9"/>
        <v>5342640.1417519692</v>
      </c>
      <c r="T111" s="149">
        <f t="shared" si="9"/>
        <v>5342640.1417519692</v>
      </c>
      <c r="U111" s="149">
        <f t="shared" si="9"/>
        <v>5342640.1417519692</v>
      </c>
      <c r="V111" s="149">
        <f t="shared" si="9"/>
        <v>5342640.1417519692</v>
      </c>
      <c r="W111" s="149">
        <f t="shared" si="9"/>
        <v>5342640.1417519692</v>
      </c>
      <c r="X111" s="149">
        <f t="shared" si="9"/>
        <v>5342640.1417519692</v>
      </c>
      <c r="Y111" s="149">
        <f t="shared" si="9"/>
        <v>5342640.1417519692</v>
      </c>
      <c r="Z111" s="149">
        <f t="shared" si="9"/>
        <v>5342640.1417519692</v>
      </c>
      <c r="AA111" s="149">
        <f t="shared" si="9"/>
        <v>5342640.1417519692</v>
      </c>
      <c r="AB111" s="149">
        <f t="shared" si="9"/>
        <v>5342640.1417519692</v>
      </c>
      <c r="AC111" s="149">
        <f t="shared" si="9"/>
        <v>5342640.1417519692</v>
      </c>
      <c r="AD111" s="149">
        <f t="shared" si="9"/>
        <v>5342640.1417519692</v>
      </c>
      <c r="AE111" s="149">
        <f t="shared" si="9"/>
        <v>5342640.1417519692</v>
      </c>
      <c r="AF111" s="149">
        <f t="shared" si="9"/>
        <v>5342640.1417519692</v>
      </c>
      <c r="AG111" s="149">
        <f t="shared" si="9"/>
        <v>5342640.1417519692</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1474593483.5890512</v>
      </c>
      <c r="D113" s="149">
        <f t="shared" ref="D113:AG113" si="10">$C$102</f>
        <v>49153116.119635038</v>
      </c>
      <c r="E113" s="149">
        <f t="shared" si="10"/>
        <v>49153116.119635038</v>
      </c>
      <c r="F113" s="149">
        <f t="shared" si="10"/>
        <v>49153116.119635038</v>
      </c>
      <c r="G113" s="149">
        <f t="shared" si="10"/>
        <v>49153116.119635038</v>
      </c>
      <c r="H113" s="149">
        <f t="shared" si="10"/>
        <v>49153116.119635038</v>
      </c>
      <c r="I113" s="149">
        <f t="shared" si="10"/>
        <v>49153116.119635038</v>
      </c>
      <c r="J113" s="149">
        <f t="shared" si="10"/>
        <v>49153116.119635038</v>
      </c>
      <c r="K113" s="149">
        <f t="shared" si="10"/>
        <v>49153116.119635038</v>
      </c>
      <c r="L113" s="149">
        <f t="shared" si="10"/>
        <v>49153116.119635038</v>
      </c>
      <c r="M113" s="149">
        <f t="shared" si="10"/>
        <v>49153116.119635038</v>
      </c>
      <c r="N113" s="149">
        <f t="shared" si="10"/>
        <v>49153116.119635038</v>
      </c>
      <c r="O113" s="149">
        <f t="shared" si="10"/>
        <v>49153116.119635038</v>
      </c>
      <c r="P113" s="149">
        <f t="shared" si="10"/>
        <v>49153116.119635038</v>
      </c>
      <c r="Q113" s="149">
        <f t="shared" si="10"/>
        <v>49153116.119635038</v>
      </c>
      <c r="R113" s="149">
        <f t="shared" si="10"/>
        <v>49153116.119635038</v>
      </c>
      <c r="S113" s="149">
        <f t="shared" si="10"/>
        <v>49153116.119635038</v>
      </c>
      <c r="T113" s="149">
        <f t="shared" si="10"/>
        <v>49153116.119635038</v>
      </c>
      <c r="U113" s="149">
        <f t="shared" si="10"/>
        <v>49153116.119635038</v>
      </c>
      <c r="V113" s="149">
        <f t="shared" si="10"/>
        <v>49153116.119635038</v>
      </c>
      <c r="W113" s="149">
        <f t="shared" si="10"/>
        <v>49153116.119635038</v>
      </c>
      <c r="X113" s="149">
        <f t="shared" si="10"/>
        <v>49153116.119635038</v>
      </c>
      <c r="Y113" s="149">
        <f t="shared" si="10"/>
        <v>49153116.119635038</v>
      </c>
      <c r="Z113" s="149">
        <f t="shared" si="10"/>
        <v>49153116.119635038</v>
      </c>
      <c r="AA113" s="149">
        <f t="shared" si="10"/>
        <v>49153116.119635038</v>
      </c>
      <c r="AB113" s="149">
        <f t="shared" si="10"/>
        <v>49153116.119635038</v>
      </c>
      <c r="AC113" s="149">
        <f t="shared" si="10"/>
        <v>49153116.119635038</v>
      </c>
      <c r="AD113" s="149">
        <f t="shared" si="10"/>
        <v>49153116.119635038</v>
      </c>
      <c r="AE113" s="149">
        <f t="shared" si="10"/>
        <v>49153116.119635038</v>
      </c>
      <c r="AF113" s="149">
        <f t="shared" si="10"/>
        <v>49153116.119635038</v>
      </c>
      <c r="AG113" s="149">
        <f t="shared" si="10"/>
        <v>49153116.119635038</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49153116.119635038</v>
      </c>
      <c r="E118" s="149">
        <f t="shared" ref="E118:AG118" si="13">E113+E115+E116</f>
        <v>49153116.119635038</v>
      </c>
      <c r="F118" s="149">
        <f>F113+F115+F116</f>
        <v>49153116.119635038</v>
      </c>
      <c r="G118" s="149">
        <f t="shared" si="13"/>
        <v>49153116.119635038</v>
      </c>
      <c r="H118" s="149">
        <f t="shared" si="13"/>
        <v>49153116.119635038</v>
      </c>
      <c r="I118" s="149">
        <f t="shared" si="13"/>
        <v>49153116.119635038</v>
      </c>
      <c r="J118" s="149">
        <f t="shared" si="13"/>
        <v>49153116.119635038</v>
      </c>
      <c r="K118" s="149">
        <f t="shared" si="13"/>
        <v>49153116.119635038</v>
      </c>
      <c r="L118" s="149">
        <f t="shared" si="13"/>
        <v>49153116.119635038</v>
      </c>
      <c r="M118" s="149">
        <f t="shared" si="13"/>
        <v>49153116.119635038</v>
      </c>
      <c r="N118" s="149">
        <f t="shared" si="13"/>
        <v>49153116.119635038</v>
      </c>
      <c r="O118" s="149">
        <f t="shared" si="13"/>
        <v>49153116.119635038</v>
      </c>
      <c r="P118" s="149">
        <f t="shared" si="13"/>
        <v>49153116.119635038</v>
      </c>
      <c r="Q118" s="149">
        <f t="shared" si="13"/>
        <v>49153116.119635038</v>
      </c>
      <c r="R118" s="149">
        <f t="shared" si="13"/>
        <v>49153116.119635038</v>
      </c>
      <c r="S118" s="149">
        <f t="shared" si="13"/>
        <v>49153116.119635038</v>
      </c>
      <c r="T118" s="149">
        <f t="shared" si="13"/>
        <v>49153116.119635038</v>
      </c>
      <c r="U118" s="149">
        <f t="shared" si="13"/>
        <v>49153116.119635038</v>
      </c>
      <c r="V118" s="149">
        <f t="shared" si="13"/>
        <v>49153116.119635038</v>
      </c>
      <c r="W118" s="149">
        <f t="shared" si="13"/>
        <v>49153116.119635038</v>
      </c>
      <c r="X118" s="149">
        <f t="shared" si="13"/>
        <v>49153116.119635038</v>
      </c>
      <c r="Y118" s="149">
        <f t="shared" si="13"/>
        <v>49153116.119635038</v>
      </c>
      <c r="Z118" s="149">
        <f t="shared" si="13"/>
        <v>49153116.119635038</v>
      </c>
      <c r="AA118" s="149">
        <f t="shared" si="13"/>
        <v>49153116.119635038</v>
      </c>
      <c r="AB118" s="149">
        <f t="shared" si="13"/>
        <v>49153116.119635038</v>
      </c>
      <c r="AC118" s="149">
        <f t="shared" si="13"/>
        <v>49153116.119635038</v>
      </c>
      <c r="AD118" s="149">
        <f t="shared" si="13"/>
        <v>49153116.119635038</v>
      </c>
      <c r="AE118" s="149">
        <f t="shared" si="13"/>
        <v>49153116.119635038</v>
      </c>
      <c r="AF118" s="149">
        <f t="shared" si="13"/>
        <v>49153116.119635038</v>
      </c>
      <c r="AG118" s="149">
        <f t="shared" si="13"/>
        <v>49153116.119635038</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1179674.7868712409</v>
      </c>
      <c r="E120" s="149">
        <f>(SUM($D$118:E118)*$C$104/$C$106)+(SUM($D$118:E118)*$C$105/$C$107)</f>
        <v>2359349.5737424819</v>
      </c>
      <c r="F120" s="149">
        <f>(SUM($D$118:F118)*$C$104/$C$106)+(SUM($D$118:F118)*$C$105/$C$107)</f>
        <v>3539024.3606137224</v>
      </c>
      <c r="G120" s="149">
        <f>(SUM($D$118:G118)*$C$104/$C$106)+(SUM($D$118:G118)*$C$105/$C$107)</f>
        <v>4718699.1474849638</v>
      </c>
      <c r="H120" s="149">
        <f>(SUM($D$118:H118)*$C$104/$C$106)+(SUM($D$118:H118)*$C$105/$C$107)</f>
        <v>5898373.9343562052</v>
      </c>
      <c r="I120" s="149">
        <f>(SUM($D$118:I118)*$C$104/$C$106)+(SUM($D$118:I118)*$C$105/$C$107)</f>
        <v>7078048.7212274447</v>
      </c>
      <c r="J120" s="149">
        <f>(SUM($D$118:J118)*$C$104/$C$106)+(SUM($D$118:J118)*$C$105/$C$107)</f>
        <v>8257723.5080986861</v>
      </c>
      <c r="K120" s="149">
        <f>(SUM($D$118:K118)*$C$104/$C$106)+(SUM($D$118:K118)*$C$105/$C$107)</f>
        <v>9437398.2949699275</v>
      </c>
      <c r="L120" s="149">
        <f>(SUM($D$118:L118)*$C$104/$C$106)+(SUM($D$118:L118)*$C$105/$C$107)</f>
        <v>10617073.081841169</v>
      </c>
      <c r="M120" s="149">
        <f>(SUM($D$118:M118)*$C$104/$C$106)+(SUM($D$118:M118)*$C$105/$C$107)</f>
        <v>11796747.86871241</v>
      </c>
      <c r="N120" s="149">
        <f>(SUM($D$118:N118)*$C$104/$C$106)+(SUM($D$118:N118)*$C$105/$C$107)</f>
        <v>12976422.655583652</v>
      </c>
      <c r="O120" s="149">
        <f>(SUM($D$118:O118)*$C$104/$C$106)+(SUM($D$118:O118)*$C$105/$C$107)</f>
        <v>14156097.442454889</v>
      </c>
      <c r="P120" s="149">
        <f>(SUM($D$118:P118)*$C$104/$C$106)+(SUM($D$118:P118)*$C$105/$C$107)</f>
        <v>15335772.229326129</v>
      </c>
      <c r="Q120" s="149">
        <f>(SUM($D$118:Q118)*$C$104/$C$106)+(SUM($D$118:Q118)*$C$105/$C$107)</f>
        <v>16515447.016197369</v>
      </c>
      <c r="R120" s="149">
        <f>(SUM($D$118:R118)*$C$104/$C$106)+(SUM($D$118:R118)*$C$105/$C$107)</f>
        <v>17695121.803068608</v>
      </c>
      <c r="S120" s="149">
        <f>(SUM($D$118:S118)*$C$104/$C$106)+(SUM($D$118:S118)*$C$105/$C$107)</f>
        <v>18874796.589939848</v>
      </c>
      <c r="T120" s="149">
        <f>(SUM($D$118:T118)*$C$104/$C$106)+(SUM($D$118:T118)*$C$105/$C$107)</f>
        <v>20054471.376811087</v>
      </c>
      <c r="U120" s="149">
        <f>(SUM($D$118:U118)*$C$104/$C$106)+(SUM($D$118:U118)*$C$105/$C$107)</f>
        <v>21234146.163682327</v>
      </c>
      <c r="V120" s="149">
        <f>(SUM($D$118:V118)*$C$104/$C$106)+(SUM($D$118:V118)*$C$105/$C$107)</f>
        <v>22413820.950553566</v>
      </c>
      <c r="W120" s="149">
        <f>(SUM($D$118:W118)*$C$104/$C$106)+(SUM($D$118:W118)*$C$105/$C$107)</f>
        <v>23593495.737424806</v>
      </c>
      <c r="X120" s="149">
        <f>(SUM($D$118:X118)*$C$104/$C$106)+(SUM($D$118:X118)*$C$105/$C$107)</f>
        <v>24773170.524296045</v>
      </c>
      <c r="Y120" s="149">
        <f>(SUM($D$118:Y118)*$C$104/$C$106)+(SUM($D$118:Y118)*$C$105/$C$107)</f>
        <v>25952845.311167289</v>
      </c>
      <c r="Z120" s="149">
        <f>(SUM($D$118:Z118)*$C$104/$C$106)+(SUM($D$118:Z118)*$C$105/$C$107)</f>
        <v>27132520.098038532</v>
      </c>
      <c r="AA120" s="149">
        <f>(SUM($D$118:AA118)*$C$104/$C$106)+(SUM($D$118:AA118)*$C$105/$C$107)</f>
        <v>28312194.884909771</v>
      </c>
      <c r="AB120" s="149">
        <f>(SUM($D$118:AB118)*$C$104/$C$106)+(SUM($D$118:AB118)*$C$105/$C$107)</f>
        <v>29491869.671781015</v>
      </c>
      <c r="AC120" s="149">
        <f>(SUM($D$118:AC118)*$C$104/$C$106)+(SUM($D$118:AC118)*$C$105/$C$107)</f>
        <v>30671544.458652258</v>
      </c>
      <c r="AD120" s="149">
        <f>(SUM($D$118:AD118)*$C$104/$C$106)+(SUM($D$118:AD118)*$C$105/$C$107)</f>
        <v>31851219.245523501</v>
      </c>
      <c r="AE120" s="149">
        <f>(SUM($D$118:AE118)*$C$104/$C$106)+(SUM($D$118:AE118)*$C$105/$C$107)</f>
        <v>33030894.032394744</v>
      </c>
      <c r="AF120" s="149">
        <f>(SUM($D$118:AF118)*$C$104/$C$106)+(SUM($D$118:AF118)*$C$105/$C$107)</f>
        <v>34210568.819265984</v>
      </c>
      <c r="AG120" s="149">
        <f>(SUM($D$118:AG118)*$C$104/$C$106)+(SUM($D$118:AG118)*$C$105/$C$107)</f>
        <v>35390243.606137231</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1474593.4835890511</v>
      </c>
      <c r="E122" s="72">
        <f>(SUM($D$118:E118)*$C$109)</f>
        <v>2949186.9671781021</v>
      </c>
      <c r="F122" s="72">
        <f>(SUM($D$118:F118)*$C$109)</f>
        <v>4423780.4507671529</v>
      </c>
      <c r="G122" s="72">
        <f>(SUM($D$118:G118)*$C$109)</f>
        <v>5898373.9343562042</v>
      </c>
      <c r="H122" s="72">
        <f>(SUM($D$118:H118)*$C$109)</f>
        <v>7372967.4179452555</v>
      </c>
      <c r="I122" s="72">
        <f>(SUM($D$118:I118)*$C$109)</f>
        <v>8847560.9015343059</v>
      </c>
      <c r="J122" s="72">
        <f>(SUM($D$118:J118)*$C$109)</f>
        <v>10322154.385123357</v>
      </c>
      <c r="K122" s="72">
        <f>(SUM($D$118:K118)*$C$109)</f>
        <v>11796747.868712408</v>
      </c>
      <c r="L122" s="72">
        <f>(SUM($D$118:L118)*$C$109)</f>
        <v>13271341.35230146</v>
      </c>
      <c r="M122" s="72">
        <f>(SUM($D$118:M118)*$C$109)</f>
        <v>14745934.835890511</v>
      </c>
      <c r="N122" s="72">
        <f>(SUM($D$118:N118)*$C$109)</f>
        <v>16220528.319479562</v>
      </c>
      <c r="O122" s="72">
        <f>(SUM($D$118:O118)*$C$109)</f>
        <v>17695121.803068612</v>
      </c>
      <c r="P122" s="72">
        <f>(SUM($D$118:P118)*$C$109)</f>
        <v>19169715.286657661</v>
      </c>
      <c r="Q122" s="72">
        <f>(SUM($D$118:Q118)*$C$109)</f>
        <v>20644308.770246711</v>
      </c>
      <c r="R122" s="72">
        <f>(SUM($D$118:R118)*$C$109)</f>
        <v>22118902.25383576</v>
      </c>
      <c r="S122" s="72">
        <f>(SUM($D$118:S118)*$C$109)</f>
        <v>23593495.737424809</v>
      </c>
      <c r="T122" s="72">
        <f>(SUM($D$118:T118)*$C$109)</f>
        <v>25068089.221013859</v>
      </c>
      <c r="U122" s="72">
        <f>(SUM($D$118:U118)*$C$109)</f>
        <v>26542682.704602908</v>
      </c>
      <c r="V122" s="72">
        <f>(SUM($D$118:V118)*$C$109)</f>
        <v>28017276.188191958</v>
      </c>
      <c r="W122" s="72">
        <f>(SUM($D$118:W118)*$C$109)</f>
        <v>29491869.671781007</v>
      </c>
      <c r="X122" s="72">
        <f>(SUM($D$118:X118)*$C$109)</f>
        <v>30966463.155370057</v>
      </c>
      <c r="Y122" s="72">
        <f>(SUM($D$118:Y118)*$C$109)</f>
        <v>32441056.63895911</v>
      </c>
      <c r="Z122" s="72">
        <f>(SUM($D$118:Z118)*$C$109)</f>
        <v>33915650.122548163</v>
      </c>
      <c r="AA122" s="72">
        <f>(SUM($D$118:AA118)*$C$109)</f>
        <v>35390243.606137216</v>
      </c>
      <c r="AB122" s="72">
        <f>(SUM($D$118:AB118)*$C$109)</f>
        <v>36864837.089726269</v>
      </c>
      <c r="AC122" s="72">
        <f>(SUM($D$118:AC118)*$C$109)</f>
        <v>38339430.573315322</v>
      </c>
      <c r="AD122" s="72">
        <f>(SUM($D$118:AD118)*$C$109)</f>
        <v>39814024.056904376</v>
      </c>
      <c r="AE122" s="72">
        <f>(SUM($D$118:AE118)*$C$109)</f>
        <v>41288617.540493429</v>
      </c>
      <c r="AF122" s="72">
        <f>(SUM($D$118:AF118)*$C$109)</f>
        <v>42763211.024082482</v>
      </c>
      <c r="AG122" s="72">
        <f>(SUM($D$118:AG118)*$C$109)</f>
        <v>44237804.507671535</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150</v>
      </c>
      <c r="B126" s="77" t="s">
        <v>194</v>
      </c>
      <c r="C126" s="126">
        <v>23658</v>
      </c>
      <c r="D126" s="140"/>
    </row>
    <row r="127" spans="1:33" x14ac:dyDescent="0.35">
      <c r="A127" s="77" t="s">
        <v>149</v>
      </c>
      <c r="B127" s="77" t="s">
        <v>132</v>
      </c>
      <c r="C127" s="126">
        <v>21990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22824</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154</v>
      </c>
      <c r="B133" s="77" t="s">
        <v>155</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8453.3333333333321</v>
      </c>
      <c r="D135" s="157">
        <f t="shared" ref="D135:AG135" si="14">$C$135*D13</f>
        <v>8505.5903550653165</v>
      </c>
      <c r="E135" s="157">
        <f t="shared" si="14"/>
        <v>8558.1704205260448</v>
      </c>
      <c r="F135" s="157">
        <f t="shared" si="14"/>
        <v>8611.0755267150962</v>
      </c>
      <c r="G135" s="157">
        <f t="shared" si="14"/>
        <v>8664.3076829771617</v>
      </c>
      <c r="H135" s="157">
        <f t="shared" si="14"/>
        <v>8717.8689110783362</v>
      </c>
      <c r="I135" s="157">
        <f t="shared" si="14"/>
        <v>8771.7612452829289</v>
      </c>
      <c r="J135" s="157">
        <f t="shared" si="14"/>
        <v>8825.9867324307052</v>
      </c>
      <c r="K135" s="157">
        <f t="shared" si="14"/>
        <v>8880.5474320146368</v>
      </c>
      <c r="L135" s="157">
        <f t="shared" si="14"/>
        <v>8935.4454162591228</v>
      </c>
      <c r="M135" s="157">
        <f t="shared" si="14"/>
        <v>8990.6827701986822</v>
      </c>
      <c r="N135" s="157">
        <f t="shared" si="14"/>
        <v>9046.2615917571584</v>
      </c>
      <c r="O135" s="157">
        <f t="shared" si="14"/>
        <v>9102.183991827389</v>
      </c>
      <c r="P135" s="157">
        <f t="shared" si="14"/>
        <v>9158.452094351378</v>
      </c>
      <c r="Q135" s="157">
        <f t="shared" si="14"/>
        <v>9215.0680364009677</v>
      </c>
      <c r="R135" s="157">
        <f t="shared" si="14"/>
        <v>9272.0339682590038</v>
      </c>
      <c r="S135" s="157">
        <f t="shared" si="14"/>
        <v>9329.3520535009975</v>
      </c>
      <c r="T135" s="157">
        <f t="shared" si="14"/>
        <v>9387.0244690773161</v>
      </c>
      <c r="U135" s="157">
        <f t="shared" si="14"/>
        <v>9445.0534053958381</v>
      </c>
      <c r="V135" s="157">
        <f t="shared" si="14"/>
        <v>9503.4410664051684</v>
      </c>
      <c r="W135" s="157">
        <f t="shared" si="14"/>
        <v>9562.1896696783278</v>
      </c>
      <c r="X135" s="157">
        <f t="shared" si="14"/>
        <v>9621.3014464969856</v>
      </c>
      <c r="Y135" s="157">
        <f t="shared" si="14"/>
        <v>9680.7786419362128</v>
      </c>
      <c r="Z135" s="157">
        <f t="shared" si="14"/>
        <v>9740.6235149497206</v>
      </c>
      <c r="AA135" s="157">
        <f t="shared" si="14"/>
        <v>9800.838338455691</v>
      </c>
      <c r="AB135" s="157">
        <f t="shared" si="14"/>
        <v>9861.4253994230839</v>
      </c>
      <c r="AC135" s="157">
        <f t="shared" si="14"/>
        <v>9922.3869989584928</v>
      </c>
      <c r="AD135" s="157">
        <f t="shared" si="14"/>
        <v>9983.7254523935553</v>
      </c>
      <c r="AE135" s="157">
        <f t="shared" si="14"/>
        <v>10045.443089372884</v>
      </c>
      <c r="AF135" s="157">
        <f t="shared" si="14"/>
        <v>10107.542253942534</v>
      </c>
      <c r="AG135" s="157">
        <f t="shared" si="14"/>
        <v>10170.025304639052</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3"/>
  </cols>
  <sheetData>
    <row r="1" spans="1:1" x14ac:dyDescent="0.35">
      <c r="A1" s="174"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160</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5342640.1417519692</v>
      </c>
      <c r="D5" s="1">
        <f>Assumptions!E111</f>
        <v>5342640.1417519692</v>
      </c>
      <c r="E5" s="1">
        <f>Assumptions!F111</f>
        <v>5342640.1417519692</v>
      </c>
      <c r="F5" s="1">
        <f>Assumptions!G111</f>
        <v>5342640.1417519692</v>
      </c>
      <c r="G5" s="1">
        <f>Assumptions!H111</f>
        <v>5342640.1417519692</v>
      </c>
      <c r="H5" s="1">
        <f>Assumptions!I111</f>
        <v>5342640.1417519692</v>
      </c>
      <c r="I5" s="1">
        <f>Assumptions!J111</f>
        <v>5342640.1417519692</v>
      </c>
      <c r="J5" s="1">
        <f>Assumptions!K111</f>
        <v>5342640.1417519692</v>
      </c>
      <c r="K5" s="1">
        <f>Assumptions!L111</f>
        <v>5342640.1417519692</v>
      </c>
      <c r="L5" s="1">
        <f>Assumptions!M111</f>
        <v>5342640.1417519692</v>
      </c>
      <c r="M5" s="1">
        <f>Assumptions!N111</f>
        <v>5342640.1417519692</v>
      </c>
      <c r="N5" s="1">
        <f>Assumptions!O111</f>
        <v>5342640.1417519692</v>
      </c>
      <c r="O5" s="1">
        <f>Assumptions!P111</f>
        <v>5342640.1417519692</v>
      </c>
      <c r="P5" s="1">
        <f>Assumptions!Q111</f>
        <v>5342640.1417519692</v>
      </c>
      <c r="Q5" s="1">
        <f>Assumptions!R111</f>
        <v>5342640.1417519692</v>
      </c>
      <c r="R5" s="1">
        <f>Assumptions!S111</f>
        <v>5342640.1417519692</v>
      </c>
      <c r="S5" s="1">
        <f>Assumptions!T111</f>
        <v>5342640.1417519692</v>
      </c>
      <c r="T5" s="1">
        <f>Assumptions!U111</f>
        <v>5342640.1417519692</v>
      </c>
      <c r="U5" s="1">
        <f>Assumptions!V111</f>
        <v>5342640.1417519692</v>
      </c>
      <c r="V5" s="1">
        <f>Assumptions!W111</f>
        <v>5342640.1417519692</v>
      </c>
      <c r="W5" s="1">
        <f>Assumptions!X111</f>
        <v>5342640.1417519692</v>
      </c>
      <c r="X5" s="1">
        <f>Assumptions!Y111</f>
        <v>5342640.1417519692</v>
      </c>
      <c r="Y5" s="1">
        <f>Assumptions!Z111</f>
        <v>5342640.1417519692</v>
      </c>
      <c r="Z5" s="1">
        <f>Assumptions!AA111</f>
        <v>5342640.1417519692</v>
      </c>
      <c r="AA5" s="1">
        <f>Assumptions!AB111</f>
        <v>5342640.1417519692</v>
      </c>
      <c r="AB5" s="1">
        <f>Assumptions!AC111</f>
        <v>5342640.1417519692</v>
      </c>
      <c r="AC5" s="1">
        <f>Assumptions!AD111</f>
        <v>5342640.1417519692</v>
      </c>
      <c r="AD5" s="1">
        <f>Assumptions!AE111</f>
        <v>5342640.1417519692</v>
      </c>
      <c r="AE5" s="1">
        <f>Assumptions!AF111</f>
        <v>5342640.1417519692</v>
      </c>
      <c r="AF5" s="1">
        <f>Assumptions!AG111</f>
        <v>5342640.1417519692</v>
      </c>
    </row>
    <row r="6" spans="1:32" x14ac:dyDescent="0.35">
      <c r="A6" t="s">
        <v>69</v>
      </c>
      <c r="C6" s="1">
        <f>Assumptions!D113</f>
        <v>49153116.119635038</v>
      </c>
      <c r="D6" s="1">
        <f>Assumptions!E113</f>
        <v>49153116.119635038</v>
      </c>
      <c r="E6" s="1">
        <f>Assumptions!F113</f>
        <v>49153116.119635038</v>
      </c>
      <c r="F6" s="1">
        <f>Assumptions!G113</f>
        <v>49153116.119635038</v>
      </c>
      <c r="G6" s="1">
        <f>Assumptions!H113</f>
        <v>49153116.119635038</v>
      </c>
      <c r="H6" s="1">
        <f>Assumptions!I113</f>
        <v>49153116.119635038</v>
      </c>
      <c r="I6" s="1">
        <f>Assumptions!J113</f>
        <v>49153116.119635038</v>
      </c>
      <c r="J6" s="1">
        <f>Assumptions!K113</f>
        <v>49153116.119635038</v>
      </c>
      <c r="K6" s="1">
        <f>Assumptions!L113</f>
        <v>49153116.119635038</v>
      </c>
      <c r="L6" s="1">
        <f>Assumptions!M113</f>
        <v>49153116.119635038</v>
      </c>
      <c r="M6" s="1">
        <f>Assumptions!N113</f>
        <v>49153116.119635038</v>
      </c>
      <c r="N6" s="1">
        <f>Assumptions!O113</f>
        <v>49153116.119635038</v>
      </c>
      <c r="O6" s="1">
        <f>Assumptions!P113</f>
        <v>49153116.119635038</v>
      </c>
      <c r="P6" s="1">
        <f>Assumptions!Q113</f>
        <v>49153116.119635038</v>
      </c>
      <c r="Q6" s="1">
        <f>Assumptions!R113</f>
        <v>49153116.119635038</v>
      </c>
      <c r="R6" s="1">
        <f>Assumptions!S113</f>
        <v>49153116.119635038</v>
      </c>
      <c r="S6" s="1">
        <f>Assumptions!T113</f>
        <v>49153116.119635038</v>
      </c>
      <c r="T6" s="1">
        <f>Assumptions!U113</f>
        <v>49153116.119635038</v>
      </c>
      <c r="U6" s="1">
        <f>Assumptions!V113</f>
        <v>49153116.119635038</v>
      </c>
      <c r="V6" s="1">
        <f>Assumptions!W113</f>
        <v>49153116.119635038</v>
      </c>
      <c r="W6" s="1">
        <f>Assumptions!X113</f>
        <v>49153116.119635038</v>
      </c>
      <c r="X6" s="1">
        <f>Assumptions!Y113</f>
        <v>49153116.119635038</v>
      </c>
      <c r="Y6" s="1">
        <f>Assumptions!Z113</f>
        <v>49153116.119635038</v>
      </c>
      <c r="Z6" s="1">
        <f>Assumptions!AA113</f>
        <v>49153116.119635038</v>
      </c>
      <c r="AA6" s="1">
        <f>Assumptions!AB113</f>
        <v>49153116.119635038</v>
      </c>
      <c r="AB6" s="1">
        <f>Assumptions!AC113</f>
        <v>49153116.119635038</v>
      </c>
      <c r="AC6" s="1">
        <f>Assumptions!AD113</f>
        <v>49153116.119635038</v>
      </c>
      <c r="AD6" s="1">
        <f>Assumptions!AE113</f>
        <v>49153116.119635038</v>
      </c>
      <c r="AE6" s="1">
        <f>Assumptions!AF113</f>
        <v>49153116.119635038</v>
      </c>
      <c r="AF6" s="1">
        <f>Assumptions!AG113</f>
        <v>49153116.119635038</v>
      </c>
    </row>
    <row r="7" spans="1:32" x14ac:dyDescent="0.35">
      <c r="A7" t="s">
        <v>74</v>
      </c>
      <c r="C7" s="1">
        <f>Assumptions!D120</f>
        <v>1179674.7868712409</v>
      </c>
      <c r="D7" s="1">
        <f>Assumptions!E120</f>
        <v>2359349.5737424819</v>
      </c>
      <c r="E7" s="1">
        <f>Assumptions!F120</f>
        <v>3539024.3606137224</v>
      </c>
      <c r="F7" s="1">
        <f>Assumptions!G120</f>
        <v>4718699.1474849638</v>
      </c>
      <c r="G7" s="1">
        <f>Assumptions!H120</f>
        <v>5898373.9343562052</v>
      </c>
      <c r="H7" s="1">
        <f>Assumptions!I120</f>
        <v>7078048.7212274447</v>
      </c>
      <c r="I7" s="1">
        <f>Assumptions!J120</f>
        <v>8257723.5080986861</v>
      </c>
      <c r="J7" s="1">
        <f>Assumptions!K120</f>
        <v>9437398.2949699275</v>
      </c>
      <c r="K7" s="1">
        <f>Assumptions!L120</f>
        <v>10617073.081841169</v>
      </c>
      <c r="L7" s="1">
        <f>Assumptions!M120</f>
        <v>11796747.86871241</v>
      </c>
      <c r="M7" s="1">
        <f>Assumptions!N120</f>
        <v>12976422.655583652</v>
      </c>
      <c r="N7" s="1">
        <f>Assumptions!O120</f>
        <v>14156097.442454889</v>
      </c>
      <c r="O7" s="1">
        <f>Assumptions!P120</f>
        <v>15335772.229326129</v>
      </c>
      <c r="P7" s="1">
        <f>Assumptions!Q120</f>
        <v>16515447.016197369</v>
      </c>
      <c r="Q7" s="1">
        <f>Assumptions!R120</f>
        <v>17695121.803068608</v>
      </c>
      <c r="R7" s="1">
        <f>Assumptions!S120</f>
        <v>18874796.589939848</v>
      </c>
      <c r="S7" s="1">
        <f>Assumptions!T120</f>
        <v>20054471.376811087</v>
      </c>
      <c r="T7" s="1">
        <f>Assumptions!U120</f>
        <v>21234146.163682327</v>
      </c>
      <c r="U7" s="1">
        <f>Assumptions!V120</f>
        <v>22413820.950553566</v>
      </c>
      <c r="V7" s="1">
        <f>Assumptions!W120</f>
        <v>23593495.737424806</v>
      </c>
      <c r="W7" s="1">
        <f>Assumptions!X120</f>
        <v>24773170.524296045</v>
      </c>
      <c r="X7" s="1">
        <f>Assumptions!Y120</f>
        <v>25952845.311167289</v>
      </c>
      <c r="Y7" s="1">
        <f>Assumptions!Z120</f>
        <v>27132520.098038532</v>
      </c>
      <c r="Z7" s="1">
        <f>Assumptions!AA120</f>
        <v>28312194.884909771</v>
      </c>
      <c r="AA7" s="1">
        <f>Assumptions!AB120</f>
        <v>29491869.671781015</v>
      </c>
      <c r="AB7" s="1">
        <f>Assumptions!AC120</f>
        <v>30671544.458652258</v>
      </c>
      <c r="AC7" s="1">
        <f>Assumptions!AD120</f>
        <v>31851219.245523501</v>
      </c>
      <c r="AD7" s="1">
        <f>Assumptions!AE120</f>
        <v>33030894.032394744</v>
      </c>
      <c r="AE7" s="1">
        <f>Assumptions!AF120</f>
        <v>34210568.819265984</v>
      </c>
      <c r="AF7" s="1">
        <f>Assumptions!AG120</f>
        <v>35390243.606137231</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5513604.6262880322</v>
      </c>
      <c r="D11" s="1">
        <f>D5*D$9</f>
        <v>5690039.974329249</v>
      </c>
      <c r="E11" s="1">
        <f t="shared" ref="D11:AF13" si="1">E5*E$9</f>
        <v>5872121.2535077846</v>
      </c>
      <c r="F11" s="1">
        <f t="shared" si="1"/>
        <v>6060029.133620034</v>
      </c>
      <c r="G11" s="1">
        <f t="shared" si="1"/>
        <v>6253950.0658958759</v>
      </c>
      <c r="H11" s="1">
        <f t="shared" si="1"/>
        <v>6454076.4680045424</v>
      </c>
      <c r="I11" s="1">
        <f t="shared" si="1"/>
        <v>6660606.9149806872</v>
      </c>
      <c r="J11" s="1">
        <f t="shared" si="1"/>
        <v>6873746.3362600701</v>
      </c>
      <c r="K11" s="1">
        <f t="shared" si="1"/>
        <v>7093706.2190203927</v>
      </c>
      <c r="L11" s="1">
        <f t="shared" si="1"/>
        <v>7320704.8180290451</v>
      </c>
      <c r="M11" s="1">
        <f t="shared" si="1"/>
        <v>7554967.3722059745</v>
      </c>
      <c r="N11" s="1">
        <f t="shared" si="1"/>
        <v>7796726.3281165659</v>
      </c>
      <c r="O11" s="1">
        <f t="shared" si="1"/>
        <v>8046221.5706162965</v>
      </c>
      <c r="P11" s="1">
        <f t="shared" si="1"/>
        <v>8303700.6608760161</v>
      </c>
      <c r="Q11" s="1">
        <f t="shared" si="1"/>
        <v>8569419.0820240472</v>
      </c>
      <c r="R11" s="1">
        <f t="shared" si="1"/>
        <v>8843640.4926488195</v>
      </c>
      <c r="S11" s="1">
        <f t="shared" si="1"/>
        <v>9126636.9884135816</v>
      </c>
      <c r="T11" s="1">
        <f t="shared" si="1"/>
        <v>9418689.3720428161</v>
      </c>
      <c r="U11" s="1">
        <f t="shared" si="1"/>
        <v>9720087.431948185</v>
      </c>
      <c r="V11" s="1">
        <f t="shared" si="1"/>
        <v>10031130.229770528</v>
      </c>
      <c r="W11" s="1">
        <f t="shared" si="1"/>
        <v>10352126.397123186</v>
      </c>
      <c r="X11" s="1">
        <f t="shared" si="1"/>
        <v>10683394.441831127</v>
      </c>
      <c r="Y11" s="1">
        <f t="shared" si="1"/>
        <v>11025263.06396972</v>
      </c>
      <c r="Z11" s="1">
        <f t="shared" si="1"/>
        <v>11378071.482016752</v>
      </c>
      <c r="AA11" s="1">
        <f t="shared" si="1"/>
        <v>11742169.769441292</v>
      </c>
      <c r="AB11" s="1">
        <f t="shared" si="1"/>
        <v>12117919.20206341</v>
      </c>
      <c r="AC11" s="1">
        <f t="shared" si="1"/>
        <v>12505692.616529439</v>
      </c>
      <c r="AD11" s="1">
        <f t="shared" si="1"/>
        <v>12905874.780258382</v>
      </c>
      <c r="AE11" s="1">
        <f t="shared" si="1"/>
        <v>13318862.77322665</v>
      </c>
      <c r="AF11" s="1">
        <f t="shared" si="1"/>
        <v>13745066.381969901</v>
      </c>
    </row>
    <row r="12" spans="1:32" x14ac:dyDescent="0.35">
      <c r="A12" t="s">
        <v>72</v>
      </c>
      <c r="C12" s="1">
        <f t="shared" ref="C12:R12" si="2">C6*C$9</f>
        <v>50726015.83546336</v>
      </c>
      <c r="D12" s="1">
        <f t="shared" si="2"/>
        <v>52349248.342198186</v>
      </c>
      <c r="E12" s="1">
        <f t="shared" si="2"/>
        <v>54024424.289148524</v>
      </c>
      <c r="F12" s="1">
        <f t="shared" si="2"/>
        <v>55753205.866401277</v>
      </c>
      <c r="G12" s="1">
        <f t="shared" si="2"/>
        <v>57537308.454126127</v>
      </c>
      <c r="H12" s="1">
        <f t="shared" si="2"/>
        <v>59378502.324658155</v>
      </c>
      <c r="I12" s="1">
        <f t="shared" si="2"/>
        <v>61278614.399047203</v>
      </c>
      <c r="J12" s="1">
        <f t="shared" si="2"/>
        <v>63239530.059816726</v>
      </c>
      <c r="K12" s="1">
        <f t="shared" si="2"/>
        <v>65263195.021730863</v>
      </c>
      <c r="L12" s="1">
        <f t="shared" si="2"/>
        <v>67351617.262426242</v>
      </c>
      <c r="M12" s="1">
        <f t="shared" si="2"/>
        <v>69506869.014823884</v>
      </c>
      <c r="N12" s="1">
        <f t="shared" si="2"/>
        <v>71731088.823298246</v>
      </c>
      <c r="O12" s="1">
        <f t="shared" si="2"/>
        <v>74026483.665643796</v>
      </c>
      <c r="P12" s="1">
        <f t="shared" si="2"/>
        <v>76395331.142944396</v>
      </c>
      <c r="Q12" s="1">
        <f t="shared" si="2"/>
        <v>78839981.739518598</v>
      </c>
      <c r="R12" s="1">
        <f t="shared" si="2"/>
        <v>81362861.155183211</v>
      </c>
      <c r="S12" s="1">
        <f t="shared" si="1"/>
        <v>83966472.712149084</v>
      </c>
      <c r="T12" s="1">
        <f t="shared" si="1"/>
        <v>86653399.838937834</v>
      </c>
      <c r="U12" s="1">
        <f t="shared" si="1"/>
        <v>89426308.633783847</v>
      </c>
      <c r="V12" s="1">
        <f t="shared" si="1"/>
        <v>92287950.51006493</v>
      </c>
      <c r="W12" s="1">
        <f t="shared" si="1"/>
        <v>95241164.926387027</v>
      </c>
      <c r="X12" s="1">
        <f t="shared" si="1"/>
        <v>98288882.204031393</v>
      </c>
      <c r="Y12" s="1">
        <f t="shared" si="1"/>
        <v>101434126.43456039</v>
      </c>
      <c r="Z12" s="1">
        <f t="shared" si="1"/>
        <v>104680018.48046632</v>
      </c>
      <c r="AA12" s="1">
        <f t="shared" si="1"/>
        <v>108029779.07184127</v>
      </c>
      <c r="AB12" s="1">
        <f t="shared" si="1"/>
        <v>111486732.00214016</v>
      </c>
      <c r="AC12" s="1">
        <f t="shared" si="1"/>
        <v>115054307.42620865</v>
      </c>
      <c r="AD12" s="1">
        <f t="shared" si="1"/>
        <v>118736045.26384734</v>
      </c>
      <c r="AE12" s="1">
        <f t="shared" si="1"/>
        <v>122535598.71229045</v>
      </c>
      <c r="AF12" s="1">
        <f t="shared" si="1"/>
        <v>126456737.87108372</v>
      </c>
    </row>
    <row r="13" spans="1:32" x14ac:dyDescent="0.35">
      <c r="A13" t="s">
        <v>75</v>
      </c>
      <c r="C13" s="1">
        <f>C7*C$9</f>
        <v>1217424.3800511207</v>
      </c>
      <c r="D13" s="1">
        <f t="shared" si="1"/>
        <v>2512763.9204255128</v>
      </c>
      <c r="E13" s="1">
        <f t="shared" si="1"/>
        <v>3889758.5488186935</v>
      </c>
      <c r="F13" s="1">
        <f t="shared" si="1"/>
        <v>5352307.7631745227</v>
      </c>
      <c r="G13" s="1">
        <f t="shared" si="1"/>
        <v>6904477.0144951353</v>
      </c>
      <c r="H13" s="1">
        <f t="shared" si="1"/>
        <v>8550504.3347507734</v>
      </c>
      <c r="I13" s="1">
        <f t="shared" si="1"/>
        <v>10294807.21903993</v>
      </c>
      <c r="J13" s="1">
        <f t="shared" si="1"/>
        <v>12141989.771484811</v>
      </c>
      <c r="K13" s="1">
        <f t="shared" si="1"/>
        <v>14096850.124693869</v>
      </c>
      <c r="L13" s="1">
        <f t="shared" si="1"/>
        <v>16164388.1429823</v>
      </c>
      <c r="M13" s="1">
        <f t="shared" si="1"/>
        <v>18349813.419913508</v>
      </c>
      <c r="N13" s="1">
        <f t="shared" si="1"/>
        <v>20658553.581109893</v>
      </c>
      <c r="O13" s="1">
        <f t="shared" si="1"/>
        <v>23096262.903680861</v>
      </c>
      <c r="P13" s="1">
        <f t="shared" si="1"/>
        <v>25668831.264029309</v>
      </c>
      <c r="Q13" s="1">
        <f t="shared" si="1"/>
        <v>28382393.426226687</v>
      </c>
      <c r="R13" s="1">
        <f t="shared" si="1"/>
        <v>31243338.683590341</v>
      </c>
      <c r="S13" s="1">
        <f t="shared" si="1"/>
        <v>34258320.866556808</v>
      </c>
      <c r="T13" s="1">
        <f t="shared" si="1"/>
        <v>37434268.730421126</v>
      </c>
      <c r="U13" s="1">
        <f t="shared" si="1"/>
        <v>40778396.737005413</v>
      </c>
      <c r="V13" s="1">
        <f t="shared" si="1"/>
        <v>44298216.244831145</v>
      </c>
      <c r="W13" s="1">
        <f t="shared" si="1"/>
        <v>48001547.122899033</v>
      </c>
      <c r="X13" s="1">
        <f t="shared" si="1"/>
        <v>51896529.803728551</v>
      </c>
      <c r="Y13" s="1">
        <f t="shared" si="1"/>
        <v>55991637.791877314</v>
      </c>
      <c r="Z13" s="1">
        <f t="shared" si="1"/>
        <v>60295690.644748576</v>
      </c>
      <c r="AA13" s="1">
        <f t="shared" si="1"/>
        <v>64817867.443104744</v>
      </c>
      <c r="AB13" s="1">
        <f t="shared" si="1"/>
        <v>69567720.769335449</v>
      </c>
      <c r="AC13" s="1">
        <f t="shared" si="1"/>
        <v>74555191.212183192</v>
      </c>
      <c r="AD13" s="1">
        <f t="shared" si="1"/>
        <v>79790622.41730541</v>
      </c>
      <c r="AE13" s="1">
        <f t="shared" si="1"/>
        <v>85284776.703754142</v>
      </c>
      <c r="AF13" s="1">
        <f t="shared" si="1"/>
        <v>91048851.267180294</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57457044.841802515</v>
      </c>
      <c r="D25" s="40">
        <f>SUM(D11:D13,D18:D23)</f>
        <v>60552052.236952946</v>
      </c>
      <c r="E25" s="40">
        <f t="shared" ref="E25:AF25" si="7">SUM(E11:E13,E18:E23)</f>
        <v>63786304.091475002</v>
      </c>
      <c r="F25" s="40">
        <f t="shared" si="7"/>
        <v>67165542.763195828</v>
      </c>
      <c r="G25" s="40">
        <f t="shared" si="7"/>
        <v>70695735.534517139</v>
      </c>
      <c r="H25" s="40">
        <f t="shared" si="7"/>
        <v>74383083.127413467</v>
      </c>
      <c r="I25" s="40">
        <f t="shared" si="7"/>
        <v>78234028.533067822</v>
      </c>
      <c r="J25" s="40">
        <f t="shared" si="7"/>
        <v>82255266.167561606</v>
      </c>
      <c r="K25" s="40">
        <f t="shared" si="7"/>
        <v>86453751.365445122</v>
      </c>
      <c r="L25" s="40">
        <f t="shared" si="7"/>
        <v>90836710.223437592</v>
      </c>
      <c r="M25" s="40">
        <f t="shared" si="7"/>
        <v>95411649.806943357</v>
      </c>
      <c r="N25" s="40">
        <f t="shared" si="7"/>
        <v>100186368.73252471</v>
      </c>
      <c r="O25" s="40">
        <f t="shared" si="7"/>
        <v>105168968.13994095</v>
      </c>
      <c r="P25" s="40">
        <f t="shared" si="7"/>
        <v>110367863.06784973</v>
      </c>
      <c r="Q25" s="40">
        <f t="shared" si="7"/>
        <v>115791794.24776934</v>
      </c>
      <c r="R25" s="40">
        <f t="shared" si="7"/>
        <v>121449840.33142237</v>
      </c>
      <c r="S25" s="40">
        <f t="shared" si="7"/>
        <v>127351430.56711948</v>
      </c>
      <c r="T25" s="40">
        <f t="shared" si="7"/>
        <v>133506357.94140178</v>
      </c>
      <c r="U25" s="40">
        <f t="shared" si="7"/>
        <v>139924792.80273744</v>
      </c>
      <c r="V25" s="40">
        <f t="shared" si="7"/>
        <v>146617296.98466659</v>
      </c>
      <c r="W25" s="40">
        <f t="shared" si="7"/>
        <v>153594838.44640926</v>
      </c>
      <c r="X25" s="40">
        <f t="shared" si="7"/>
        <v>160868806.44959107</v>
      </c>
      <c r="Y25" s="40">
        <f t="shared" si="7"/>
        <v>168451027.29040742</v>
      </c>
      <c r="Z25" s="40">
        <f t="shared" si="7"/>
        <v>176353780.60723165</v>
      </c>
      <c r="AA25" s="40">
        <f t="shared" si="7"/>
        <v>184589816.28438729</v>
      </c>
      <c r="AB25" s="40">
        <f t="shared" si="7"/>
        <v>193172371.97353902</v>
      </c>
      <c r="AC25" s="40">
        <f t="shared" si="7"/>
        <v>202115191.25492126</v>
      </c>
      <c r="AD25" s="40">
        <f t="shared" si="7"/>
        <v>211432542.46141112</v>
      </c>
      <c r="AE25" s="40">
        <f t="shared" si="7"/>
        <v>221139238.18927127</v>
      </c>
      <c r="AF25" s="40">
        <f t="shared" si="7"/>
        <v>231250655.52023393</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18501168.295003574</v>
      </c>
      <c r="D5" s="59">
        <f>C5*('Price and Financial ratios'!F4+1)*(1+Assumptions!$C$13)</f>
        <v>34438747.644763239</v>
      </c>
      <c r="E5" s="59">
        <f>D5*('Price and Financial ratios'!G4+1)*(1+Assumptions!$C$13)</f>
        <v>48512298.706343524</v>
      </c>
      <c r="F5" s="59">
        <f>E5*('Price and Financial ratios'!H4+1)*(1+Assumptions!$C$13)</f>
        <v>63455851.179693237</v>
      </c>
      <c r="G5" s="59">
        <f>F5*('Price and Financial ratios'!I4+1)*(1+Assumptions!$C$13)</f>
        <v>75340786.443740726</v>
      </c>
      <c r="H5" s="59">
        <f>G5*('Price and Financial ratios'!J4+1)*(1+Assumptions!$C$13)</f>
        <v>81871052.347054079</v>
      </c>
      <c r="I5" s="59">
        <f>H5*('Price and Financial ratios'!K4+1)*(1+Assumptions!$C$13)</f>
        <v>88967337.995858401</v>
      </c>
      <c r="J5" s="59">
        <f>I5*('Price and Financial ratios'!L4+1)*(1+Assumptions!$C$13)</f>
        <v>96678703.927202165</v>
      </c>
      <c r="K5" s="59">
        <f>J5*('Price and Financial ratios'!M4+1)*(1+Assumptions!$C$13)</f>
        <v>104085699.5204889</v>
      </c>
      <c r="L5" s="59">
        <f>K5*('Price and Financial ratios'!N4+1)*(1+Assumptions!$C$13)</f>
        <v>111012887.37281536</v>
      </c>
      <c r="M5" s="59">
        <f>L5*('Price and Financial ratios'!O4+1)*(1+Assumptions!$C$13)</f>
        <v>118401098.51424381</v>
      </c>
      <c r="N5" s="59">
        <f>M5*('Price and Financial ratios'!P4+1)*(1+Assumptions!$C$13)</f>
        <v>126281015.3050084</v>
      </c>
      <c r="O5" s="59">
        <f>N5*('Price and Financial ratios'!Q4+1)*(1+Assumptions!$C$13)</f>
        <v>134685362.10029614</v>
      </c>
      <c r="P5" s="59">
        <f>O5*('Price and Financial ratios'!R4+1)*(1+Assumptions!$C$13)</f>
        <v>143649041.15059358</v>
      </c>
      <c r="Q5" s="59">
        <f>P5*('Price and Financial ratios'!S4+1)*(1+Assumptions!$C$13)</f>
        <v>153209277.5465728</v>
      </c>
      <c r="R5" s="59">
        <f>Q5*('Price and Financial ratios'!T4+1)*(1+Assumptions!$C$13)</f>
        <v>163405773.81045598</v>
      </c>
      <c r="S5" s="59">
        <f>R5*('Price and Financial ratios'!U4+1)*(1+Assumptions!$C$13)</f>
        <v>172636715.57985917</v>
      </c>
      <c r="T5" s="59">
        <f>S5*('Price and Financial ratios'!V4+1)*(1+Assumptions!$C$13)</f>
        <v>182389121.70124391</v>
      </c>
      <c r="U5" s="59">
        <f>T5*('Price and Financial ratios'!W4+1)*(1+Assumptions!$C$13)</f>
        <v>192692450.1732825</v>
      </c>
      <c r="V5" s="59">
        <f>U5*('Price and Financial ratios'!X4+1)*(1+Assumptions!$C$13)</f>
        <v>202608404.89870572</v>
      </c>
      <c r="W5" s="59">
        <f>V5*('Price and Financial ratios'!Y4+1)*(1+Assumptions!$C$13)</f>
        <v>210996025.77341357</v>
      </c>
      <c r="X5" s="59">
        <f>W5*('Price and Financial ratios'!Z4+1)*(1+Assumptions!$C$13)</f>
        <v>220792380.7862553</v>
      </c>
      <c r="Y5" s="59">
        <f>X5*('Price and Financial ratios'!AA4+1)*(1+Assumptions!$C$13)</f>
        <v>231043571.71928015</v>
      </c>
      <c r="Z5" s="59">
        <f>Y5*('Price and Financial ratios'!AB4+1)*(1+Assumptions!$C$13)</f>
        <v>241770716.19368678</v>
      </c>
      <c r="AA5" s="59">
        <f>Z5*('Price and Financial ratios'!AC4+1)*(1+Assumptions!$C$13)</f>
        <v>252995912.30276346</v>
      </c>
      <c r="AB5" s="59">
        <f>AA5*('Price and Financial ratios'!AD4+1)*(1+Assumptions!$C$13)</f>
        <v>260160206.13968959</v>
      </c>
      <c r="AC5" s="59">
        <f>AB5*('Price and Financial ratios'!AE4+1)*(1+Assumptions!$C$13)</f>
        <v>267527377.19196141</v>
      </c>
      <c r="AD5" s="59">
        <f>AC5*('Price and Financial ratios'!AF4+1)*(1+Assumptions!$C$13)</f>
        <v>275103170.50095254</v>
      </c>
      <c r="AE5" s="59">
        <f>AD5*('Price and Financial ratios'!AG4+1)*(1+Assumptions!$C$13)</f>
        <v>282893493.79510993</v>
      </c>
      <c r="AF5" s="59">
        <f>AE5*('Price and Financial ratios'!AH4+1)*(1+Assumptions!$C$13)</f>
        <v>290904422.09689766</v>
      </c>
    </row>
    <row r="6" spans="1:32" s="11" customFormat="1" x14ac:dyDescent="0.35">
      <c r="A6" s="11" t="s">
        <v>20</v>
      </c>
      <c r="C6" s="59">
        <f>C27</f>
        <v>8101636.7485720906</v>
      </c>
      <c r="D6" s="59">
        <f t="shared" ref="D6:AF6" si="1">D27</f>
        <v>9861725.5963739753</v>
      </c>
      <c r="E6" s="59">
        <f>E27</f>
        <v>11695600.384220544</v>
      </c>
      <c r="F6" s="59">
        <f t="shared" si="1"/>
        <v>13605663.26437209</v>
      </c>
      <c r="G6" s="59">
        <f t="shared" si="1"/>
        <v>15594386.582471628</v>
      </c>
      <c r="H6" s="59">
        <f t="shared" si="1"/>
        <v>17664314.809389323</v>
      </c>
      <c r="I6" s="59">
        <f t="shared" si="1"/>
        <v>19818066.524263717</v>
      </c>
      <c r="J6" s="59">
        <f t="shared" si="1"/>
        <v>22058336.45006226</v>
      </c>
      <c r="K6" s="59">
        <f t="shared" si="1"/>
        <v>24387897.54301703</v>
      </c>
      <c r="L6" s="59">
        <f t="shared" si="1"/>
        <v>26809603.137326121</v>
      </c>
      <c r="M6" s="59">
        <f t="shared" si="1"/>
        <v>29326389.146546237</v>
      </c>
      <c r="N6" s="59">
        <f t="shared" si="1"/>
        <v>31941276.323138207</v>
      </c>
      <c r="O6" s="59">
        <f t="shared" si="1"/>
        <v>34657372.577664323</v>
      </c>
      <c r="P6" s="59">
        <f t="shared" si="1"/>
        <v>37477875.359174058</v>
      </c>
      <c r="Q6" s="59">
        <f t="shared" si="1"/>
        <v>40406074.0983539</v>
      </c>
      <c r="R6" s="59">
        <f t="shared" si="1"/>
        <v>43445352.715056732</v>
      </c>
      <c r="S6" s="59">
        <f t="shared" si="1"/>
        <v>46599192.191867277</v>
      </c>
      <c r="T6" s="59">
        <f t="shared" si="1"/>
        <v>49871173.215401702</v>
      </c>
      <c r="U6" s="59">
        <f t="shared" si="1"/>
        <v>53264978.887082681</v>
      </c>
      <c r="V6" s="59">
        <f t="shared" si="1"/>
        <v>56784397.50517524</v>
      </c>
      <c r="W6" s="59">
        <f t="shared" si="1"/>
        <v>60433325.41991356</v>
      </c>
      <c r="X6" s="59">
        <f t="shared" si="1"/>
        <v>64215769.963595465</v>
      </c>
      <c r="Y6" s="59">
        <f t="shared" si="1"/>
        <v>68135852.457568437</v>
      </c>
      <c r="Z6" s="59">
        <f t="shared" si="1"/>
        <v>72197811.298079967</v>
      </c>
      <c r="AA6" s="59">
        <f t="shared" si="1"/>
        <v>76406005.123014152</v>
      </c>
      <c r="AB6" s="59">
        <f t="shared" si="1"/>
        <v>80764916.061588511</v>
      </c>
      <c r="AC6" s="59">
        <f t="shared" si="1"/>
        <v>85279153.069136068</v>
      </c>
      <c r="AD6" s="59">
        <f t="shared" si="1"/>
        <v>89953455.34915261</v>
      </c>
      <c r="AE6" s="59">
        <f t="shared" si="1"/>
        <v>94792695.864842743</v>
      </c>
      <c r="AF6" s="59">
        <f t="shared" si="1"/>
        <v>99801884.942455783</v>
      </c>
    </row>
    <row r="7" spans="1:32" x14ac:dyDescent="0.35">
      <c r="A7" t="s">
        <v>21</v>
      </c>
      <c r="C7" s="4">
        <f>Depreciation!C8+Depreciation!C9</f>
        <v>6731029.0063391533</v>
      </c>
      <c r="D7" s="4">
        <f>Depreciation!D8+Depreciation!D9</f>
        <v>8202803.8947547618</v>
      </c>
      <c r="E7" s="4">
        <f>Depreciation!E8+Depreciation!E9</f>
        <v>9761879.8023264781</v>
      </c>
      <c r="F7" s="4">
        <f>Depreciation!F8+Depreciation!F9</f>
        <v>11412336.896794558</v>
      </c>
      <c r="G7" s="4">
        <f>Depreciation!G8+Depreciation!G9</f>
        <v>13158427.080391012</v>
      </c>
      <c r="H7" s="4">
        <f>Depreciation!H8+Depreciation!H9</f>
        <v>15004580.802755315</v>
      </c>
      <c r="I7" s="4">
        <f>Depreciation!I8+Depreciation!I9</f>
        <v>16955414.134020619</v>
      </c>
      <c r="J7" s="4">
        <f>Depreciation!J8+Depreciation!J9</f>
        <v>19015736.10774488</v>
      </c>
      <c r="K7" s="4">
        <f>Depreciation!K8+Depreciation!K9</f>
        <v>21190556.34371426</v>
      </c>
      <c r="L7" s="4">
        <f>Depreciation!L8+Depreciation!L9</f>
        <v>23485092.961011346</v>
      </c>
      <c r="M7" s="4">
        <f>Depreciation!M8+Depreciation!M9</f>
        <v>25904780.792119481</v>
      </c>
      <c r="N7" s="4">
        <f>Depreciation!N8+Depreciation!N9</f>
        <v>28455279.909226459</v>
      </c>
      <c r="O7" s="4">
        <f>Depreciation!O8+Depreciation!O9</f>
        <v>31142484.474297158</v>
      </c>
      <c r="P7" s="4">
        <f>Depreciation!P8+Depreciation!P9</f>
        <v>33972531.924905322</v>
      </c>
      <c r="Q7" s="4">
        <f>Depreciation!Q8+Depreciation!Q9</f>
        <v>36951812.508250736</v>
      </c>
      <c r="R7" s="4">
        <f>Depreciation!R8+Depreciation!R9</f>
        <v>40086979.176239163</v>
      </c>
      <c r="S7" s="4">
        <f>Depreciation!S8+Depreciation!S9</f>
        <v>43384957.854970388</v>
      </c>
      <c r="T7" s="4">
        <f>Depreciation!T8+Depreciation!T9</f>
        <v>46852958.102463946</v>
      </c>
      <c r="U7" s="4">
        <f>Depreciation!U8+Depreciation!U9</f>
        <v>50498484.168953598</v>
      </c>
      <c r="V7" s="4">
        <f>Depreciation!V8+Depreciation!V9</f>
        <v>54329346.474601671</v>
      </c>
      <c r="W7" s="4">
        <f>Depreciation!W8+Depreciation!W9</f>
        <v>58353673.520022221</v>
      </c>
      <c r="X7" s="4">
        <f>Depreciation!X8+Depreciation!X9</f>
        <v>62579924.245559677</v>
      </c>
      <c r="Y7" s="4">
        <f>Depreciation!Y8+Depreciation!Y9</f>
        <v>67016900.855847031</v>
      </c>
      <c r="Z7" s="4">
        <f>Depreciation!Z8+Depreciation!Z9</f>
        <v>71673762.126765326</v>
      </c>
      <c r="AA7" s="4">
        <f>Depreciation!AA8+Depreciation!AA9</f>
        <v>76560037.212546036</v>
      </c>
      <c r="AB7" s="4">
        <f>Depreciation!AB8+Depreciation!AB9</f>
        <v>81685639.97139886</v>
      </c>
      <c r="AC7" s="4">
        <f>Depreciation!AC8+Depreciation!AC9</f>
        <v>87060883.828712627</v>
      </c>
      <c r="AD7" s="4">
        <f>Depreciation!AD8+Depreciation!AD9</f>
        <v>92696497.197563797</v>
      </c>
      <c r="AE7" s="4">
        <f>Depreciation!AE8+Depreciation!AE9</f>
        <v>98603639.47698079</v>
      </c>
      <c r="AF7" s="4">
        <f>Depreciation!AF8+Depreciation!AF9</f>
        <v>104793917.64915019</v>
      </c>
    </row>
    <row r="8" spans="1:32" x14ac:dyDescent="0.35">
      <c r="A8" t="s">
        <v>6</v>
      </c>
      <c r="C8" s="4">
        <f ca="1">'Debt worksheet'!C8</f>
        <v>2771147.2438735608</v>
      </c>
      <c r="D8" s="4">
        <f ca="1">'Debt worksheet'!D8</f>
        <v>4176449.0160344979</v>
      </c>
      <c r="E8" s="4">
        <f ca="1">'Debt worksheet'!E8</f>
        <v>5306098.6714630248</v>
      </c>
      <c r="F8" s="4">
        <f ca="1">'Debt worksheet'!F8</f>
        <v>6126565.8975529931</v>
      </c>
      <c r="G8" s="4">
        <f ca="1">'Debt worksheet'!G8</f>
        <v>6745899.115146813</v>
      </c>
      <c r="H8" s="4">
        <f ca="1">'Debt worksheet'!H8</f>
        <v>7359659.285790693</v>
      </c>
      <c r="I8" s="4">
        <f ca="1">'Debt worksheet'!I8</f>
        <v>7956088.8942406764</v>
      </c>
      <c r="J8" s="4">
        <f ca="1">'Debt worksheet'!J8</f>
        <v>8521565.1278812811</v>
      </c>
      <c r="K8" s="4">
        <f ca="1">'Debt worksheet'!K8</f>
        <v>9075671.8719796315</v>
      </c>
      <c r="L8" s="4">
        <f ca="1">'Debt worksheet'!L8</f>
        <v>9645431.8979873825</v>
      </c>
      <c r="M8" s="4">
        <f ca="1">'Debt worksheet'!M8</f>
        <v>10225103.4335347</v>
      </c>
      <c r="N8" s="4">
        <f ca="1">'Debt worksheet'!N8</f>
        <v>10808016.03607006</v>
      </c>
      <c r="O8" s="4">
        <f ca="1">'Debt worksheet'!O8</f>
        <v>11386476.982047545</v>
      </c>
      <c r="P8" s="4">
        <f ca="1">'Debt worksheet'!P8</f>
        <v>11951669.830800623</v>
      </c>
      <c r="Q8" s="4">
        <f ca="1">'Debt worksheet'!Q8</f>
        <v>12493544.568689004</v>
      </c>
      <c r="R8" s="4">
        <f ca="1">'Debt worksheet'!R8</f>
        <v>13000698.696321052</v>
      </c>
      <c r="S8" s="4">
        <f ca="1">'Debt worksheet'!S8</f>
        <v>13519881.292839915</v>
      </c>
      <c r="T8" s="4">
        <f ca="1">'Debt worksheet'!T8</f>
        <v>14046088.729310362</v>
      </c>
      <c r="U8" s="4">
        <f ca="1">'Debt worksheet'!U8</f>
        <v>14573569.929936973</v>
      </c>
      <c r="V8" s="4">
        <f ca="1">'Debt worksheet'!V8</f>
        <v>15130917.166452577</v>
      </c>
      <c r="W8" s="4">
        <f ca="1">'Debt worksheet'!W8</f>
        <v>15789680.828709224</v>
      </c>
      <c r="X8" s="4">
        <f ca="1">'Debt worksheet'!X8</f>
        <v>16518039.042126235</v>
      </c>
      <c r="Y8" s="4">
        <f ca="1">'Debt worksheet'!Y8</f>
        <v>17318191.526560191</v>
      </c>
      <c r="Z8" s="4">
        <f ca="1">'Debt worksheet'!Z8</f>
        <v>18192250.960069489</v>
      </c>
      <c r="AA8" s="4">
        <f ca="1">'Debt worksheet'!AA8</f>
        <v>19142225.677442301</v>
      </c>
      <c r="AB8" s="4">
        <f ca="1">'Debt worksheet'!AB8</f>
        <v>20336190.200811014</v>
      </c>
      <c r="AC8" s="4">
        <f ca="1">'Debt worksheet'!AC8</f>
        <v>21794335.803558934</v>
      </c>
      <c r="AD8" s="4">
        <f ca="1">'Debt worksheet'!AD8</f>
        <v>23538067.108181689</v>
      </c>
      <c r="AE8" s="4">
        <f ca="1">'Debt worksheet'!AE8</f>
        <v>25590064.784711741</v>
      </c>
      <c r="AF8" s="4">
        <f ca="1">'Debt worksheet'!AF8</f>
        <v>27974351.220222242</v>
      </c>
    </row>
    <row r="9" spans="1:32" x14ac:dyDescent="0.35">
      <c r="A9" t="s">
        <v>22</v>
      </c>
      <c r="C9" s="4">
        <f ca="1">C5-C6-C7-C8</f>
        <v>897355.29621876962</v>
      </c>
      <c r="D9" s="4">
        <f t="shared" ref="D9:AF9" ca="1" si="2">D5-D6-D7-D8</f>
        <v>12197769.137600005</v>
      </c>
      <c r="E9" s="4">
        <f t="shared" ca="1" si="2"/>
        <v>21748719.848333474</v>
      </c>
      <c r="F9" s="4">
        <f t="shared" ca="1" si="2"/>
        <v>32311285.120973598</v>
      </c>
      <c r="G9" s="4">
        <f t="shared" ca="1" si="2"/>
        <v>39842073.665731274</v>
      </c>
      <c r="H9" s="4">
        <f t="shared" ca="1" si="2"/>
        <v>41842497.449118748</v>
      </c>
      <c r="I9" s="4">
        <f t="shared" ca="1" si="2"/>
        <v>44237768.443333395</v>
      </c>
      <c r="J9" s="4">
        <f t="shared" ca="1" si="2"/>
        <v>47083066.241513744</v>
      </c>
      <c r="K9" s="4">
        <f t="shared" ca="1" si="2"/>
        <v>49431573.761777982</v>
      </c>
      <c r="L9" s="4">
        <f t="shared" ca="1" si="2"/>
        <v>51072759.376490504</v>
      </c>
      <c r="M9" s="4">
        <f t="shared" ca="1" si="2"/>
        <v>52944825.142043382</v>
      </c>
      <c r="N9" s="4">
        <f t="shared" ca="1" si="2"/>
        <v>55076443.036573663</v>
      </c>
      <c r="O9" s="4">
        <f t="shared" ca="1" si="2"/>
        <v>57499028.066287115</v>
      </c>
      <c r="P9" s="4">
        <f t="shared" ca="1" si="2"/>
        <v>60246964.035713583</v>
      </c>
      <c r="Q9" s="4">
        <f t="shared" ca="1" si="2"/>
        <v>63357846.371279165</v>
      </c>
      <c r="R9" s="4">
        <f t="shared" ca="1" si="2"/>
        <v>66872743.222839028</v>
      </c>
      <c r="S9" s="4">
        <f t="shared" ca="1" si="2"/>
        <v>69132684.240181595</v>
      </c>
      <c r="T9" s="4">
        <f t="shared" ca="1" si="2"/>
        <v>71618901.654067889</v>
      </c>
      <c r="U9" s="4">
        <f t="shared" ca="1" si="2"/>
        <v>74355417.187309235</v>
      </c>
      <c r="V9" s="4">
        <f t="shared" ca="1" si="2"/>
        <v>76363743.752476245</v>
      </c>
      <c r="W9" s="4">
        <f t="shared" ca="1" si="2"/>
        <v>76419346.004768565</v>
      </c>
      <c r="X9" s="4">
        <f t="shared" ca="1" si="2"/>
        <v>77478647.534973934</v>
      </c>
      <c r="Y9" s="4">
        <f t="shared" ca="1" si="2"/>
        <v>78572626.879304498</v>
      </c>
      <c r="Z9" s="4">
        <f t="shared" ca="1" si="2"/>
        <v>79706891.808771998</v>
      </c>
      <c r="AA9" s="4">
        <f t="shared" ca="1" si="2"/>
        <v>80887644.289760977</v>
      </c>
      <c r="AB9" s="4">
        <f t="shared" ca="1" si="2"/>
        <v>77373459.905891225</v>
      </c>
      <c r="AC9" s="4">
        <f t="shared" ca="1" si="2"/>
        <v>73393004.490553766</v>
      </c>
      <c r="AD9" s="4">
        <f t="shared" ca="1" si="2"/>
        <v>68915150.846054435</v>
      </c>
      <c r="AE9" s="4">
        <f t="shared" ca="1" si="2"/>
        <v>63907093.668574654</v>
      </c>
      <c r="AF9" s="4">
        <f t="shared" ca="1" si="2"/>
        <v>58334268.285069458</v>
      </c>
    </row>
    <row r="12" spans="1:32" x14ac:dyDescent="0.35">
      <c r="A12" t="s">
        <v>80</v>
      </c>
      <c r="C12" s="2">
        <f>Assumptions!$C$25*Assumptions!D9*Assumptions!D13</f>
        <v>6594602.2083440805</v>
      </c>
      <c r="D12" s="2">
        <f>Assumptions!$C$25*Assumptions!E9*Assumptions!E13</f>
        <v>6781346.9961479232</v>
      </c>
      <c r="E12" s="2">
        <f>Assumptions!$C$25*Assumptions!F9*Assumptions!F13</f>
        <v>6973379.990074005</v>
      </c>
      <c r="F12" s="2">
        <f>Assumptions!$C$25*Assumptions!G9*Assumptions!G13</f>
        <v>7170850.9406150728</v>
      </c>
      <c r="G12" s="2">
        <f>Assumptions!$C$25*Assumptions!H9*Assumptions!H13</f>
        <v>7373913.8388720388</v>
      </c>
      <c r="H12" s="2">
        <f>Assumptions!$C$25*Assumptions!I9*Assumptions!I13</f>
        <v>7582727.0366387861</v>
      </c>
      <c r="I12" s="2">
        <f>Assumptions!$C$25*Assumptions!J9*Assumptions!J13</f>
        <v>7797453.3698874954</v>
      </c>
      <c r="J12" s="2">
        <f>Assumptions!$C$25*Assumptions!K9*Assumptions!K13</f>
        <v>8018260.2857508305</v>
      </c>
      <c r="K12" s="2">
        <f>Assumptions!$C$25*Assumptions!L9*Assumptions!L13</f>
        <v>8245319.9730999637</v>
      </c>
      <c r="L12" s="2">
        <f>Assumptions!$C$25*Assumptions!M9*Assumptions!M13</f>
        <v>8478809.496820299</v>
      </c>
      <c r="M12" s="2">
        <f>Assumptions!$C$25*Assumptions!N9*Assumptions!N13</f>
        <v>8718910.9358895849</v>
      </c>
      <c r="N12" s="2">
        <f>Assumptions!$C$25*Assumptions!O9*Assumptions!O13</f>
        <v>8965811.5253661051</v>
      </c>
      <c r="O12" s="2">
        <f>Assumptions!$C$25*Assumptions!P9*Assumptions!P13</f>
        <v>9219703.8023976479</v>
      </c>
      <c r="P12" s="2">
        <f>Assumptions!$C$25*Assumptions!Q9*Assumptions!Q13</f>
        <v>9480785.7563651726</v>
      </c>
      <c r="Q12" s="2">
        <f>Assumptions!$C$25*Assumptions!R9*Assumptions!R13</f>
        <v>9749260.9832781684</v>
      </c>
      <c r="R12" s="2">
        <f>Assumptions!$C$25*Assumptions!S9*Assumptions!S13</f>
        <v>10025338.844542176</v>
      </c>
      <c r="S12" s="2">
        <f>Assumptions!$C$25*Assumptions!T9*Assumptions!T13</f>
        <v>10309234.630222287</v>
      </c>
      <c r="T12" s="2">
        <f>Assumptions!$C$25*Assumptions!U9*Assumptions!U13</f>
        <v>10601169.726929856</v>
      </c>
      <c r="U12" s="2">
        <f>Assumptions!$C$25*Assumptions!V9*Assumptions!V13</f>
        <v>10901371.790463444</v>
      </c>
      <c r="V12" s="2">
        <f>Assumptions!$C$25*Assumptions!W9*Assumptions!W13</f>
        <v>11210074.923338545</v>
      </c>
      <c r="W12" s="2">
        <f>Assumptions!$C$25*Assumptions!X9*Assumptions!X13</f>
        <v>11527519.857344607</v>
      </c>
      <c r="X12" s="2">
        <f>Assumptions!$C$25*Assumptions!Y9*Assumptions!Y13</f>
        <v>11853954.141271638</v>
      </c>
      <c r="Y12" s="2">
        <f>Assumptions!$C$25*Assumptions!Z9*Assumptions!Z13</f>
        <v>12189632.333952812</v>
      </c>
      <c r="Z12" s="2">
        <f>Assumptions!$C$25*Assumptions!AA9*Assumptions!AA13</f>
        <v>12534816.202773685</v>
      </c>
      <c r="AA12" s="2">
        <f>Assumptions!$C$25*Assumptions!AB9*Assumptions!AB13</f>
        <v>12889774.927802667</v>
      </c>
      <c r="AB12" s="2">
        <f>Assumptions!$C$25*Assumptions!AC9*Assumptions!AC13</f>
        <v>13254785.311702112</v>
      </c>
      <c r="AC12" s="2">
        <f>Assumptions!$C$25*Assumptions!AD9*Assumptions!AD13</f>
        <v>13630131.995583568</v>
      </c>
      <c r="AD12" s="2">
        <f>Assumptions!$C$25*Assumptions!AE9*Assumptions!AE13</f>
        <v>14016107.680975631</v>
      </c>
      <c r="AE12" s="2">
        <f>Assumptions!$C$25*Assumptions!AF9*Assumptions!AF13</f>
        <v>14413013.358077398</v>
      </c>
      <c r="AF12" s="2">
        <f>Assumptions!$C$25*Assumptions!AG9*Assumptions!AG13</f>
        <v>14821158.540475586</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1507034.5402280102</v>
      </c>
      <c r="D14" s="5">
        <f>Assumptions!E122*Assumptions!E9</f>
        <v>3080378.6002260526</v>
      </c>
      <c r="E14" s="5">
        <f>Assumptions!F122*Assumptions!F9</f>
        <v>4722220.3941465383</v>
      </c>
      <c r="F14" s="5">
        <f>Assumptions!G122*Assumptions!G9</f>
        <v>6434812.323757017</v>
      </c>
      <c r="G14" s="5">
        <f>Assumptions!H122*Assumptions!H9</f>
        <v>8220472.7435995899</v>
      </c>
      <c r="H14" s="5">
        <f>Assumptions!I122*Assumptions!I9</f>
        <v>10081587.772750536</v>
      </c>
      <c r="I14" s="5">
        <f>Assumptions!J122*Assumptions!J9</f>
        <v>12020613.154376222</v>
      </c>
      <c r="J14" s="5">
        <f>Assumptions!K122*Assumptions!K9</f>
        <v>14040076.164311429</v>
      </c>
      <c r="K14" s="5">
        <f>Assumptions!L122*Assumptions!L9</f>
        <v>16142577.569917066</v>
      </c>
      <c r="L14" s="5">
        <f>Assumptions!M122*Assumptions!M9</f>
        <v>18330793.640505824</v>
      </c>
      <c r="M14" s="5">
        <f>Assumptions!N122*Assumptions!N9</f>
        <v>20607478.21065665</v>
      </c>
      <c r="N14" s="5">
        <f>Assumptions!O122*Assumptions!O9</f>
        <v>22975464.797772102</v>
      </c>
      <c r="O14" s="5">
        <f>Assumptions!P122*Assumptions!P9</f>
        <v>25437668.775266677</v>
      </c>
      <c r="P14" s="5">
        <f>Assumptions!Q122*Assumptions!Q9</f>
        <v>27997089.602808889</v>
      </c>
      <c r="Q14" s="5">
        <f>Assumptions!R122*Assumptions!R9</f>
        <v>30656813.115075734</v>
      </c>
      <c r="R14" s="5">
        <f>Assumptions!S122*Assumptions!S9</f>
        <v>33420013.87051456</v>
      </c>
      <c r="S14" s="5">
        <f>Assumptions!T122*Assumptions!T9</f>
        <v>36289957.561644994</v>
      </c>
      <c r="T14" s="5">
        <f>Assumptions!U122*Assumptions!U9</f>
        <v>39270003.488471843</v>
      </c>
      <c r="U14" s="5">
        <f>Assumptions!V122*Assumptions!V9</f>
        <v>42363607.096619233</v>
      </c>
      <c r="V14" s="5">
        <f>Assumptions!W122*Assumptions!W9</f>
        <v>45574322.581836693</v>
      </c>
      <c r="W14" s="5">
        <f>Assumptions!X122*Assumptions!X9</f>
        <v>48905805.562568955</v>
      </c>
      <c r="X14" s="5">
        <f>Assumptions!Y122*Assumptions!Y9</f>
        <v>52361815.822323829</v>
      </c>
      <c r="Y14" s="5">
        <f>Assumptions!Z122*Assumptions!Z9</f>
        <v>55946220.12361563</v>
      </c>
      <c r="Z14" s="5">
        <f>Assumptions!AA122*Assumptions!AA9</f>
        <v>59662995.095306285</v>
      </c>
      <c r="AA14" s="5">
        <f>Assumptions!AB122*Assumptions!AB9</f>
        <v>63516230.195211485</v>
      </c>
      <c r="AB14" s="5">
        <f>Assumptions!AC122*Assumptions!AC9</f>
        <v>67510130.749886394</v>
      </c>
      <c r="AC14" s="5">
        <f>Assumptions!AD122*Assumptions!AD9</f>
        <v>71649021.073552504</v>
      </c>
      <c r="AD14" s="5">
        <f>Assumptions!AE122*Assumptions!AE9</f>
        <v>75937347.668176979</v>
      </c>
      <c r="AE14" s="5">
        <f>Assumptions!AF122*Assumptions!AF9</f>
        <v>80379682.506765351</v>
      </c>
      <c r="AF14" s="5">
        <f>Assumptions!AG122*Assumptions!AG9</f>
        <v>84980726.401980191</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192</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8101636.7485720906</v>
      </c>
      <c r="D27" s="2">
        <f t="shared" ref="D27:AF27" si="8">D12+D13+D14+D19+D20+D22+D24+D25</f>
        <v>9861725.5963739753</v>
      </c>
      <c r="E27" s="2">
        <f t="shared" si="8"/>
        <v>11695600.384220544</v>
      </c>
      <c r="F27" s="2">
        <f t="shared" si="8"/>
        <v>13605663.26437209</v>
      </c>
      <c r="G27" s="2">
        <f t="shared" si="8"/>
        <v>15594386.582471628</v>
      </c>
      <c r="H27" s="2">
        <f t="shared" si="8"/>
        <v>17664314.809389323</v>
      </c>
      <c r="I27" s="2">
        <f t="shared" si="8"/>
        <v>19818066.524263717</v>
      </c>
      <c r="J27" s="2">
        <f t="shared" si="8"/>
        <v>22058336.45006226</v>
      </c>
      <c r="K27" s="2">
        <f t="shared" si="8"/>
        <v>24387897.54301703</v>
      </c>
      <c r="L27" s="2">
        <f t="shared" si="8"/>
        <v>26809603.137326121</v>
      </c>
      <c r="M27" s="2">
        <f t="shared" si="8"/>
        <v>29326389.146546237</v>
      </c>
      <c r="N27" s="2">
        <f t="shared" si="8"/>
        <v>31941276.323138207</v>
      </c>
      <c r="O27" s="2">
        <f t="shared" si="8"/>
        <v>34657372.577664323</v>
      </c>
      <c r="P27" s="2">
        <f t="shared" si="8"/>
        <v>37477875.359174058</v>
      </c>
      <c r="Q27" s="2">
        <f t="shared" si="8"/>
        <v>40406074.0983539</v>
      </c>
      <c r="R27" s="2">
        <f t="shared" si="8"/>
        <v>43445352.715056732</v>
      </c>
      <c r="S27" s="2">
        <f t="shared" si="8"/>
        <v>46599192.191867277</v>
      </c>
      <c r="T27" s="2">
        <f t="shared" si="8"/>
        <v>49871173.215401702</v>
      </c>
      <c r="U27" s="2">
        <f t="shared" si="8"/>
        <v>53264978.887082681</v>
      </c>
      <c r="V27" s="2">
        <f t="shared" si="8"/>
        <v>56784397.50517524</v>
      </c>
      <c r="W27" s="2">
        <f t="shared" si="8"/>
        <v>60433325.41991356</v>
      </c>
      <c r="X27" s="2">
        <f t="shared" si="8"/>
        <v>64215769.963595465</v>
      </c>
      <c r="Y27" s="2">
        <f t="shared" si="8"/>
        <v>68135852.457568437</v>
      </c>
      <c r="Z27" s="2">
        <f t="shared" si="8"/>
        <v>72197811.298079967</v>
      </c>
      <c r="AA27" s="2">
        <f t="shared" si="8"/>
        <v>76406005.123014152</v>
      </c>
      <c r="AB27" s="2">
        <f t="shared" si="8"/>
        <v>80764916.061588511</v>
      </c>
      <c r="AC27" s="2">
        <f t="shared" si="8"/>
        <v>85279153.069136068</v>
      </c>
      <c r="AD27" s="2">
        <f t="shared" si="8"/>
        <v>89953455.34915261</v>
      </c>
      <c r="AE27" s="2">
        <f t="shared" si="8"/>
        <v>94792695.864842743</v>
      </c>
      <c r="AF27" s="2">
        <f t="shared" si="8"/>
        <v>99801884.942455783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3W2DU3RAJ5R2-1900874439-754</_dlc_DocId>
    <_dlc_DocIdUrl xmlns="f54e2983-00ce-40fc-8108-18f351fc47bf">
      <Url>https://dia.cohesion.net.nz/Sites/LGV/TWRP/CAE/_layouts/15/DocIdRedir.aspx?ID=3W2DU3RAJ5R2-1900874439-754</Url>
      <Description>3W2DU3RAJ5R2-1900874439-754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5DB41E1-6DF6-4FC6-9C58-CA8B987F006A}"/>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4.xml><?xml version="1.0" encoding="utf-8"?>
<ds:datastoreItem xmlns:ds="http://schemas.openxmlformats.org/officeDocument/2006/customXml" ds:itemID="{80F69CA8-4D67-4C8F-8EE2-B3814CC7C8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Price and Financial ratios</vt:lpstr>
      <vt:lpstr>Assumptions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2021-06-28T21:45:29Z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5817b27d-045a-4370-b852-863f63136a05</vt:lpwstr>
  </property>
</Properties>
</file>