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4955" windowHeight="8190" activeTab="0"/>
  </bookViews>
  <sheets>
    <sheet name="2nd Quarter" sheetId="1" r:id="rId1"/>
    <sheet name="Out of Wellington" sheetId="2" state="hidden" r:id="rId2"/>
    <sheet name="Domestic Airfares" sheetId="3" state="hidden" r:id="rId3"/>
    <sheet name="Surface Travel" sheetId="4" state="hidden" r:id="rId4"/>
    <sheet name="Overseas Travel" sheetId="5" state="hidden" r:id="rId5"/>
  </sheets>
  <definedNames>
    <definedName name="_xlnm.Print_Area" localSheetId="0">'2nd Quarter'!$A$1:$J$84</definedName>
    <definedName name="_xlnm.Print_Titles" localSheetId="0">'2nd Quarter'!$1:$4</definedName>
  </definedNames>
  <calcPr fullCalcOnLoad="1"/>
</workbook>
</file>

<file path=xl/comments1.xml><?xml version="1.0" encoding="utf-8"?>
<comments xmlns="http://schemas.openxmlformats.org/spreadsheetml/2006/main">
  <authors>
    <author>georgel</author>
  </authors>
  <commentList>
    <comment ref="B21" authorId="0">
      <text>
        <r>
          <rPr>
            <b/>
            <sz val="8"/>
            <rFont val="Tahoma"/>
            <family val="0"/>
          </rPr>
          <t>georgel:</t>
        </r>
        <r>
          <rPr>
            <sz val="8"/>
            <rFont val="Tahoma"/>
            <family val="0"/>
          </rPr>
          <t xml:space="preserve">
Reinstated from 01/05/09</t>
        </r>
      </text>
    </comment>
    <comment ref="B35" authorId="0">
      <text>
        <r>
          <rPr>
            <b/>
            <sz val="8"/>
            <rFont val="Tahoma"/>
            <family val="0"/>
          </rPr>
          <t>georgel:</t>
        </r>
        <r>
          <rPr>
            <sz val="8"/>
            <rFont val="Tahoma"/>
            <family val="0"/>
          </rPr>
          <t xml:space="preserve">
Finished on 30/04/09</t>
        </r>
      </text>
    </comment>
    <comment ref="B28" authorId="0">
      <text>
        <r>
          <rPr>
            <b/>
            <sz val="8"/>
            <rFont val="Tahoma"/>
            <family val="0"/>
          </rPr>
          <t>georgel:</t>
        </r>
        <r>
          <rPr>
            <sz val="8"/>
            <rFont val="Tahoma"/>
            <family val="0"/>
          </rPr>
          <t xml:space="preserve">
Finished in April 09</t>
        </r>
      </text>
    </comment>
  </commentList>
</comments>
</file>

<file path=xl/sharedStrings.xml><?xml version="1.0" encoding="utf-8"?>
<sst xmlns="http://schemas.openxmlformats.org/spreadsheetml/2006/main" count="928" uniqueCount="187">
  <si>
    <t>3161</t>
  </si>
  <si>
    <t>Party</t>
  </si>
  <si>
    <t>Minister</t>
  </si>
  <si>
    <t>Act</t>
  </si>
  <si>
    <t>Heather Roy</t>
  </si>
  <si>
    <t>Y</t>
  </si>
  <si>
    <t>Rodney Hide</t>
  </si>
  <si>
    <t>Total Act</t>
  </si>
  <si>
    <t>Maori</t>
  </si>
  <si>
    <t>Pita Sharples</t>
  </si>
  <si>
    <t>Tariana Turia</t>
  </si>
  <si>
    <t>Total Maori</t>
  </si>
  <si>
    <t>Labour</t>
  </si>
  <si>
    <t>Annette King</t>
  </si>
  <si>
    <t>Ashraf Choudhary</t>
  </si>
  <si>
    <t>Brendon Burns</t>
  </si>
  <si>
    <t>Carmel Sepuloni</t>
  </si>
  <si>
    <t>Carol Beaumont</t>
  </si>
  <si>
    <t>Charles Chauvel</t>
  </si>
  <si>
    <t>Chris Carter</t>
  </si>
  <si>
    <t>Chris Hipkins</t>
  </si>
  <si>
    <t>Clare Curran</t>
  </si>
  <si>
    <t>Clayton Cosgrove</t>
  </si>
  <si>
    <t>Damien O'Connor</t>
  </si>
  <si>
    <t>Darien Fenton</t>
  </si>
  <si>
    <t>Darren Hughes</t>
  </si>
  <si>
    <t>David  Cunliffe</t>
  </si>
  <si>
    <t>David Parker</t>
  </si>
  <si>
    <t>George Hawkins</t>
  </si>
  <si>
    <t>Grant Robertson</t>
  </si>
  <si>
    <t>Helen Clark</t>
  </si>
  <si>
    <t>Iain Lees-Galloway</t>
  </si>
  <si>
    <t>Jacinda Ardern</t>
  </si>
  <si>
    <t>Kelvin Davis</t>
  </si>
  <si>
    <t>Lianne Dalziel</t>
  </si>
  <si>
    <t>Lynne Pillay</t>
  </si>
  <si>
    <t>Maryan Street</t>
  </si>
  <si>
    <t>Michael Cullen</t>
  </si>
  <si>
    <t>Mita Ririnui</t>
  </si>
  <si>
    <t>Moana Mackey</t>
  </si>
  <si>
    <t>Nanaia Mahuta</t>
  </si>
  <si>
    <t>Parekura Horomia</t>
  </si>
  <si>
    <t>Pete Hodgson</t>
  </si>
  <si>
    <t>Phil Goff</t>
  </si>
  <si>
    <t>Phil Twyford</t>
  </si>
  <si>
    <t>Rajen Prasad</t>
  </si>
  <si>
    <t>Raymond Huo</t>
  </si>
  <si>
    <t>Rick Barker</t>
  </si>
  <si>
    <t>Ross Robertson</t>
  </si>
  <si>
    <t>Ruth Dyson</t>
  </si>
  <si>
    <t>Shane Jones</t>
  </si>
  <si>
    <t>Stephanie Chadwick</t>
  </si>
  <si>
    <t>Stuart Nash</t>
  </si>
  <si>
    <t>Su'a William Sio</t>
  </si>
  <si>
    <t>Sue Moroney</t>
  </si>
  <si>
    <t>Trevor Mallard</t>
  </si>
  <si>
    <t>Winnie Laban</t>
  </si>
  <si>
    <t>Total Labour</t>
  </si>
  <si>
    <t>National</t>
  </si>
  <si>
    <t>Anne Tolley</t>
  </si>
  <si>
    <t>Bill English</t>
  </si>
  <si>
    <t>Chris Finlayson</t>
  </si>
  <si>
    <t>David Carter</t>
  </si>
  <si>
    <t>Georgina Te Heuheu</t>
  </si>
  <si>
    <t>Gerry Brownlee</t>
  </si>
  <si>
    <t>John Carter</t>
  </si>
  <si>
    <t>John Key</t>
  </si>
  <si>
    <t>Jonathan Coleman</t>
  </si>
  <si>
    <t>Judith Collins</t>
  </si>
  <si>
    <t>Kate Wilkinson</t>
  </si>
  <si>
    <t>Maurice Williamson</t>
  </si>
  <si>
    <t>Murray McCully</t>
  </si>
  <si>
    <t>Nathan Guy</t>
  </si>
  <si>
    <t>Nick Smith</t>
  </si>
  <si>
    <t>Pansy Wong</t>
  </si>
  <si>
    <t>Paula Bennett</t>
  </si>
  <si>
    <t>Simon Power</t>
  </si>
  <si>
    <t>Steven Joyce</t>
  </si>
  <si>
    <t>Tim  Groser</t>
  </si>
  <si>
    <t>Tony Ryall</t>
  </si>
  <si>
    <t>Wayne Mapp</t>
  </si>
  <si>
    <t>Total National</t>
  </si>
  <si>
    <t>United Future</t>
  </si>
  <si>
    <t>Peter Dunne</t>
  </si>
  <si>
    <t>Total All Parties</t>
  </si>
  <si>
    <t>Totals checked with Dept Oracle System</t>
  </si>
  <si>
    <t>July 2008</t>
  </si>
  <si>
    <t>Aug 2008</t>
  </si>
  <si>
    <t>Sept 2008</t>
  </si>
  <si>
    <t>Oct 2008</t>
  </si>
  <si>
    <t>Nov 2008</t>
  </si>
  <si>
    <t>Dec 2008</t>
  </si>
  <si>
    <t>Jan 2009</t>
  </si>
  <si>
    <t>Feb 2009</t>
  </si>
  <si>
    <t>Mar 2009</t>
  </si>
  <si>
    <t>Apr 2009</t>
  </si>
  <si>
    <t>May 2009</t>
  </si>
  <si>
    <t>June 2009</t>
  </si>
  <si>
    <t>TOTAL</t>
  </si>
  <si>
    <t>CLARK</t>
  </si>
  <si>
    <t>CULLEN</t>
  </si>
  <si>
    <t>ANDERTON</t>
  </si>
  <si>
    <t>GOFF</t>
  </si>
  <si>
    <t>KING</t>
  </si>
  <si>
    <t>MALLARD</t>
  </si>
  <si>
    <t>HODGSON</t>
  </si>
  <si>
    <t>HOROMIA</t>
  </si>
  <si>
    <t>DYSON</t>
  </si>
  <si>
    <t>CARTER</t>
  </si>
  <si>
    <t>BARKER</t>
  </si>
  <si>
    <t>DALZIEL</t>
  </si>
  <si>
    <t>O'CONNOR</t>
  </si>
  <si>
    <t>CUNLIFFE</t>
  </si>
  <si>
    <t>PARKER</t>
  </si>
  <si>
    <t>MAHUTA</t>
  </si>
  <si>
    <t>COSGROVE</t>
  </si>
  <si>
    <t>TIZARD</t>
  </si>
  <si>
    <t>DUYNHOVEN</t>
  </si>
  <si>
    <t>RIRINUI</t>
  </si>
  <si>
    <t>LABAN</t>
  </si>
  <si>
    <t>OKEROA</t>
  </si>
  <si>
    <t>PETERS</t>
  </si>
  <si>
    <t>DUNNE</t>
  </si>
  <si>
    <t>CHADWICK</t>
  </si>
  <si>
    <t>STREET</t>
  </si>
  <si>
    <t>JONES</t>
  </si>
  <si>
    <t>HUGHES</t>
  </si>
  <si>
    <t>KEY</t>
  </si>
  <si>
    <t>ENGLISH</t>
  </si>
  <si>
    <t>BROWNLEE</t>
  </si>
  <si>
    <t>POWER</t>
  </si>
  <si>
    <t>RYALL</t>
  </si>
  <si>
    <t>SMITH</t>
  </si>
  <si>
    <t>COLLINS</t>
  </si>
  <si>
    <t>TOLLEY</t>
  </si>
  <si>
    <t>FINLAYSON</t>
  </si>
  <si>
    <t>MCCULLY</t>
  </si>
  <si>
    <t>GROSER</t>
  </si>
  <si>
    <t>MAPP</t>
  </si>
  <si>
    <t>JOYCE</t>
  </si>
  <si>
    <t>TE HEUHEU</t>
  </si>
  <si>
    <t>BENNETT</t>
  </si>
  <si>
    <t>HEATLEY</t>
  </si>
  <si>
    <t>WONG</t>
  </si>
  <si>
    <t>COLEMAN</t>
  </si>
  <si>
    <t>WILKINSON</t>
  </si>
  <si>
    <t>WILLIAMSON</t>
  </si>
  <si>
    <t>WORTH</t>
  </si>
  <si>
    <t>HIDE</t>
  </si>
  <si>
    <t>ROY</t>
  </si>
  <si>
    <t>SHARPLES</t>
  </si>
  <si>
    <t>TURIA</t>
  </si>
  <si>
    <t>Domestic Airfares for Ministers - 01/01/09 to 30/06/09</t>
  </si>
  <si>
    <t>GUY</t>
  </si>
  <si>
    <t>Jan/June</t>
  </si>
  <si>
    <t>Sub Total Internal Costs</t>
  </si>
  <si>
    <t>PD 1</t>
  </si>
  <si>
    <t>PD 2</t>
  </si>
  <si>
    <t>PD 3</t>
  </si>
  <si>
    <t>PD 4</t>
  </si>
  <si>
    <t>PD 5</t>
  </si>
  <si>
    <t>PD 6</t>
  </si>
  <si>
    <t>PD 7</t>
  </si>
  <si>
    <t>PD 8</t>
  </si>
  <si>
    <t>PD 9</t>
  </si>
  <si>
    <t>PD 10</t>
  </si>
  <si>
    <t>PD 11</t>
  </si>
  <si>
    <t>VARIOUS - 750</t>
  </si>
  <si>
    <t>TOTAL  - LABOUR LED</t>
  </si>
  <si>
    <t>VARIOUS - 860</t>
  </si>
  <si>
    <t>TOTAL  - NATIONAL LED</t>
  </si>
  <si>
    <t>Overall</t>
  </si>
  <si>
    <t xml:space="preserve">Out of Wellington Accommodation (Ministers only) </t>
  </si>
  <si>
    <t>PD 12</t>
  </si>
  <si>
    <t>Out of Wellington Accommodation for Ministers (Includes Meals) - 01/01/09 to 30/06/09</t>
  </si>
  <si>
    <t>Allocated Crown Owned Property</t>
  </si>
  <si>
    <t>Allocated Dept Owned Property</t>
  </si>
  <si>
    <t>Surface Travel (Ministers, Spouse and staff)</t>
  </si>
  <si>
    <t>(Excluding FBT &amp; Depreciation)</t>
  </si>
  <si>
    <t>N/A</t>
  </si>
  <si>
    <t>Correction between two Ministers</t>
  </si>
  <si>
    <t xml:space="preserve"> MINISTERS EXPENSES FROM 01 OCTOBER 2009 TO 31 DECEMBER 2009</t>
  </si>
  <si>
    <t>Domestic Air Travel (Ministers only)</t>
  </si>
  <si>
    <r>
      <t>*</t>
    </r>
    <r>
      <rPr>
        <sz val="10"/>
        <rFont val="Arial"/>
        <family val="2"/>
      </rPr>
      <t xml:space="preserve"> Minsters, spouse, staff, MPs or students where relevant</t>
    </r>
  </si>
  <si>
    <r>
      <t>Official Cabinet Approved International Travel</t>
    </r>
    <r>
      <rPr>
        <b/>
        <sz val="10"/>
        <color indexed="10"/>
        <rFont val="Arial"/>
        <family val="2"/>
      </rPr>
      <t xml:space="preserve"> *</t>
    </r>
  </si>
  <si>
    <t>Wellington Accommodation (Ministers only)</t>
  </si>
  <si>
    <t>Phil Heatley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</si>
</sst>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"/>
    <numFmt numFmtId="165" formatCode="_-* #,##0.000_-;\-* #,##0.000_-;_-* &quot;-&quot;??_-;_-@_-"/>
    <numFmt numFmtId="166" formatCode="_-* #,##0.0000_-;\-* #,##0.0000_-;_-* &quot;-&quot;??_-;_-@_-"/>
    <numFmt numFmtId="167" formatCode="#,##0.00_ ;[Red]\-#,##0.00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-* #,##0.0_-;\-* #,##0.0_-;_-* &quot;-&quot;??_-;_-@_-"/>
    <numFmt numFmtId="173" formatCode="_-* #,##0_-;\-* #,##0_-;_-* &quot;-&quot;??_-;_-@_-"/>
    <numFmt numFmtId="174" formatCode="_-* #,##0.0_-;\-* #,##0.0_-;_-* &quot;-&quot;?_-;_-@_-"/>
    <numFmt numFmtId="175" formatCode="#,##0;[Red]\(#,##0\)"/>
    <numFmt numFmtId="176" formatCode="#,##0_ ;[Red]\-#,##0\ "/>
  </numFmts>
  <fonts count="2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"/>
      <family val="2"/>
    </font>
    <font>
      <sz val="12"/>
      <name val="Arial"/>
      <family val="0"/>
    </font>
    <font>
      <b/>
      <i/>
      <sz val="12"/>
      <color indexed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0"/>
      <color indexed="12"/>
      <name val="Arial"/>
      <family val="2"/>
    </font>
    <font>
      <sz val="8"/>
      <color indexed="12"/>
      <name val="Arial"/>
      <family val="0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0" fillId="0" borderId="1" xfId="21" applyFont="1" applyFill="1" applyBorder="1" applyAlignment="1">
      <alignment horizontal="left"/>
      <protection/>
    </xf>
    <xf numFmtId="173" fontId="0" fillId="0" borderId="0" xfId="15" applyNumberFormat="1" applyFont="1" applyBorder="1" applyAlignment="1">
      <alignment/>
    </xf>
    <xf numFmtId="173" fontId="0" fillId="0" borderId="0" xfId="15" applyNumberFormat="1" applyFont="1" applyFill="1" applyBorder="1" applyAlignment="1">
      <alignment/>
    </xf>
    <xf numFmtId="173" fontId="5" fillId="0" borderId="0" xfId="15" applyNumberFormat="1" applyFont="1" applyBorder="1" applyAlignment="1">
      <alignment/>
    </xf>
    <xf numFmtId="164" fontId="0" fillId="0" borderId="1" xfId="22" applyNumberFormat="1" applyFont="1" applyFill="1" applyBorder="1" applyAlignment="1">
      <alignment horizontal="left"/>
      <protection/>
    </xf>
    <xf numFmtId="43" fontId="0" fillId="0" borderId="0" xfId="0" applyNumberFormat="1" applyFont="1" applyBorder="1" applyAlignment="1">
      <alignment/>
    </xf>
    <xf numFmtId="173" fontId="5" fillId="0" borderId="0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left"/>
    </xf>
    <xf numFmtId="0" fontId="6" fillId="0" borderId="1" xfId="21" applyFont="1" applyFill="1" applyBorder="1" applyAlignment="1" quotePrefix="1">
      <alignment horizontal="left" vertical="center"/>
      <protection/>
    </xf>
    <xf numFmtId="0" fontId="5" fillId="0" borderId="3" xfId="21" applyFont="1" applyFill="1" applyBorder="1" applyAlignment="1">
      <alignment horizontal="left"/>
      <protection/>
    </xf>
    <xf numFmtId="0" fontId="5" fillId="0" borderId="4" xfId="21" applyFont="1" applyFill="1" applyBorder="1" applyAlignment="1">
      <alignment horizontal="left"/>
      <protection/>
    </xf>
    <xf numFmtId="173" fontId="0" fillId="0" borderId="0" xfId="15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9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2" borderId="4" xfId="0" applyFont="1" applyFill="1" applyBorder="1" applyAlignment="1">
      <alignment/>
    </xf>
    <xf numFmtId="0" fontId="10" fillId="2" borderId="4" xfId="0" applyFont="1" applyFill="1" applyBorder="1" applyAlignment="1" quotePrefix="1">
      <alignment horizontal="center"/>
    </xf>
    <xf numFmtId="0" fontId="12" fillId="0" borderId="5" xfId="0" applyFont="1" applyBorder="1" applyAlignment="1">
      <alignment/>
    </xf>
    <xf numFmtId="176" fontId="13" fillId="0" borderId="4" xfId="0" applyNumberFormat="1" applyFont="1" applyBorder="1" applyAlignment="1">
      <alignment/>
    </xf>
    <xf numFmtId="176" fontId="10" fillId="2" borderId="4" xfId="0" applyNumberFormat="1" applyFont="1" applyFill="1" applyBorder="1" applyAlignment="1">
      <alignment/>
    </xf>
    <xf numFmtId="0" fontId="12" fillId="0" borderId="4" xfId="0" applyFont="1" applyBorder="1" applyAlignment="1">
      <alignment/>
    </xf>
    <xf numFmtId="176" fontId="10" fillId="0" borderId="0" xfId="0" applyNumberFormat="1" applyFont="1" applyAlignment="1">
      <alignment/>
    </xf>
    <xf numFmtId="0" fontId="4" fillId="3" borderId="6" xfId="0" applyFont="1" applyFill="1" applyBorder="1" applyAlignment="1">
      <alignment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3" borderId="6" xfId="0" applyFont="1" applyFill="1" applyBorder="1" applyAlignment="1">
      <alignment horizontal="center"/>
    </xf>
    <xf numFmtId="0" fontId="4" fillId="3" borderId="9" xfId="0" applyFont="1" applyFill="1" applyBorder="1" applyAlignment="1">
      <alignment/>
    </xf>
    <xf numFmtId="0" fontId="4" fillId="3" borderId="10" xfId="0" applyFont="1" applyFill="1" applyBorder="1" applyAlignment="1" quotePrefix="1">
      <alignment horizontal="center"/>
    </xf>
    <xf numFmtId="0" fontId="4" fillId="3" borderId="11" xfId="0" applyFont="1" applyFill="1" applyBorder="1" applyAlignment="1" quotePrefix="1">
      <alignment horizontal="center"/>
    </xf>
    <xf numFmtId="0" fontId="4" fillId="3" borderId="9" xfId="0" applyFont="1" applyFill="1" applyBorder="1" applyAlignment="1" quotePrefix="1">
      <alignment horizontal="center"/>
    </xf>
    <xf numFmtId="0" fontId="14" fillId="0" borderId="4" xfId="0" applyFont="1" applyBorder="1" applyAlignment="1" quotePrefix="1">
      <alignment horizontal="left"/>
    </xf>
    <xf numFmtId="167" fontId="4" fillId="0" borderId="4" xfId="0" applyNumberFormat="1" applyFont="1" applyBorder="1" applyAlignment="1">
      <alignment/>
    </xf>
    <xf numFmtId="0" fontId="14" fillId="0" borderId="4" xfId="0" applyFont="1" applyBorder="1" applyAlignment="1">
      <alignment/>
    </xf>
    <xf numFmtId="0" fontId="14" fillId="4" borderId="4" xfId="0" applyFont="1" applyFill="1" applyBorder="1" applyAlignment="1">
      <alignment/>
    </xf>
    <xf numFmtId="167" fontId="4" fillId="4" borderId="4" xfId="0" applyNumberFormat="1" applyFont="1" applyFill="1" applyBorder="1" applyAlignment="1">
      <alignment/>
    </xf>
    <xf numFmtId="0" fontId="14" fillId="2" borderId="4" xfId="0" applyFont="1" applyFill="1" applyBorder="1" applyAlignment="1" quotePrefix="1">
      <alignment horizontal="left"/>
    </xf>
    <xf numFmtId="167" fontId="4" fillId="2" borderId="4" xfId="0" applyNumberFormat="1" applyFont="1" applyFill="1" applyBorder="1" applyAlignment="1">
      <alignment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167" fontId="4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3" borderId="8" xfId="0" applyFont="1" applyFill="1" applyBorder="1" applyAlignment="1" quotePrefix="1">
      <alignment horizontal="center"/>
    </xf>
    <xf numFmtId="167" fontId="16" fillId="0" borderId="0" xfId="0" applyNumberFormat="1" applyFont="1" applyAlignment="1">
      <alignment/>
    </xf>
    <xf numFmtId="167" fontId="17" fillId="0" borderId="0" xfId="0" applyNumberFormat="1" applyFont="1" applyAlignment="1">
      <alignment/>
    </xf>
    <xf numFmtId="167" fontId="17" fillId="5" borderId="0" xfId="0" applyNumberFormat="1" applyFont="1" applyFill="1" applyAlignment="1">
      <alignment/>
    </xf>
    <xf numFmtId="0" fontId="9" fillId="0" borderId="0" xfId="0" applyFont="1" applyAlignment="1">
      <alignment horizontal="left"/>
    </xf>
    <xf numFmtId="176" fontId="13" fillId="0" borderId="12" xfId="0" applyNumberFormat="1" applyFont="1" applyBorder="1" applyAlignment="1">
      <alignment/>
    </xf>
    <xf numFmtId="167" fontId="16" fillId="6" borderId="0" xfId="0" applyNumberFormat="1" applyFont="1" applyFill="1" applyAlignment="1">
      <alignment/>
    </xf>
    <xf numFmtId="0" fontId="5" fillId="0" borderId="13" xfId="22" applyFont="1" applyFill="1" applyBorder="1" applyAlignment="1">
      <alignment horizontal="left"/>
      <protection/>
    </xf>
    <xf numFmtId="164" fontId="5" fillId="0" borderId="14" xfId="22" applyNumberFormat="1" applyFont="1" applyFill="1" applyBorder="1" applyAlignment="1">
      <alignment horizontal="left"/>
      <protection/>
    </xf>
    <xf numFmtId="0" fontId="0" fillId="0" borderId="3" xfId="21" applyFont="1" applyFill="1" applyBorder="1" applyAlignment="1">
      <alignment horizontal="left"/>
      <protection/>
    </xf>
    <xf numFmtId="164" fontId="0" fillId="0" borderId="4" xfId="22" applyNumberFormat="1" applyFont="1" applyFill="1" applyBorder="1" applyAlignment="1">
      <alignment horizontal="left"/>
      <protection/>
    </xf>
    <xf numFmtId="0" fontId="0" fillId="0" borderId="4" xfId="21" applyFont="1" applyFill="1" applyBorder="1" applyAlignment="1">
      <alignment horizontal="left"/>
      <protection/>
    </xf>
    <xf numFmtId="0" fontId="0" fillId="0" borderId="15" xfId="21" applyFont="1" applyFill="1" applyBorder="1" applyAlignment="1">
      <alignment horizontal="left"/>
      <protection/>
    </xf>
    <xf numFmtId="164" fontId="0" fillId="0" borderId="16" xfId="22" applyNumberFormat="1" applyFont="1" applyFill="1" applyBorder="1" applyAlignment="1">
      <alignment horizontal="left"/>
      <protection/>
    </xf>
    <xf numFmtId="0" fontId="0" fillId="0" borderId="3" xfId="22" applyFont="1" applyFill="1" applyBorder="1" applyAlignment="1">
      <alignment horizontal="left"/>
      <protection/>
    </xf>
    <xf numFmtId="0" fontId="0" fillId="0" borderId="15" xfId="22" applyFont="1" applyFill="1" applyBorder="1" applyAlignment="1">
      <alignment horizontal="left"/>
      <protection/>
    </xf>
    <xf numFmtId="0" fontId="0" fillId="0" borderId="17" xfId="22" applyFont="1" applyFill="1" applyBorder="1" applyAlignment="1">
      <alignment horizontal="left"/>
      <protection/>
    </xf>
    <xf numFmtId="164" fontId="0" fillId="0" borderId="18" xfId="22" applyNumberFormat="1" applyFont="1" applyFill="1" applyBorder="1" applyAlignment="1">
      <alignment horizontal="left"/>
      <protection/>
    </xf>
    <xf numFmtId="0" fontId="0" fillId="0" borderId="19" xfId="22" applyFont="1" applyFill="1" applyBorder="1" applyAlignment="1">
      <alignment horizontal="left"/>
      <protection/>
    </xf>
    <xf numFmtId="164" fontId="0" fillId="0" borderId="5" xfId="22" applyNumberFormat="1" applyFont="1" applyFill="1" applyBorder="1" applyAlignment="1">
      <alignment horizontal="left"/>
      <protection/>
    </xf>
    <xf numFmtId="0" fontId="20" fillId="0" borderId="0" xfId="0" applyFont="1" applyAlignment="1" quotePrefix="1">
      <alignment horizontal="left"/>
    </xf>
    <xf numFmtId="0" fontId="22" fillId="0" borderId="0" xfId="0" applyFont="1" applyAlignment="1">
      <alignment horizontal="left"/>
    </xf>
    <xf numFmtId="3" fontId="22" fillId="0" borderId="0" xfId="0" applyNumberFormat="1" applyFont="1" applyFill="1" applyAlignment="1">
      <alignment horizontal="left"/>
    </xf>
    <xf numFmtId="0" fontId="23" fillId="0" borderId="0" xfId="0" applyFont="1" applyAlignment="1">
      <alignment horizontal="left"/>
    </xf>
    <xf numFmtId="0" fontId="22" fillId="0" borderId="0" xfId="0" applyNumberFormat="1" applyFont="1" applyFill="1" applyAlignment="1">
      <alignment horizontal="left"/>
    </xf>
    <xf numFmtId="0" fontId="22" fillId="0" borderId="20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Fill="1" applyBorder="1" applyAlignment="1" quotePrefix="1">
      <alignment horizontal="left" vertical="top" wrapText="1"/>
    </xf>
    <xf numFmtId="0" fontId="0" fillId="0" borderId="18" xfId="21" applyFont="1" applyFill="1" applyBorder="1" applyAlignment="1">
      <alignment horizontal="left"/>
      <protection/>
    </xf>
    <xf numFmtId="164" fontId="0" fillId="0" borderId="18" xfId="22" applyNumberFormat="1" applyFont="1" applyFill="1" applyBorder="1" applyAlignment="1" quotePrefix="1">
      <alignment horizontal="left"/>
      <protection/>
    </xf>
    <xf numFmtId="164" fontId="0" fillId="0" borderId="4" xfId="22" applyNumberFormat="1" applyFont="1" applyFill="1" applyBorder="1" applyAlignment="1" quotePrefix="1">
      <alignment horizontal="left"/>
      <protection/>
    </xf>
    <xf numFmtId="0" fontId="0" fillId="0" borderId="5" xfId="21" applyFont="1" applyFill="1" applyBorder="1" applyAlignment="1">
      <alignment horizontal="left"/>
      <protection/>
    </xf>
    <xf numFmtId="164" fontId="0" fillId="0" borderId="5" xfId="22" applyNumberFormat="1" applyFont="1" applyFill="1" applyBorder="1" applyAlignment="1" quotePrefix="1">
      <alignment horizontal="left"/>
      <protection/>
    </xf>
    <xf numFmtId="0" fontId="0" fillId="0" borderId="16" xfId="21" applyFont="1" applyFill="1" applyBorder="1" applyAlignment="1">
      <alignment horizontal="left"/>
      <protection/>
    </xf>
    <xf numFmtId="164" fontId="0" fillId="0" borderId="16" xfId="22" applyNumberFormat="1" applyFont="1" applyFill="1" applyBorder="1" applyAlignment="1" quotePrefix="1">
      <alignment horizontal="left"/>
      <protection/>
    </xf>
    <xf numFmtId="164" fontId="0" fillId="0" borderId="1" xfId="22" applyNumberFormat="1" applyFont="1" applyFill="1" applyBorder="1" applyAlignment="1" quotePrefix="1">
      <alignment horizontal="left"/>
      <protection/>
    </xf>
    <xf numFmtId="173" fontId="18" fillId="0" borderId="23" xfId="15" applyNumberFormat="1" applyFont="1" applyFill="1" applyBorder="1" applyAlignment="1">
      <alignment horizontal="left"/>
    </xf>
    <xf numFmtId="0" fontId="0" fillId="0" borderId="1" xfId="21" applyFont="1" applyFill="1" applyBorder="1" applyAlignment="1" quotePrefix="1">
      <alignment horizontal="left"/>
      <protection/>
    </xf>
    <xf numFmtId="0" fontId="5" fillId="0" borderId="4" xfId="0" applyFont="1" applyBorder="1" applyAlignment="1">
      <alignment horizontal="left"/>
    </xf>
    <xf numFmtId="173" fontId="5" fillId="0" borderId="4" xfId="15" applyNumberFormat="1" applyFont="1" applyBorder="1" applyAlignment="1">
      <alignment horizontal="left"/>
    </xf>
    <xf numFmtId="173" fontId="15" fillId="0" borderId="24" xfId="15" applyNumberFormat="1" applyFont="1" applyBorder="1" applyAlignment="1">
      <alignment horizontal="left"/>
    </xf>
    <xf numFmtId="0" fontId="0" fillId="0" borderId="4" xfId="21" applyFont="1" applyFill="1" applyBorder="1" applyAlignment="1" quotePrefix="1">
      <alignment horizontal="left"/>
      <protection/>
    </xf>
    <xf numFmtId="0" fontId="5" fillId="0" borderId="14" xfId="0" applyFont="1" applyBorder="1" applyAlignment="1">
      <alignment horizontal="left"/>
    </xf>
    <xf numFmtId="0" fontId="0" fillId="0" borderId="14" xfId="21" applyFont="1" applyFill="1" applyBorder="1" applyAlignment="1">
      <alignment horizontal="left"/>
      <protection/>
    </xf>
    <xf numFmtId="164" fontId="0" fillId="0" borderId="14" xfId="22" applyNumberFormat="1" applyFont="1" applyFill="1" applyBorder="1" applyAlignment="1" quotePrefix="1">
      <alignment horizontal="left"/>
      <protection/>
    </xf>
    <xf numFmtId="0" fontId="5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173" fontId="0" fillId="0" borderId="0" xfId="15" applyNumberFormat="1" applyFont="1" applyFill="1" applyAlignment="1">
      <alignment horizontal="left"/>
    </xf>
    <xf numFmtId="0" fontId="21" fillId="0" borderId="0" xfId="0" applyFont="1" applyAlignment="1" quotePrefix="1">
      <alignment horizontal="left"/>
    </xf>
    <xf numFmtId="173" fontId="16" fillId="0" borderId="18" xfId="15" applyNumberFormat="1" applyFont="1" applyFill="1" applyBorder="1" applyAlignment="1">
      <alignment horizontal="left"/>
    </xf>
    <xf numFmtId="173" fontId="16" fillId="0" borderId="18" xfId="15" applyNumberFormat="1" applyFont="1" applyBorder="1" applyAlignment="1">
      <alignment horizontal="left"/>
    </xf>
    <xf numFmtId="173" fontId="16" fillId="0" borderId="4" xfId="15" applyNumberFormat="1" applyFont="1" applyFill="1" applyBorder="1" applyAlignment="1">
      <alignment horizontal="left"/>
    </xf>
    <xf numFmtId="173" fontId="16" fillId="0" borderId="4" xfId="15" applyNumberFormat="1" applyFont="1" applyBorder="1" applyAlignment="1">
      <alignment horizontal="left"/>
    </xf>
    <xf numFmtId="173" fontId="16" fillId="0" borderId="5" xfId="15" applyNumberFormat="1" applyFont="1" applyFill="1" applyBorder="1" applyAlignment="1">
      <alignment horizontal="left"/>
    </xf>
    <xf numFmtId="173" fontId="16" fillId="0" borderId="5" xfId="15" applyNumberFormat="1" applyFont="1" applyBorder="1" applyAlignment="1">
      <alignment horizontal="left"/>
    </xf>
    <xf numFmtId="173" fontId="16" fillId="0" borderId="16" xfId="15" applyNumberFormat="1" applyFont="1" applyBorder="1" applyAlignment="1">
      <alignment horizontal="left"/>
    </xf>
    <xf numFmtId="173" fontId="16" fillId="0" borderId="16" xfId="15" applyNumberFormat="1" applyFont="1" applyFill="1" applyBorder="1" applyAlignment="1">
      <alignment horizontal="left"/>
    </xf>
    <xf numFmtId="173" fontId="16" fillId="0" borderId="1" xfId="15" applyNumberFormat="1" applyFont="1" applyFill="1" applyBorder="1" applyAlignment="1">
      <alignment horizontal="left"/>
    </xf>
    <xf numFmtId="173" fontId="16" fillId="0" borderId="1" xfId="15" applyNumberFormat="1" applyFont="1" applyBorder="1" applyAlignment="1">
      <alignment horizontal="left"/>
    </xf>
    <xf numFmtId="173" fontId="17" fillId="0" borderId="4" xfId="15" applyNumberFormat="1" applyFont="1" applyFill="1" applyBorder="1" applyAlignment="1">
      <alignment horizontal="left"/>
    </xf>
    <xf numFmtId="173" fontId="17" fillId="0" borderId="4" xfId="15" applyNumberFormat="1" applyFont="1" applyBorder="1" applyAlignment="1">
      <alignment horizontal="left"/>
    </xf>
    <xf numFmtId="173" fontId="16" fillId="0" borderId="4" xfId="15" applyNumberFormat="1" applyFont="1" applyFill="1" applyBorder="1" applyAlignment="1">
      <alignment horizontal="left" wrapText="1"/>
    </xf>
    <xf numFmtId="173" fontId="16" fillId="0" borderId="14" xfId="15" applyNumberFormat="1" applyFont="1" applyFill="1" applyBorder="1" applyAlignment="1">
      <alignment horizontal="left"/>
    </xf>
    <xf numFmtId="173" fontId="16" fillId="0" borderId="14" xfId="15" applyNumberFormat="1" applyFont="1" applyBorder="1" applyAlignment="1">
      <alignment horizontal="left"/>
    </xf>
    <xf numFmtId="176" fontId="16" fillId="0" borderId="14" xfId="0" applyNumberFormat="1" applyFont="1" applyBorder="1" applyAlignment="1">
      <alignment horizontal="right"/>
    </xf>
    <xf numFmtId="176" fontId="16" fillId="0" borderId="25" xfId="0" applyNumberFormat="1" applyFont="1" applyBorder="1" applyAlignment="1">
      <alignment horizontal="right"/>
    </xf>
    <xf numFmtId="173" fontId="16" fillId="0" borderId="24" xfId="15" applyNumberFormat="1" applyFont="1" applyFill="1" applyBorder="1" applyAlignment="1">
      <alignment horizontal="left"/>
    </xf>
    <xf numFmtId="173" fontId="16" fillId="0" borderId="26" xfId="15" applyNumberFormat="1" applyFont="1" applyFill="1" applyBorder="1" applyAlignment="1">
      <alignment horizontal="left"/>
    </xf>
    <xf numFmtId="173" fontId="16" fillId="0" borderId="27" xfId="15" applyNumberFormat="1" applyFont="1" applyFill="1" applyBorder="1" applyAlignment="1">
      <alignment horizontal="left"/>
    </xf>
    <xf numFmtId="173" fontId="16" fillId="0" borderId="28" xfId="15" applyNumberFormat="1" applyFont="1" applyFill="1" applyBorder="1" applyAlignment="1">
      <alignment horizontal="left"/>
    </xf>
    <xf numFmtId="173" fontId="16" fillId="0" borderId="16" xfId="15" applyNumberFormat="1" applyFont="1" applyFill="1" applyBorder="1" applyAlignment="1" quotePrefix="1">
      <alignment horizontal="center" wrapText="1"/>
    </xf>
    <xf numFmtId="173" fontId="16" fillId="0" borderId="4" xfId="15" applyNumberFormat="1" applyFont="1" applyFill="1" applyBorder="1" applyAlignment="1">
      <alignment horizontal="center" wrapText="1"/>
    </xf>
    <xf numFmtId="173" fontId="16" fillId="0" borderId="4" xfId="15" applyNumberFormat="1" applyFont="1" applyFill="1" applyBorder="1" applyAlignment="1" quotePrefix="1">
      <alignment horizontal="center" wrapText="1"/>
    </xf>
    <xf numFmtId="173" fontId="16" fillId="0" borderId="4" xfId="15" applyNumberFormat="1" applyFont="1" applyFill="1" applyBorder="1" applyAlignment="1">
      <alignment horizontal="center"/>
    </xf>
    <xf numFmtId="173" fontId="16" fillId="0" borderId="5" xfId="15" applyNumberFormat="1" applyFont="1" applyFill="1" applyBorder="1" applyAlignment="1">
      <alignment horizontal="center"/>
    </xf>
    <xf numFmtId="173" fontId="16" fillId="0" borderId="14" xfId="15" applyNumberFormat="1" applyFont="1" applyFill="1" applyBorder="1" applyAlignment="1">
      <alignment horizontal="center"/>
    </xf>
    <xf numFmtId="0" fontId="23" fillId="0" borderId="13" xfId="22" applyFont="1" applyFill="1" applyBorder="1" applyAlignment="1">
      <alignment horizontal="left"/>
      <protection/>
    </xf>
    <xf numFmtId="0" fontId="23" fillId="0" borderId="14" xfId="21" applyFont="1" applyFill="1" applyBorder="1" applyAlignment="1">
      <alignment horizontal="left"/>
      <protection/>
    </xf>
    <xf numFmtId="164" fontId="23" fillId="0" borderId="14" xfId="22" applyNumberFormat="1" applyFont="1" applyFill="1" applyBorder="1" applyAlignment="1" quotePrefix="1">
      <alignment horizontal="left"/>
      <protection/>
    </xf>
    <xf numFmtId="164" fontId="23" fillId="0" borderId="14" xfId="22" applyNumberFormat="1" applyFont="1" applyFill="1" applyBorder="1" applyAlignment="1">
      <alignment horizontal="left"/>
      <protection/>
    </xf>
    <xf numFmtId="173" fontId="23" fillId="0" borderId="14" xfId="15" applyNumberFormat="1" applyFont="1" applyFill="1" applyBorder="1" applyAlignment="1">
      <alignment horizontal="left"/>
    </xf>
    <xf numFmtId="173" fontId="23" fillId="0" borderId="14" xfId="15" applyNumberFormat="1" applyFont="1" applyBorder="1" applyAlignment="1">
      <alignment horizontal="left"/>
    </xf>
    <xf numFmtId="173" fontId="23" fillId="0" borderId="25" xfId="15" applyNumberFormat="1" applyFont="1" applyBorder="1" applyAlignment="1">
      <alignment horizontal="left"/>
    </xf>
    <xf numFmtId="173" fontId="23" fillId="0" borderId="0" xfId="15" applyNumberFormat="1" applyFont="1" applyBorder="1" applyAlignment="1">
      <alignment/>
    </xf>
    <xf numFmtId="173" fontId="22" fillId="0" borderId="0" xfId="15" applyNumberFormat="1" applyFont="1" applyBorder="1" applyAlignment="1">
      <alignment/>
    </xf>
    <xf numFmtId="173" fontId="23" fillId="0" borderId="0" xfId="15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173" fontId="23" fillId="0" borderId="25" xfId="15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13" xfId="21" applyFont="1" applyFill="1" applyBorder="1" applyAlignment="1">
      <alignment horizontal="left"/>
      <protection/>
    </xf>
    <xf numFmtId="0" fontId="23" fillId="0" borderId="14" xfId="0" applyFont="1" applyBorder="1" applyAlignment="1">
      <alignment horizontal="left"/>
    </xf>
    <xf numFmtId="0" fontId="5" fillId="0" borderId="21" xfId="0" applyFont="1" applyFill="1" applyBorder="1" applyAlignment="1" quotePrefix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21" xfId="0" applyFont="1" applyBorder="1" applyAlignment="1" quotePrefix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173" fontId="5" fillId="0" borderId="4" xfId="15" applyNumberFormat="1" applyFont="1" applyFill="1" applyBorder="1" applyAlignment="1">
      <alignment horizontal="left"/>
    </xf>
    <xf numFmtId="173" fontId="5" fillId="0" borderId="5" xfId="15" applyNumberFormat="1" applyFont="1" applyFill="1" applyBorder="1" applyAlignment="1">
      <alignment horizontal="left"/>
    </xf>
    <xf numFmtId="173" fontId="5" fillId="0" borderId="16" xfId="15" applyNumberFormat="1" applyFont="1" applyFill="1" applyBorder="1" applyAlignment="1">
      <alignment horizontal="left"/>
    </xf>
    <xf numFmtId="173" fontId="5" fillId="0" borderId="1" xfId="15" applyNumberFormat="1" applyFont="1" applyFill="1" applyBorder="1" applyAlignment="1">
      <alignment horizontal="left"/>
    </xf>
    <xf numFmtId="173" fontId="5" fillId="0" borderId="14" xfId="15" applyNumberFormat="1" applyFont="1" applyFill="1" applyBorder="1" applyAlignment="1">
      <alignment horizontal="left"/>
    </xf>
    <xf numFmtId="0" fontId="0" fillId="7" borderId="0" xfId="0" applyFont="1" applyFill="1" applyAlignment="1">
      <alignment/>
    </xf>
    <xf numFmtId="173" fontId="16" fillId="8" borderId="4" xfId="15" applyNumberFormat="1" applyFont="1" applyFill="1" applyBorder="1" applyAlignment="1">
      <alignment horizontal="left"/>
    </xf>
    <xf numFmtId="0" fontId="23" fillId="0" borderId="20" xfId="0" applyFont="1" applyBorder="1" applyAlignment="1">
      <alignment horizontal="left" wrapText="1"/>
    </xf>
    <xf numFmtId="0" fontId="22" fillId="0" borderId="2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1" xfId="21"/>
    <cellStyle name="Normal_Sheet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AP106"/>
  <sheetViews>
    <sheetView tabSelected="1" workbookViewId="0" topLeftCell="A1">
      <selection activeCell="L84" sqref="L84"/>
    </sheetView>
  </sheetViews>
  <sheetFormatPr defaultColWidth="9.140625" defaultRowHeight="12.75"/>
  <cols>
    <col min="1" max="1" width="15.7109375" style="2" customWidth="1"/>
    <col min="2" max="2" width="20.28125" style="2" bestFit="1" customWidth="1"/>
    <col min="3" max="3" width="5.7109375" style="2" hidden="1" customWidth="1"/>
    <col min="4" max="4" width="8.140625" style="2" hidden="1" customWidth="1"/>
    <col min="5" max="5" width="18.7109375" style="3" customWidth="1"/>
    <col min="6" max="10" width="15.8515625" style="3" customWidth="1"/>
    <col min="11" max="11" width="10.421875" style="31" customWidth="1"/>
    <col min="12" max="12" width="9.57421875" style="31" customWidth="1"/>
    <col min="13" max="13" width="8.7109375" style="3" customWidth="1"/>
    <col min="14" max="14" width="10.28125" style="31" customWidth="1"/>
    <col min="15" max="15" width="10.140625" style="31" customWidth="1"/>
    <col min="16" max="17" width="8.7109375" style="31" customWidth="1"/>
    <col min="18" max="19" width="7.7109375" style="31" customWidth="1"/>
    <col min="20" max="20" width="10.28125" style="3" customWidth="1"/>
    <col min="21" max="21" width="8.7109375" style="31" customWidth="1"/>
    <col min="22" max="22" width="9.57421875" style="2" customWidth="1"/>
    <col min="23" max="23" width="8.7109375" style="2" customWidth="1"/>
    <col min="24" max="24" width="7.7109375" style="2" customWidth="1"/>
    <col min="25" max="25" width="8.7109375" style="2" customWidth="1"/>
    <col min="26" max="26" width="8.7109375" style="25" customWidth="1"/>
    <col min="27" max="27" width="8.7109375" style="2" customWidth="1"/>
    <col min="28" max="30" width="7.7109375" style="2" customWidth="1"/>
    <col min="31" max="31" width="8.7109375" style="2" customWidth="1"/>
    <col min="32" max="34" width="6.7109375" style="2" customWidth="1"/>
    <col min="35" max="35" width="8.7109375" style="25" customWidth="1"/>
    <col min="36" max="36" width="10.28125" style="1" customWidth="1"/>
    <col min="37" max="37" width="42.57421875" style="2" customWidth="1"/>
    <col min="38" max="38" width="10.28125" style="2" bestFit="1" customWidth="1"/>
    <col min="39" max="16384" width="9.140625" style="2" customWidth="1"/>
  </cols>
  <sheetData>
    <row r="1" spans="1:42" ht="15">
      <c r="A1" s="111" t="s">
        <v>181</v>
      </c>
      <c r="B1" s="84"/>
      <c r="C1" s="84"/>
      <c r="D1" s="84"/>
      <c r="E1" s="85"/>
      <c r="F1" s="85"/>
      <c r="G1" s="85"/>
      <c r="H1" s="85"/>
      <c r="I1" s="85"/>
      <c r="J1" s="85"/>
      <c r="K1" s="4"/>
      <c r="L1" s="4"/>
      <c r="M1" s="5"/>
      <c r="N1" s="4"/>
      <c r="O1" s="4"/>
      <c r="P1" s="4"/>
      <c r="Q1" s="4"/>
      <c r="R1" s="4"/>
      <c r="S1" s="4"/>
      <c r="T1" s="5"/>
      <c r="U1" s="4"/>
      <c r="V1" s="6"/>
      <c r="W1" s="6"/>
      <c r="X1" s="6"/>
      <c r="Y1" s="6"/>
      <c r="Z1" s="7"/>
      <c r="AA1" s="6"/>
      <c r="AB1" s="6"/>
      <c r="AC1" s="6"/>
      <c r="AD1" s="6"/>
      <c r="AE1" s="6"/>
      <c r="AF1" s="6"/>
      <c r="AG1" s="6"/>
      <c r="AH1" s="6"/>
      <c r="AI1" s="7"/>
      <c r="AJ1" s="8"/>
      <c r="AK1" s="6"/>
      <c r="AL1" s="6"/>
      <c r="AM1" s="6"/>
      <c r="AN1" s="6"/>
      <c r="AO1" s="6"/>
      <c r="AP1" s="6"/>
    </row>
    <row r="2" spans="1:42" ht="15.75" hidden="1" thickBot="1">
      <c r="A2" s="86"/>
      <c r="B2" s="84"/>
      <c r="C2" s="84"/>
      <c r="D2" s="84"/>
      <c r="E2" s="87" t="s">
        <v>0</v>
      </c>
      <c r="F2" s="87"/>
      <c r="G2" s="87"/>
      <c r="H2" s="87"/>
      <c r="I2" s="87"/>
      <c r="J2" s="87"/>
      <c r="K2" s="9"/>
      <c r="L2" s="9"/>
      <c r="M2" s="10"/>
      <c r="N2" s="9"/>
      <c r="O2" s="9"/>
      <c r="P2" s="9"/>
      <c r="Q2" s="9"/>
      <c r="R2" s="9"/>
      <c r="S2" s="9"/>
      <c r="T2" s="10"/>
      <c r="U2" s="9"/>
      <c r="V2" s="9"/>
      <c r="W2" s="9"/>
      <c r="X2" s="9"/>
      <c r="Y2" s="9"/>
      <c r="Z2" s="10"/>
      <c r="AA2" s="9"/>
      <c r="AB2" s="9"/>
      <c r="AC2" s="9"/>
      <c r="AD2" s="9"/>
      <c r="AE2" s="9"/>
      <c r="AF2" s="9"/>
      <c r="AG2" s="9"/>
      <c r="AH2" s="9"/>
      <c r="AI2" s="10"/>
      <c r="AJ2" s="8"/>
      <c r="AK2" s="6"/>
      <c r="AL2" s="6"/>
      <c r="AM2" s="6"/>
      <c r="AN2" s="6"/>
      <c r="AO2" s="6"/>
      <c r="AP2" s="6"/>
    </row>
    <row r="3" spans="1:42" s="13" customFormat="1" ht="15.75" thickBot="1">
      <c r="A3" s="168" t="s">
        <v>178</v>
      </c>
      <c r="B3" s="169"/>
      <c r="C3" s="169"/>
      <c r="D3" s="169"/>
      <c r="E3" s="169"/>
      <c r="F3" s="88"/>
      <c r="G3" s="88"/>
      <c r="H3" s="88"/>
      <c r="I3" s="88"/>
      <c r="J3" s="88"/>
      <c r="K3" s="170"/>
      <c r="L3" s="170"/>
      <c r="M3" s="170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J3" s="11"/>
      <c r="AK3" s="12"/>
      <c r="AL3" s="12"/>
      <c r="AM3" s="12"/>
      <c r="AN3" s="12"/>
      <c r="AO3" s="12"/>
      <c r="AP3" s="12"/>
    </row>
    <row r="4" spans="1:42" s="17" customFormat="1" ht="57.75" customHeight="1">
      <c r="A4" s="160" t="s">
        <v>1</v>
      </c>
      <c r="B4" s="159" t="s">
        <v>2</v>
      </c>
      <c r="C4" s="89"/>
      <c r="D4" s="89" t="s">
        <v>2</v>
      </c>
      <c r="E4" s="157" t="s">
        <v>185</v>
      </c>
      <c r="F4" s="158" t="s">
        <v>172</v>
      </c>
      <c r="G4" s="157" t="s">
        <v>182</v>
      </c>
      <c r="H4" s="157" t="s">
        <v>177</v>
      </c>
      <c r="I4" s="157" t="s">
        <v>155</v>
      </c>
      <c r="J4" s="90" t="s">
        <v>184</v>
      </c>
      <c r="K4" s="14"/>
      <c r="L4" s="14"/>
      <c r="M4" s="1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170"/>
      <c r="AB4" s="170"/>
      <c r="AC4" s="170"/>
      <c r="AD4" s="170"/>
      <c r="AE4" s="170"/>
      <c r="AF4" s="170"/>
      <c r="AG4" s="170"/>
      <c r="AH4" s="170"/>
      <c r="AI4" s="170"/>
      <c r="AJ4" s="16"/>
      <c r="AK4" s="16"/>
      <c r="AL4" s="16"/>
      <c r="AM4" s="16"/>
      <c r="AN4" s="16"/>
      <c r="AO4" s="16"/>
      <c r="AP4" s="16"/>
    </row>
    <row r="5" spans="1:42" ht="12.75">
      <c r="A5" s="79" t="s">
        <v>3</v>
      </c>
      <c r="B5" s="91" t="s">
        <v>6</v>
      </c>
      <c r="C5" s="92">
        <v>885</v>
      </c>
      <c r="D5" s="80" t="s">
        <v>5</v>
      </c>
      <c r="E5" s="112">
        <v>10017.69</v>
      </c>
      <c r="F5" s="113">
        <v>746.22</v>
      </c>
      <c r="G5" s="112">
        <v>8332.44</v>
      </c>
      <c r="H5" s="112">
        <v>17966.68</v>
      </c>
      <c r="I5" s="161">
        <f>SUM(E5:H5)</f>
        <v>37063.03</v>
      </c>
      <c r="J5" s="132">
        <v>9813.95</v>
      </c>
      <c r="K5" s="19"/>
      <c r="L5" s="19"/>
      <c r="M5" s="20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2"/>
      <c r="AB5" s="62"/>
      <c r="AC5" s="62"/>
      <c r="AD5" s="62"/>
      <c r="AE5" s="62"/>
      <c r="AF5" s="62"/>
      <c r="AG5" s="62"/>
      <c r="AH5" s="62"/>
      <c r="AI5" s="62"/>
      <c r="AJ5" s="21"/>
      <c r="AK5" s="6"/>
      <c r="AL5" s="23"/>
      <c r="AM5" s="6"/>
      <c r="AN5" s="6"/>
      <c r="AO5" s="6"/>
      <c r="AP5" s="6"/>
    </row>
    <row r="6" spans="1:42" ht="13.5" thickBot="1">
      <c r="A6" s="77" t="s">
        <v>3</v>
      </c>
      <c r="B6" s="74" t="s">
        <v>4</v>
      </c>
      <c r="C6" s="93">
        <v>884</v>
      </c>
      <c r="D6" s="73" t="s">
        <v>5</v>
      </c>
      <c r="E6" s="136" t="s">
        <v>179</v>
      </c>
      <c r="F6" s="167">
        <v>1886.13</v>
      </c>
      <c r="G6" s="114">
        <v>7718.12</v>
      </c>
      <c r="H6" s="114">
        <v>19789.09</v>
      </c>
      <c r="I6" s="161">
        <f>SUM(E6:H6)</f>
        <v>29393.34</v>
      </c>
      <c r="J6" s="129">
        <v>10466.02</v>
      </c>
      <c r="K6" s="19"/>
      <c r="L6" s="19"/>
      <c r="M6" s="20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62"/>
      <c r="AB6" s="62"/>
      <c r="AC6" s="62"/>
      <c r="AD6" s="62"/>
      <c r="AE6" s="62"/>
      <c r="AF6" s="62"/>
      <c r="AG6" s="62"/>
      <c r="AH6" s="62"/>
      <c r="AI6" s="62"/>
      <c r="AJ6" s="21"/>
      <c r="AK6" s="6"/>
      <c r="AL6" s="23"/>
      <c r="AM6" s="6"/>
      <c r="AN6" s="6"/>
      <c r="AO6" s="6"/>
      <c r="AP6" s="6"/>
    </row>
    <row r="7" spans="1:42" s="151" customFormat="1" ht="15.75" thickBot="1">
      <c r="A7" s="139" t="s">
        <v>7</v>
      </c>
      <c r="B7" s="140"/>
      <c r="C7" s="141"/>
      <c r="D7" s="142"/>
      <c r="E7" s="143">
        <f aca="true" t="shared" si="0" ref="E7:J7">SUM(E5:E6)</f>
        <v>10017.69</v>
      </c>
      <c r="F7" s="144">
        <f>SUM(F5:F6)</f>
        <v>2632.3500000000004</v>
      </c>
      <c r="G7" s="144">
        <f>SUM(G5:G6)</f>
        <v>16050.560000000001</v>
      </c>
      <c r="H7" s="144">
        <f>SUM(H5:H6)</f>
        <v>37755.770000000004</v>
      </c>
      <c r="I7" s="144">
        <f t="shared" si="0"/>
        <v>66456.37</v>
      </c>
      <c r="J7" s="145">
        <f t="shared" si="0"/>
        <v>20279.97</v>
      </c>
      <c r="K7" s="146"/>
      <c r="L7" s="147"/>
      <c r="M7" s="148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50"/>
      <c r="AL7" s="150"/>
      <c r="AM7" s="150"/>
      <c r="AN7" s="150"/>
      <c r="AO7" s="150"/>
      <c r="AP7" s="150"/>
    </row>
    <row r="8" spans="1:42" s="25" customFormat="1" ht="12.75">
      <c r="A8" s="81" t="s">
        <v>8</v>
      </c>
      <c r="B8" s="94" t="s">
        <v>9</v>
      </c>
      <c r="C8" s="95">
        <v>886</v>
      </c>
      <c r="D8" s="82" t="s">
        <v>5</v>
      </c>
      <c r="E8" s="137">
        <v>7609.61</v>
      </c>
      <c r="F8" s="117">
        <v>448.28</v>
      </c>
      <c r="G8" s="116">
        <v>12277.41</v>
      </c>
      <c r="H8" s="116">
        <v>36564.81</v>
      </c>
      <c r="I8" s="162">
        <f>SUM(E8:H8)</f>
        <v>56900.11</v>
      </c>
      <c r="J8" s="131">
        <v>973.3600000000006</v>
      </c>
      <c r="K8" s="19"/>
      <c r="L8" s="19"/>
      <c r="M8" s="20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19"/>
      <c r="AB8" s="19"/>
      <c r="AC8" s="19"/>
      <c r="AD8" s="19"/>
      <c r="AE8" s="19"/>
      <c r="AF8" s="19"/>
      <c r="AG8" s="19"/>
      <c r="AH8" s="19"/>
      <c r="AI8" s="21"/>
      <c r="AJ8" s="21"/>
      <c r="AK8" s="7"/>
      <c r="AL8" s="7"/>
      <c r="AM8" s="7"/>
      <c r="AN8" s="7"/>
      <c r="AO8" s="7"/>
      <c r="AP8" s="7"/>
    </row>
    <row r="9" spans="1:42" s="25" customFormat="1" ht="23.25" thickBot="1">
      <c r="A9" s="78" t="s">
        <v>8</v>
      </c>
      <c r="B9" s="96" t="s">
        <v>10</v>
      </c>
      <c r="C9" s="97">
        <v>887</v>
      </c>
      <c r="D9" s="76" t="s">
        <v>5</v>
      </c>
      <c r="E9" s="133" t="s">
        <v>176</v>
      </c>
      <c r="F9" s="118">
        <v>1828.02</v>
      </c>
      <c r="G9" s="119">
        <v>3992.21</v>
      </c>
      <c r="H9" s="119">
        <v>27509.1</v>
      </c>
      <c r="I9" s="163">
        <f>SUM(E9:H9)</f>
        <v>33329.33</v>
      </c>
      <c r="J9" s="130">
        <v>9313.31</v>
      </c>
      <c r="K9" s="19"/>
      <c r="L9" s="19"/>
      <c r="M9" s="20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19"/>
      <c r="AB9" s="19"/>
      <c r="AC9" s="19"/>
      <c r="AD9" s="19"/>
      <c r="AE9" s="19"/>
      <c r="AF9" s="19"/>
      <c r="AG9" s="19"/>
      <c r="AH9" s="19"/>
      <c r="AI9" s="21"/>
      <c r="AJ9" s="21"/>
      <c r="AK9" s="7"/>
      <c r="AL9" s="7"/>
      <c r="AM9" s="7"/>
      <c r="AN9" s="7"/>
      <c r="AO9" s="7"/>
      <c r="AP9" s="7"/>
    </row>
    <row r="10" spans="1:42" s="154" customFormat="1" ht="15.75" thickBot="1">
      <c r="A10" s="139" t="s">
        <v>11</v>
      </c>
      <c r="B10" s="140"/>
      <c r="C10" s="141"/>
      <c r="D10" s="142"/>
      <c r="E10" s="143">
        <f aca="true" t="shared" si="1" ref="E10:J10">SUM(E8:E9)</f>
        <v>7609.61</v>
      </c>
      <c r="F10" s="143">
        <f>SUM(F8:F9)</f>
        <v>2276.3</v>
      </c>
      <c r="G10" s="143">
        <f>SUM(G8:G9)</f>
        <v>16269.619999999999</v>
      </c>
      <c r="H10" s="143">
        <f>SUM(H8:H9)</f>
        <v>64073.909999999996</v>
      </c>
      <c r="I10" s="143">
        <f t="shared" si="1"/>
        <v>90229.44</v>
      </c>
      <c r="J10" s="152">
        <f t="shared" si="1"/>
        <v>10286.67</v>
      </c>
      <c r="K10" s="148"/>
      <c r="L10" s="147"/>
      <c r="M10" s="148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8"/>
      <c r="AB10" s="148"/>
      <c r="AC10" s="148"/>
      <c r="AD10" s="148"/>
      <c r="AE10" s="148"/>
      <c r="AF10" s="148"/>
      <c r="AG10" s="148"/>
      <c r="AH10" s="148"/>
      <c r="AI10" s="146"/>
      <c r="AJ10" s="148"/>
      <c r="AK10" s="153"/>
      <c r="AL10" s="153"/>
      <c r="AM10" s="153"/>
      <c r="AN10" s="153"/>
      <c r="AO10" s="153"/>
      <c r="AP10" s="153"/>
    </row>
    <row r="11" spans="1:42" ht="12.75" customHeight="1" hidden="1">
      <c r="A11" s="26" t="s">
        <v>12</v>
      </c>
      <c r="B11" s="18" t="s">
        <v>13</v>
      </c>
      <c r="C11" s="98"/>
      <c r="D11" s="22"/>
      <c r="E11" s="120"/>
      <c r="F11" s="121"/>
      <c r="G11" s="120"/>
      <c r="H11" s="120"/>
      <c r="I11" s="164">
        <f aca="true" t="shared" si="2" ref="I11:I54">SUM(E11:H11)</f>
        <v>0</v>
      </c>
      <c r="J11" s="99"/>
      <c r="K11" s="19"/>
      <c r="L11" s="19"/>
      <c r="M11" s="20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19"/>
      <c r="AB11" s="19"/>
      <c r="AC11" s="19"/>
      <c r="AD11" s="19"/>
      <c r="AE11" s="19"/>
      <c r="AF11" s="19"/>
      <c r="AG11" s="19"/>
      <c r="AH11" s="19"/>
      <c r="AI11" s="21"/>
      <c r="AJ11" s="21"/>
      <c r="AK11" s="6"/>
      <c r="AL11" s="6"/>
      <c r="AM11" s="6"/>
      <c r="AN11" s="6"/>
      <c r="AO11" s="6"/>
      <c r="AP11" s="6"/>
    </row>
    <row r="12" spans="1:42" ht="12.75" customHeight="1" hidden="1">
      <c r="A12" s="26" t="s">
        <v>12</v>
      </c>
      <c r="B12" s="18" t="s">
        <v>14</v>
      </c>
      <c r="C12" s="98"/>
      <c r="D12" s="22"/>
      <c r="E12" s="120"/>
      <c r="F12" s="121"/>
      <c r="G12" s="120"/>
      <c r="H12" s="120"/>
      <c r="I12" s="164">
        <f t="shared" si="2"/>
        <v>0</v>
      </c>
      <c r="J12" s="99"/>
      <c r="K12" s="19"/>
      <c r="L12" s="19"/>
      <c r="M12" s="20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19"/>
      <c r="AB12" s="19"/>
      <c r="AC12" s="19"/>
      <c r="AD12" s="19"/>
      <c r="AE12" s="19"/>
      <c r="AF12" s="19"/>
      <c r="AG12" s="19"/>
      <c r="AH12" s="19"/>
      <c r="AI12" s="21"/>
      <c r="AJ12" s="21"/>
      <c r="AK12" s="6"/>
      <c r="AL12" s="6"/>
      <c r="AM12" s="6"/>
      <c r="AN12" s="6"/>
      <c r="AO12" s="6"/>
      <c r="AP12" s="6"/>
    </row>
    <row r="13" spans="1:42" ht="12.75" customHeight="1" hidden="1">
      <c r="A13" s="26" t="s">
        <v>12</v>
      </c>
      <c r="B13" s="18" t="s">
        <v>15</v>
      </c>
      <c r="C13" s="100"/>
      <c r="D13" s="18"/>
      <c r="E13" s="120"/>
      <c r="F13" s="121"/>
      <c r="G13" s="120"/>
      <c r="H13" s="120"/>
      <c r="I13" s="164">
        <f t="shared" si="2"/>
        <v>0</v>
      </c>
      <c r="J13" s="99"/>
      <c r="K13" s="19"/>
      <c r="L13" s="19"/>
      <c r="M13" s="20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19"/>
      <c r="AB13" s="19"/>
      <c r="AC13" s="19"/>
      <c r="AD13" s="19"/>
      <c r="AE13" s="19"/>
      <c r="AF13" s="19"/>
      <c r="AG13" s="19"/>
      <c r="AH13" s="19"/>
      <c r="AI13" s="21"/>
      <c r="AJ13" s="21"/>
      <c r="AK13" s="6"/>
      <c r="AL13" s="6"/>
      <c r="AM13" s="6"/>
      <c r="AN13" s="6"/>
      <c r="AO13" s="6"/>
      <c r="AP13" s="6"/>
    </row>
    <row r="14" spans="1:42" ht="12.75" customHeight="1" hidden="1">
      <c r="A14" s="26" t="s">
        <v>12</v>
      </c>
      <c r="B14" s="18" t="s">
        <v>16</v>
      </c>
      <c r="C14" s="100"/>
      <c r="D14" s="18"/>
      <c r="E14" s="120"/>
      <c r="F14" s="121"/>
      <c r="G14" s="120"/>
      <c r="H14" s="120"/>
      <c r="I14" s="164">
        <f t="shared" si="2"/>
        <v>0</v>
      </c>
      <c r="J14" s="99"/>
      <c r="K14" s="19"/>
      <c r="L14" s="19"/>
      <c r="M14" s="20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19"/>
      <c r="AB14" s="19"/>
      <c r="AC14" s="19"/>
      <c r="AD14" s="19"/>
      <c r="AE14" s="19"/>
      <c r="AF14" s="19"/>
      <c r="AG14" s="19"/>
      <c r="AH14" s="19"/>
      <c r="AI14" s="21"/>
      <c r="AJ14" s="21"/>
      <c r="AK14" s="6"/>
      <c r="AL14" s="6"/>
      <c r="AM14" s="6"/>
      <c r="AN14" s="6"/>
      <c r="AO14" s="6"/>
      <c r="AP14" s="6"/>
    </row>
    <row r="15" spans="1:42" ht="12.75" customHeight="1" hidden="1">
      <c r="A15" s="26" t="s">
        <v>12</v>
      </c>
      <c r="B15" s="18" t="s">
        <v>17</v>
      </c>
      <c r="C15" s="27"/>
      <c r="D15" s="27"/>
      <c r="E15" s="120"/>
      <c r="F15" s="121"/>
      <c r="G15" s="120"/>
      <c r="H15" s="120"/>
      <c r="I15" s="164">
        <f t="shared" si="2"/>
        <v>0</v>
      </c>
      <c r="J15" s="99"/>
      <c r="K15" s="19"/>
      <c r="L15" s="19"/>
      <c r="M15" s="20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19"/>
      <c r="AB15" s="19"/>
      <c r="AC15" s="19"/>
      <c r="AD15" s="19"/>
      <c r="AE15" s="19"/>
      <c r="AF15" s="19"/>
      <c r="AG15" s="19"/>
      <c r="AH15" s="19"/>
      <c r="AI15" s="21"/>
      <c r="AJ15" s="21"/>
      <c r="AK15" s="6"/>
      <c r="AL15" s="6"/>
      <c r="AM15" s="6"/>
      <c r="AN15" s="6"/>
      <c r="AO15" s="6"/>
      <c r="AP15" s="6"/>
    </row>
    <row r="16" spans="1:42" ht="12.75" customHeight="1" hidden="1">
      <c r="A16" s="26" t="s">
        <v>12</v>
      </c>
      <c r="B16" s="18" t="s">
        <v>18</v>
      </c>
      <c r="C16" s="98"/>
      <c r="D16" s="22"/>
      <c r="E16" s="120"/>
      <c r="F16" s="121"/>
      <c r="G16" s="120"/>
      <c r="H16" s="120"/>
      <c r="I16" s="164">
        <f t="shared" si="2"/>
        <v>0</v>
      </c>
      <c r="J16" s="99"/>
      <c r="K16" s="19"/>
      <c r="L16" s="19"/>
      <c r="M16" s="20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19"/>
      <c r="AB16" s="19"/>
      <c r="AC16" s="19"/>
      <c r="AD16" s="19"/>
      <c r="AE16" s="19"/>
      <c r="AF16" s="19"/>
      <c r="AG16" s="19"/>
      <c r="AH16" s="19"/>
      <c r="AI16" s="21"/>
      <c r="AJ16" s="21"/>
      <c r="AK16" s="6"/>
      <c r="AL16" s="6"/>
      <c r="AM16" s="6"/>
      <c r="AN16" s="6"/>
      <c r="AO16" s="6"/>
      <c r="AP16" s="6"/>
    </row>
    <row r="17" spans="1:42" ht="12.75" customHeight="1" hidden="1">
      <c r="A17" s="26" t="s">
        <v>12</v>
      </c>
      <c r="B17" s="18" t="s">
        <v>19</v>
      </c>
      <c r="C17" s="98"/>
      <c r="D17" s="22"/>
      <c r="E17" s="120"/>
      <c r="F17" s="121"/>
      <c r="G17" s="120"/>
      <c r="H17" s="120"/>
      <c r="I17" s="164">
        <f t="shared" si="2"/>
        <v>0</v>
      </c>
      <c r="J17" s="99"/>
      <c r="K17" s="19"/>
      <c r="L17" s="19"/>
      <c r="M17" s="20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19"/>
      <c r="AB17" s="19"/>
      <c r="AC17" s="19"/>
      <c r="AD17" s="19"/>
      <c r="AE17" s="19"/>
      <c r="AF17" s="19"/>
      <c r="AG17" s="19"/>
      <c r="AH17" s="19"/>
      <c r="AI17" s="21"/>
      <c r="AJ17" s="21"/>
      <c r="AK17" s="6"/>
      <c r="AL17" s="6"/>
      <c r="AM17" s="6"/>
      <c r="AN17" s="6"/>
      <c r="AO17" s="6"/>
      <c r="AP17" s="6"/>
    </row>
    <row r="18" spans="1:42" ht="12.75" customHeight="1" hidden="1">
      <c r="A18" s="26" t="s">
        <v>12</v>
      </c>
      <c r="B18" s="18" t="s">
        <v>20</v>
      </c>
      <c r="C18" s="100"/>
      <c r="D18" s="18"/>
      <c r="E18" s="120"/>
      <c r="F18" s="121"/>
      <c r="G18" s="120"/>
      <c r="H18" s="120"/>
      <c r="I18" s="164">
        <f t="shared" si="2"/>
        <v>0</v>
      </c>
      <c r="J18" s="99"/>
      <c r="K18" s="19"/>
      <c r="L18" s="19"/>
      <c r="M18" s="20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19"/>
      <c r="AB18" s="19"/>
      <c r="AC18" s="19"/>
      <c r="AD18" s="19"/>
      <c r="AE18" s="19"/>
      <c r="AF18" s="19"/>
      <c r="AG18" s="19"/>
      <c r="AH18" s="19"/>
      <c r="AI18" s="21"/>
      <c r="AJ18" s="21"/>
      <c r="AK18" s="6"/>
      <c r="AL18" s="6"/>
      <c r="AM18" s="6"/>
      <c r="AN18" s="6"/>
      <c r="AO18" s="6"/>
      <c r="AP18" s="6"/>
    </row>
    <row r="19" spans="1:42" ht="12.75" customHeight="1" hidden="1">
      <c r="A19" s="26" t="s">
        <v>12</v>
      </c>
      <c r="B19" s="18" t="s">
        <v>21</v>
      </c>
      <c r="C19" s="100"/>
      <c r="D19" s="18"/>
      <c r="E19" s="120"/>
      <c r="F19" s="121"/>
      <c r="G19" s="120"/>
      <c r="H19" s="120"/>
      <c r="I19" s="164">
        <f t="shared" si="2"/>
        <v>0</v>
      </c>
      <c r="J19" s="99"/>
      <c r="K19" s="19"/>
      <c r="L19" s="19"/>
      <c r="M19" s="20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19"/>
      <c r="AB19" s="19"/>
      <c r="AC19" s="19"/>
      <c r="AD19" s="19"/>
      <c r="AE19" s="19"/>
      <c r="AF19" s="19"/>
      <c r="AG19" s="19"/>
      <c r="AH19" s="19"/>
      <c r="AI19" s="21"/>
      <c r="AJ19" s="21"/>
      <c r="AK19" s="6"/>
      <c r="AL19" s="6"/>
      <c r="AM19" s="6"/>
      <c r="AN19" s="6"/>
      <c r="AO19" s="6"/>
      <c r="AP19" s="6"/>
    </row>
    <row r="20" spans="1:42" ht="12.75" customHeight="1" hidden="1">
      <c r="A20" s="26" t="s">
        <v>12</v>
      </c>
      <c r="B20" s="18" t="s">
        <v>22</v>
      </c>
      <c r="C20" s="98"/>
      <c r="D20" s="22"/>
      <c r="E20" s="120"/>
      <c r="F20" s="121"/>
      <c r="G20" s="120"/>
      <c r="H20" s="120"/>
      <c r="I20" s="164">
        <f t="shared" si="2"/>
        <v>0</v>
      </c>
      <c r="J20" s="99"/>
      <c r="K20" s="19"/>
      <c r="L20" s="19"/>
      <c r="M20" s="20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19"/>
      <c r="AB20" s="19"/>
      <c r="AC20" s="19"/>
      <c r="AD20" s="19"/>
      <c r="AE20" s="19"/>
      <c r="AF20" s="19"/>
      <c r="AG20" s="19"/>
      <c r="AH20" s="19"/>
      <c r="AI20" s="21"/>
      <c r="AJ20" s="21"/>
      <c r="AK20" s="6"/>
      <c r="AL20" s="6"/>
      <c r="AM20" s="6"/>
      <c r="AN20" s="6"/>
      <c r="AO20" s="6"/>
      <c r="AP20" s="6"/>
    </row>
    <row r="21" spans="1:42" ht="12.75" customHeight="1" hidden="1">
      <c r="A21" s="26" t="s">
        <v>12</v>
      </c>
      <c r="B21" s="18" t="s">
        <v>23</v>
      </c>
      <c r="C21" s="98"/>
      <c r="D21" s="22"/>
      <c r="E21" s="120"/>
      <c r="F21" s="121"/>
      <c r="G21" s="120"/>
      <c r="H21" s="120"/>
      <c r="I21" s="164">
        <f t="shared" si="2"/>
        <v>0</v>
      </c>
      <c r="J21" s="99"/>
      <c r="K21" s="19"/>
      <c r="L21" s="19"/>
      <c r="M21" s="20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19"/>
      <c r="AB21" s="19"/>
      <c r="AC21" s="19"/>
      <c r="AD21" s="19"/>
      <c r="AE21" s="19"/>
      <c r="AF21" s="19"/>
      <c r="AG21" s="19"/>
      <c r="AH21" s="19"/>
      <c r="AI21" s="21"/>
      <c r="AJ21" s="21"/>
      <c r="AK21" s="6"/>
      <c r="AL21" s="6"/>
      <c r="AM21" s="6"/>
      <c r="AN21" s="6"/>
      <c r="AO21" s="6"/>
      <c r="AP21" s="6"/>
    </row>
    <row r="22" spans="1:42" ht="12.75" customHeight="1" hidden="1">
      <c r="A22" s="26" t="s">
        <v>12</v>
      </c>
      <c r="B22" s="18" t="s">
        <v>24</v>
      </c>
      <c r="C22" s="98"/>
      <c r="D22" s="22"/>
      <c r="E22" s="120"/>
      <c r="F22" s="121"/>
      <c r="G22" s="120"/>
      <c r="H22" s="120"/>
      <c r="I22" s="164">
        <f t="shared" si="2"/>
        <v>0</v>
      </c>
      <c r="J22" s="99"/>
      <c r="K22" s="19"/>
      <c r="L22" s="19"/>
      <c r="M22" s="20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19"/>
      <c r="AB22" s="19"/>
      <c r="AC22" s="19"/>
      <c r="AD22" s="19"/>
      <c r="AE22" s="19"/>
      <c r="AF22" s="19"/>
      <c r="AG22" s="19"/>
      <c r="AH22" s="19"/>
      <c r="AI22" s="21"/>
      <c r="AJ22" s="21"/>
      <c r="AK22" s="6"/>
      <c r="AL22" s="6"/>
      <c r="AM22" s="6"/>
      <c r="AN22" s="6"/>
      <c r="AO22" s="6"/>
      <c r="AP22" s="6"/>
    </row>
    <row r="23" spans="1:42" ht="12.75" customHeight="1" hidden="1">
      <c r="A23" s="26" t="s">
        <v>12</v>
      </c>
      <c r="B23" s="18" t="s">
        <v>25</v>
      </c>
      <c r="C23" s="98"/>
      <c r="D23" s="22"/>
      <c r="E23" s="120"/>
      <c r="F23" s="121"/>
      <c r="G23" s="120"/>
      <c r="H23" s="120"/>
      <c r="I23" s="164">
        <f t="shared" si="2"/>
        <v>0</v>
      </c>
      <c r="J23" s="99"/>
      <c r="K23" s="19"/>
      <c r="L23" s="19"/>
      <c r="M23" s="20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19"/>
      <c r="AB23" s="19"/>
      <c r="AC23" s="19"/>
      <c r="AD23" s="19"/>
      <c r="AE23" s="19"/>
      <c r="AF23" s="19"/>
      <c r="AG23" s="19"/>
      <c r="AH23" s="19"/>
      <c r="AI23" s="21"/>
      <c r="AJ23" s="21"/>
      <c r="AK23" s="6"/>
      <c r="AL23" s="6"/>
      <c r="AM23" s="6"/>
      <c r="AN23" s="6"/>
      <c r="AO23" s="6"/>
      <c r="AP23" s="6"/>
    </row>
    <row r="24" spans="1:42" ht="12.75" customHeight="1" hidden="1">
      <c r="A24" s="26" t="s">
        <v>12</v>
      </c>
      <c r="B24" s="18" t="s">
        <v>26</v>
      </c>
      <c r="C24" s="98"/>
      <c r="D24" s="22"/>
      <c r="E24" s="120"/>
      <c r="F24" s="121"/>
      <c r="G24" s="120"/>
      <c r="H24" s="120"/>
      <c r="I24" s="164">
        <f t="shared" si="2"/>
        <v>0</v>
      </c>
      <c r="J24" s="99"/>
      <c r="K24" s="19"/>
      <c r="L24" s="19"/>
      <c r="M24" s="20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19"/>
      <c r="AB24" s="19"/>
      <c r="AC24" s="19"/>
      <c r="AD24" s="19"/>
      <c r="AE24" s="19"/>
      <c r="AF24" s="19"/>
      <c r="AG24" s="19"/>
      <c r="AH24" s="19"/>
      <c r="AI24" s="21"/>
      <c r="AJ24" s="21"/>
      <c r="AK24" s="6"/>
      <c r="AL24" s="6"/>
      <c r="AM24" s="6"/>
      <c r="AN24" s="6"/>
      <c r="AO24" s="6"/>
      <c r="AP24" s="6"/>
    </row>
    <row r="25" spans="1:42" ht="12.75" customHeight="1" hidden="1">
      <c r="A25" s="26" t="s">
        <v>12</v>
      </c>
      <c r="B25" s="18" t="s">
        <v>27</v>
      </c>
      <c r="C25" s="98"/>
      <c r="D25" s="22"/>
      <c r="E25" s="120"/>
      <c r="F25" s="121"/>
      <c r="G25" s="120"/>
      <c r="H25" s="120"/>
      <c r="I25" s="164">
        <f t="shared" si="2"/>
        <v>0</v>
      </c>
      <c r="J25" s="99"/>
      <c r="K25" s="19"/>
      <c r="L25" s="19"/>
      <c r="M25" s="20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19"/>
      <c r="AB25" s="19"/>
      <c r="AC25" s="19"/>
      <c r="AD25" s="19"/>
      <c r="AE25" s="19"/>
      <c r="AF25" s="19"/>
      <c r="AG25" s="19"/>
      <c r="AH25" s="19"/>
      <c r="AI25" s="21"/>
      <c r="AJ25" s="21"/>
      <c r="AK25" s="6"/>
      <c r="AL25" s="6"/>
      <c r="AM25" s="6"/>
      <c r="AN25" s="6"/>
      <c r="AO25" s="6"/>
      <c r="AP25" s="6"/>
    </row>
    <row r="26" spans="1:42" ht="12.75" customHeight="1" hidden="1">
      <c r="A26" s="26" t="s">
        <v>12</v>
      </c>
      <c r="B26" s="18" t="s">
        <v>28</v>
      </c>
      <c r="C26" s="98"/>
      <c r="D26" s="22"/>
      <c r="E26" s="120"/>
      <c r="F26" s="121"/>
      <c r="G26" s="120"/>
      <c r="H26" s="120"/>
      <c r="I26" s="164">
        <f t="shared" si="2"/>
        <v>0</v>
      </c>
      <c r="J26" s="99"/>
      <c r="K26" s="19"/>
      <c r="L26" s="19"/>
      <c r="M26" s="20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19"/>
      <c r="AB26" s="19"/>
      <c r="AC26" s="19"/>
      <c r="AD26" s="19"/>
      <c r="AE26" s="19"/>
      <c r="AF26" s="19"/>
      <c r="AG26" s="19"/>
      <c r="AH26" s="19"/>
      <c r="AI26" s="21"/>
      <c r="AJ26" s="21"/>
      <c r="AK26" s="6"/>
      <c r="AL26" s="6"/>
      <c r="AM26" s="6"/>
      <c r="AN26" s="6"/>
      <c r="AO26" s="6"/>
      <c r="AP26" s="6"/>
    </row>
    <row r="27" spans="1:42" ht="12.75" customHeight="1" hidden="1">
      <c r="A27" s="26" t="s">
        <v>12</v>
      </c>
      <c r="B27" s="18" t="s">
        <v>29</v>
      </c>
      <c r="C27" s="100"/>
      <c r="D27" s="18"/>
      <c r="E27" s="120"/>
      <c r="F27" s="121"/>
      <c r="G27" s="120"/>
      <c r="H27" s="120"/>
      <c r="I27" s="164">
        <f t="shared" si="2"/>
        <v>0</v>
      </c>
      <c r="J27" s="99"/>
      <c r="K27" s="19"/>
      <c r="L27" s="19"/>
      <c r="M27" s="20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19"/>
      <c r="AB27" s="19"/>
      <c r="AC27" s="19"/>
      <c r="AD27" s="19"/>
      <c r="AE27" s="19"/>
      <c r="AF27" s="19"/>
      <c r="AG27" s="19"/>
      <c r="AH27" s="19"/>
      <c r="AI27" s="21"/>
      <c r="AJ27" s="21"/>
      <c r="AK27" s="6"/>
      <c r="AL27" s="6"/>
      <c r="AM27" s="6"/>
      <c r="AN27" s="6"/>
      <c r="AO27" s="6"/>
      <c r="AP27" s="6"/>
    </row>
    <row r="28" spans="1:42" ht="12.75" customHeight="1" hidden="1">
      <c r="A28" s="26" t="s">
        <v>12</v>
      </c>
      <c r="B28" s="18" t="s">
        <v>30</v>
      </c>
      <c r="C28" s="98"/>
      <c r="D28" s="22"/>
      <c r="E28" s="120"/>
      <c r="F28" s="121"/>
      <c r="G28" s="120"/>
      <c r="H28" s="120"/>
      <c r="I28" s="164">
        <f t="shared" si="2"/>
        <v>0</v>
      </c>
      <c r="J28" s="99"/>
      <c r="K28" s="19"/>
      <c r="L28" s="19"/>
      <c r="M28" s="20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19"/>
      <c r="AB28" s="19"/>
      <c r="AC28" s="19"/>
      <c r="AD28" s="19"/>
      <c r="AE28" s="19"/>
      <c r="AF28" s="19"/>
      <c r="AG28" s="19"/>
      <c r="AH28" s="19"/>
      <c r="AI28" s="21"/>
      <c r="AJ28" s="21"/>
      <c r="AK28" s="6"/>
      <c r="AL28" s="6"/>
      <c r="AM28" s="6"/>
      <c r="AN28" s="6"/>
      <c r="AO28" s="6"/>
      <c r="AP28" s="6"/>
    </row>
    <row r="29" spans="1:42" ht="12.75" customHeight="1" hidden="1">
      <c r="A29" s="26" t="s">
        <v>12</v>
      </c>
      <c r="B29" s="18" t="s">
        <v>31</v>
      </c>
      <c r="C29" s="100"/>
      <c r="D29" s="18"/>
      <c r="E29" s="120"/>
      <c r="F29" s="121"/>
      <c r="G29" s="120"/>
      <c r="H29" s="120"/>
      <c r="I29" s="164">
        <f t="shared" si="2"/>
        <v>0</v>
      </c>
      <c r="J29" s="99"/>
      <c r="K29" s="19"/>
      <c r="L29" s="19"/>
      <c r="M29" s="20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19"/>
      <c r="AB29" s="19"/>
      <c r="AC29" s="19"/>
      <c r="AD29" s="19"/>
      <c r="AE29" s="19"/>
      <c r="AF29" s="19"/>
      <c r="AG29" s="19"/>
      <c r="AH29" s="19"/>
      <c r="AI29" s="21"/>
      <c r="AJ29" s="21"/>
      <c r="AK29" s="6"/>
      <c r="AL29" s="6"/>
      <c r="AM29" s="6"/>
      <c r="AN29" s="6"/>
      <c r="AO29" s="6"/>
      <c r="AP29" s="6"/>
    </row>
    <row r="30" spans="1:42" ht="12.75" customHeight="1" hidden="1">
      <c r="A30" s="26" t="s">
        <v>12</v>
      </c>
      <c r="B30" s="18" t="s">
        <v>32</v>
      </c>
      <c r="C30" s="27"/>
      <c r="D30" s="27"/>
      <c r="E30" s="120"/>
      <c r="F30" s="121"/>
      <c r="G30" s="120"/>
      <c r="H30" s="120"/>
      <c r="I30" s="164">
        <f t="shared" si="2"/>
        <v>0</v>
      </c>
      <c r="J30" s="99"/>
      <c r="K30" s="19"/>
      <c r="L30" s="19"/>
      <c r="M30" s="20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19"/>
      <c r="AB30" s="19"/>
      <c r="AC30" s="19"/>
      <c r="AD30" s="19"/>
      <c r="AE30" s="19"/>
      <c r="AF30" s="19"/>
      <c r="AG30" s="19"/>
      <c r="AH30" s="19"/>
      <c r="AI30" s="21"/>
      <c r="AJ30" s="21"/>
      <c r="AK30" s="6"/>
      <c r="AL30" s="6"/>
      <c r="AM30" s="6"/>
      <c r="AN30" s="6"/>
      <c r="AO30" s="6"/>
      <c r="AP30" s="6"/>
    </row>
    <row r="31" spans="1:42" ht="12.75" customHeight="1" hidden="1">
      <c r="A31" s="26" t="s">
        <v>12</v>
      </c>
      <c r="B31" s="18" t="s">
        <v>33</v>
      </c>
      <c r="C31" s="100"/>
      <c r="D31" s="18"/>
      <c r="E31" s="120"/>
      <c r="F31" s="121"/>
      <c r="G31" s="120"/>
      <c r="H31" s="120"/>
      <c r="I31" s="164">
        <f t="shared" si="2"/>
        <v>0</v>
      </c>
      <c r="J31" s="99"/>
      <c r="K31" s="19"/>
      <c r="L31" s="19"/>
      <c r="M31" s="20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19"/>
      <c r="AB31" s="19"/>
      <c r="AC31" s="19"/>
      <c r="AD31" s="19"/>
      <c r="AE31" s="19"/>
      <c r="AF31" s="19"/>
      <c r="AG31" s="19"/>
      <c r="AH31" s="19"/>
      <c r="AI31" s="21"/>
      <c r="AJ31" s="21"/>
      <c r="AK31" s="6"/>
      <c r="AL31" s="6"/>
      <c r="AM31" s="6"/>
      <c r="AN31" s="6"/>
      <c r="AO31" s="6"/>
      <c r="AP31" s="6"/>
    </row>
    <row r="32" spans="1:42" ht="12.75" customHeight="1" hidden="1">
      <c r="A32" s="26" t="s">
        <v>12</v>
      </c>
      <c r="B32" s="18" t="s">
        <v>34</v>
      </c>
      <c r="C32" s="98"/>
      <c r="D32" s="22"/>
      <c r="E32" s="120"/>
      <c r="F32" s="121"/>
      <c r="G32" s="120"/>
      <c r="H32" s="120"/>
      <c r="I32" s="164">
        <f t="shared" si="2"/>
        <v>0</v>
      </c>
      <c r="J32" s="99"/>
      <c r="K32" s="19"/>
      <c r="L32" s="19"/>
      <c r="M32" s="20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19"/>
      <c r="AB32" s="19"/>
      <c r="AC32" s="19"/>
      <c r="AD32" s="19"/>
      <c r="AE32" s="19"/>
      <c r="AF32" s="19"/>
      <c r="AG32" s="19"/>
      <c r="AH32" s="19"/>
      <c r="AI32" s="21"/>
      <c r="AJ32" s="21"/>
      <c r="AK32" s="6"/>
      <c r="AL32" s="6"/>
      <c r="AM32" s="6"/>
      <c r="AN32" s="6"/>
      <c r="AO32" s="6"/>
      <c r="AP32" s="6"/>
    </row>
    <row r="33" spans="1:42" ht="12.75" customHeight="1" hidden="1">
      <c r="A33" s="26" t="s">
        <v>12</v>
      </c>
      <c r="B33" s="18" t="s">
        <v>35</v>
      </c>
      <c r="C33" s="98"/>
      <c r="D33" s="22"/>
      <c r="E33" s="120"/>
      <c r="F33" s="121"/>
      <c r="G33" s="120"/>
      <c r="H33" s="120"/>
      <c r="I33" s="164">
        <f t="shared" si="2"/>
        <v>0</v>
      </c>
      <c r="J33" s="99"/>
      <c r="K33" s="19"/>
      <c r="L33" s="19"/>
      <c r="M33" s="20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19"/>
      <c r="AB33" s="19"/>
      <c r="AC33" s="19"/>
      <c r="AD33" s="19"/>
      <c r="AE33" s="19"/>
      <c r="AF33" s="19"/>
      <c r="AG33" s="19"/>
      <c r="AH33" s="19"/>
      <c r="AI33" s="21"/>
      <c r="AJ33" s="21"/>
      <c r="AK33" s="6"/>
      <c r="AL33" s="6"/>
      <c r="AM33" s="6"/>
      <c r="AN33" s="6"/>
      <c r="AO33" s="6"/>
      <c r="AP33" s="6"/>
    </row>
    <row r="34" spans="1:42" ht="12.75" customHeight="1" hidden="1">
      <c r="A34" s="26" t="s">
        <v>12</v>
      </c>
      <c r="B34" s="18" t="s">
        <v>36</v>
      </c>
      <c r="C34" s="98"/>
      <c r="D34" s="22"/>
      <c r="E34" s="120"/>
      <c r="F34" s="121"/>
      <c r="G34" s="120"/>
      <c r="H34" s="120"/>
      <c r="I34" s="164">
        <f t="shared" si="2"/>
        <v>0</v>
      </c>
      <c r="J34" s="99"/>
      <c r="K34" s="19"/>
      <c r="L34" s="19"/>
      <c r="M34" s="20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19"/>
      <c r="AB34" s="19"/>
      <c r="AC34" s="19"/>
      <c r="AD34" s="19"/>
      <c r="AE34" s="19"/>
      <c r="AF34" s="19"/>
      <c r="AG34" s="19"/>
      <c r="AH34" s="19"/>
      <c r="AI34" s="21"/>
      <c r="AJ34" s="21"/>
      <c r="AK34" s="6"/>
      <c r="AL34" s="6"/>
      <c r="AM34" s="6"/>
      <c r="AN34" s="6"/>
      <c r="AO34" s="6"/>
      <c r="AP34" s="6"/>
    </row>
    <row r="35" spans="1:42" ht="12.75" customHeight="1" hidden="1">
      <c r="A35" s="26" t="s">
        <v>12</v>
      </c>
      <c r="B35" s="18" t="s">
        <v>37</v>
      </c>
      <c r="C35" s="98"/>
      <c r="D35" s="22"/>
      <c r="E35" s="120"/>
      <c r="F35" s="121"/>
      <c r="G35" s="120"/>
      <c r="H35" s="120"/>
      <c r="I35" s="164">
        <f t="shared" si="2"/>
        <v>0</v>
      </c>
      <c r="J35" s="99"/>
      <c r="K35" s="19"/>
      <c r="L35" s="19"/>
      <c r="M35" s="20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19"/>
      <c r="AB35" s="19"/>
      <c r="AC35" s="19"/>
      <c r="AD35" s="19"/>
      <c r="AE35" s="19"/>
      <c r="AF35" s="19"/>
      <c r="AG35" s="19"/>
      <c r="AH35" s="19"/>
      <c r="AI35" s="21"/>
      <c r="AJ35" s="21"/>
      <c r="AK35" s="6"/>
      <c r="AL35" s="6"/>
      <c r="AM35" s="6"/>
      <c r="AN35" s="6"/>
      <c r="AO35" s="6"/>
      <c r="AP35" s="6"/>
    </row>
    <row r="36" spans="1:42" ht="12.75" customHeight="1" hidden="1">
      <c r="A36" s="26" t="s">
        <v>12</v>
      </c>
      <c r="B36" s="18" t="s">
        <v>38</v>
      </c>
      <c r="C36" s="98"/>
      <c r="D36" s="22"/>
      <c r="E36" s="120"/>
      <c r="F36" s="121"/>
      <c r="G36" s="120"/>
      <c r="H36" s="120"/>
      <c r="I36" s="164">
        <f t="shared" si="2"/>
        <v>0</v>
      </c>
      <c r="J36" s="99"/>
      <c r="K36" s="19"/>
      <c r="L36" s="19"/>
      <c r="M36" s="20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19"/>
      <c r="AB36" s="19"/>
      <c r="AC36" s="19"/>
      <c r="AD36" s="19"/>
      <c r="AE36" s="19"/>
      <c r="AF36" s="19"/>
      <c r="AG36" s="19"/>
      <c r="AH36" s="19"/>
      <c r="AI36" s="21"/>
      <c r="AJ36" s="21"/>
      <c r="AK36" s="6"/>
      <c r="AL36" s="6"/>
      <c r="AM36" s="6"/>
      <c r="AN36" s="6"/>
      <c r="AO36" s="6"/>
      <c r="AP36" s="6"/>
    </row>
    <row r="37" spans="1:42" ht="12.75" customHeight="1" hidden="1">
      <c r="A37" s="26" t="s">
        <v>12</v>
      </c>
      <c r="B37" s="18" t="s">
        <v>39</v>
      </c>
      <c r="C37" s="98"/>
      <c r="D37" s="22"/>
      <c r="E37" s="120"/>
      <c r="F37" s="121"/>
      <c r="G37" s="120"/>
      <c r="H37" s="120"/>
      <c r="I37" s="164">
        <f t="shared" si="2"/>
        <v>0</v>
      </c>
      <c r="J37" s="99"/>
      <c r="K37" s="19"/>
      <c r="L37" s="19"/>
      <c r="M37" s="20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19"/>
      <c r="AB37" s="19"/>
      <c r="AC37" s="19"/>
      <c r="AD37" s="19"/>
      <c r="AE37" s="19"/>
      <c r="AF37" s="19"/>
      <c r="AG37" s="19"/>
      <c r="AH37" s="19"/>
      <c r="AI37" s="21"/>
      <c r="AJ37" s="21"/>
      <c r="AK37" s="6"/>
      <c r="AL37" s="6"/>
      <c r="AM37" s="6"/>
      <c r="AN37" s="6"/>
      <c r="AO37" s="6"/>
      <c r="AP37" s="6"/>
    </row>
    <row r="38" spans="1:42" ht="12.75" customHeight="1" hidden="1">
      <c r="A38" s="26" t="s">
        <v>12</v>
      </c>
      <c r="B38" s="18" t="s">
        <v>40</v>
      </c>
      <c r="C38" s="98"/>
      <c r="D38" s="22"/>
      <c r="E38" s="120"/>
      <c r="F38" s="121"/>
      <c r="G38" s="120"/>
      <c r="H38" s="120"/>
      <c r="I38" s="164">
        <f t="shared" si="2"/>
        <v>0</v>
      </c>
      <c r="J38" s="99"/>
      <c r="K38" s="19"/>
      <c r="L38" s="19"/>
      <c r="M38" s="20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19"/>
      <c r="AB38" s="19"/>
      <c r="AC38" s="19"/>
      <c r="AD38" s="19"/>
      <c r="AE38" s="19"/>
      <c r="AF38" s="19"/>
      <c r="AG38" s="19"/>
      <c r="AH38" s="19"/>
      <c r="AI38" s="21"/>
      <c r="AJ38" s="21"/>
      <c r="AK38" s="6"/>
      <c r="AL38" s="6"/>
      <c r="AM38" s="6"/>
      <c r="AN38" s="6"/>
      <c r="AO38" s="6"/>
      <c r="AP38" s="6"/>
    </row>
    <row r="39" spans="1:42" ht="12.75" customHeight="1" hidden="1">
      <c r="A39" s="26" t="s">
        <v>12</v>
      </c>
      <c r="B39" s="18" t="s">
        <v>41</v>
      </c>
      <c r="C39" s="98"/>
      <c r="D39" s="22"/>
      <c r="E39" s="120"/>
      <c r="F39" s="121"/>
      <c r="G39" s="120"/>
      <c r="H39" s="120"/>
      <c r="I39" s="164">
        <f t="shared" si="2"/>
        <v>0</v>
      </c>
      <c r="J39" s="99"/>
      <c r="K39" s="19"/>
      <c r="L39" s="19"/>
      <c r="M39" s="20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19"/>
      <c r="AB39" s="19"/>
      <c r="AC39" s="19"/>
      <c r="AD39" s="19"/>
      <c r="AE39" s="19"/>
      <c r="AF39" s="19"/>
      <c r="AG39" s="19"/>
      <c r="AH39" s="19"/>
      <c r="AI39" s="21"/>
      <c r="AJ39" s="21"/>
      <c r="AK39" s="6"/>
      <c r="AL39" s="6"/>
      <c r="AM39" s="6"/>
      <c r="AN39" s="6"/>
      <c r="AO39" s="6"/>
      <c r="AP39" s="6"/>
    </row>
    <row r="40" spans="1:42" ht="12.75" customHeight="1" hidden="1">
      <c r="A40" s="26" t="s">
        <v>12</v>
      </c>
      <c r="B40" s="18" t="s">
        <v>42</v>
      </c>
      <c r="C40" s="98"/>
      <c r="D40" s="22"/>
      <c r="E40" s="120"/>
      <c r="F40" s="121"/>
      <c r="G40" s="120"/>
      <c r="H40" s="120"/>
      <c r="I40" s="164">
        <f t="shared" si="2"/>
        <v>0</v>
      </c>
      <c r="J40" s="99"/>
      <c r="K40" s="19"/>
      <c r="L40" s="19"/>
      <c r="M40" s="20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19"/>
      <c r="AB40" s="19"/>
      <c r="AC40" s="19"/>
      <c r="AD40" s="19"/>
      <c r="AE40" s="19"/>
      <c r="AF40" s="19"/>
      <c r="AG40" s="19"/>
      <c r="AH40" s="19"/>
      <c r="AI40" s="21"/>
      <c r="AJ40" s="21"/>
      <c r="AK40" s="6"/>
      <c r="AL40" s="6"/>
      <c r="AM40" s="6"/>
      <c r="AN40" s="6"/>
      <c r="AO40" s="6"/>
      <c r="AP40" s="6"/>
    </row>
    <row r="41" spans="1:42" ht="12.75" customHeight="1" hidden="1">
      <c r="A41" s="26" t="s">
        <v>12</v>
      </c>
      <c r="B41" s="18" t="s">
        <v>43</v>
      </c>
      <c r="C41" s="98"/>
      <c r="D41" s="22"/>
      <c r="E41" s="120"/>
      <c r="F41" s="121"/>
      <c r="G41" s="120"/>
      <c r="H41" s="120"/>
      <c r="I41" s="164">
        <f t="shared" si="2"/>
        <v>0</v>
      </c>
      <c r="J41" s="99"/>
      <c r="K41" s="19"/>
      <c r="L41" s="19"/>
      <c r="M41" s="20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19"/>
      <c r="AB41" s="19"/>
      <c r="AC41" s="19"/>
      <c r="AD41" s="19"/>
      <c r="AE41" s="19"/>
      <c r="AF41" s="19"/>
      <c r="AG41" s="19"/>
      <c r="AH41" s="19"/>
      <c r="AI41" s="21"/>
      <c r="AJ41" s="21"/>
      <c r="AK41" s="6"/>
      <c r="AL41" s="6"/>
      <c r="AM41" s="6"/>
      <c r="AN41" s="6"/>
      <c r="AO41" s="6"/>
      <c r="AP41" s="6"/>
    </row>
    <row r="42" spans="1:42" ht="12.75" customHeight="1" hidden="1">
      <c r="A42" s="26" t="s">
        <v>12</v>
      </c>
      <c r="B42" s="18" t="s">
        <v>44</v>
      </c>
      <c r="C42" s="100"/>
      <c r="D42" s="18"/>
      <c r="E42" s="120"/>
      <c r="F42" s="121"/>
      <c r="G42" s="120"/>
      <c r="H42" s="120"/>
      <c r="I42" s="164">
        <f t="shared" si="2"/>
        <v>0</v>
      </c>
      <c r="J42" s="99"/>
      <c r="K42" s="19"/>
      <c r="L42" s="19"/>
      <c r="M42" s="20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19"/>
      <c r="AB42" s="19"/>
      <c r="AC42" s="19"/>
      <c r="AD42" s="19"/>
      <c r="AE42" s="19"/>
      <c r="AF42" s="19"/>
      <c r="AG42" s="19"/>
      <c r="AH42" s="19"/>
      <c r="AI42" s="21"/>
      <c r="AJ42" s="21"/>
      <c r="AK42" s="6"/>
      <c r="AL42" s="6"/>
      <c r="AM42" s="6"/>
      <c r="AN42" s="6"/>
      <c r="AO42" s="6"/>
      <c r="AP42" s="6"/>
    </row>
    <row r="43" spans="1:42" ht="12.75" customHeight="1" hidden="1">
      <c r="A43" s="26" t="s">
        <v>12</v>
      </c>
      <c r="B43" s="18" t="s">
        <v>45</v>
      </c>
      <c r="C43" s="100"/>
      <c r="D43" s="18"/>
      <c r="E43" s="120"/>
      <c r="F43" s="121"/>
      <c r="G43" s="120"/>
      <c r="H43" s="120"/>
      <c r="I43" s="164">
        <f t="shared" si="2"/>
        <v>0</v>
      </c>
      <c r="J43" s="99"/>
      <c r="K43" s="19"/>
      <c r="L43" s="19"/>
      <c r="M43" s="20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19"/>
      <c r="AB43" s="19"/>
      <c r="AC43" s="19"/>
      <c r="AD43" s="19"/>
      <c r="AE43" s="19"/>
      <c r="AF43" s="19"/>
      <c r="AG43" s="19"/>
      <c r="AH43" s="19"/>
      <c r="AI43" s="21"/>
      <c r="AJ43" s="21"/>
      <c r="AK43" s="6"/>
      <c r="AL43" s="6"/>
      <c r="AM43" s="6"/>
      <c r="AN43" s="6"/>
      <c r="AO43" s="6"/>
      <c r="AP43" s="6"/>
    </row>
    <row r="44" spans="1:42" ht="12.75" customHeight="1" hidden="1">
      <c r="A44" s="26" t="s">
        <v>12</v>
      </c>
      <c r="B44" s="18" t="s">
        <v>46</v>
      </c>
      <c r="C44" s="100"/>
      <c r="D44" s="18"/>
      <c r="E44" s="120"/>
      <c r="F44" s="121"/>
      <c r="G44" s="120"/>
      <c r="H44" s="120"/>
      <c r="I44" s="164">
        <f t="shared" si="2"/>
        <v>0</v>
      </c>
      <c r="J44" s="99"/>
      <c r="K44" s="19"/>
      <c r="L44" s="19"/>
      <c r="M44" s="20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19"/>
      <c r="AB44" s="19"/>
      <c r="AC44" s="19"/>
      <c r="AD44" s="19"/>
      <c r="AE44" s="19"/>
      <c r="AF44" s="19"/>
      <c r="AG44" s="19"/>
      <c r="AH44" s="19"/>
      <c r="AI44" s="21"/>
      <c r="AJ44" s="21"/>
      <c r="AK44" s="6"/>
      <c r="AL44" s="6"/>
      <c r="AM44" s="6"/>
      <c r="AN44" s="6"/>
      <c r="AO44" s="6"/>
      <c r="AP44" s="6"/>
    </row>
    <row r="45" spans="1:42" ht="12.75" customHeight="1" hidden="1">
      <c r="A45" s="26" t="s">
        <v>12</v>
      </c>
      <c r="B45" s="18" t="s">
        <v>47</v>
      </c>
      <c r="C45" s="98"/>
      <c r="D45" s="22"/>
      <c r="E45" s="120"/>
      <c r="F45" s="121"/>
      <c r="G45" s="120"/>
      <c r="H45" s="120"/>
      <c r="I45" s="164">
        <f t="shared" si="2"/>
        <v>0</v>
      </c>
      <c r="J45" s="99"/>
      <c r="K45" s="19"/>
      <c r="L45" s="19"/>
      <c r="M45" s="20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19"/>
      <c r="AB45" s="19"/>
      <c r="AC45" s="19"/>
      <c r="AD45" s="19"/>
      <c r="AE45" s="19"/>
      <c r="AF45" s="19"/>
      <c r="AG45" s="19"/>
      <c r="AH45" s="19"/>
      <c r="AI45" s="21"/>
      <c r="AJ45" s="21"/>
      <c r="AK45" s="6"/>
      <c r="AL45" s="6"/>
      <c r="AM45" s="6"/>
      <c r="AN45" s="6"/>
      <c r="AO45" s="6"/>
      <c r="AP45" s="6"/>
    </row>
    <row r="46" spans="1:42" ht="12.75" customHeight="1" hidden="1">
      <c r="A46" s="26" t="s">
        <v>12</v>
      </c>
      <c r="B46" s="18" t="s">
        <v>48</v>
      </c>
      <c r="C46" s="98"/>
      <c r="D46" s="22"/>
      <c r="E46" s="120"/>
      <c r="F46" s="121"/>
      <c r="G46" s="120"/>
      <c r="H46" s="120"/>
      <c r="I46" s="164">
        <f t="shared" si="2"/>
        <v>0</v>
      </c>
      <c r="J46" s="99"/>
      <c r="K46" s="19"/>
      <c r="L46" s="19"/>
      <c r="M46" s="20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19"/>
      <c r="AB46" s="19"/>
      <c r="AC46" s="19"/>
      <c r="AD46" s="19"/>
      <c r="AE46" s="19"/>
      <c r="AF46" s="19"/>
      <c r="AG46" s="19"/>
      <c r="AH46" s="19"/>
      <c r="AI46" s="21"/>
      <c r="AJ46" s="21"/>
      <c r="AK46" s="6"/>
      <c r="AL46" s="6"/>
      <c r="AM46" s="6"/>
      <c r="AN46" s="6"/>
      <c r="AO46" s="6"/>
      <c r="AP46" s="6"/>
    </row>
    <row r="47" spans="1:42" ht="12.75" customHeight="1" hidden="1">
      <c r="A47" s="26" t="s">
        <v>12</v>
      </c>
      <c r="B47" s="18" t="s">
        <v>49</v>
      </c>
      <c r="C47" s="98"/>
      <c r="D47" s="22"/>
      <c r="E47" s="120"/>
      <c r="F47" s="121"/>
      <c r="G47" s="120"/>
      <c r="H47" s="120"/>
      <c r="I47" s="164">
        <f t="shared" si="2"/>
        <v>0</v>
      </c>
      <c r="J47" s="99"/>
      <c r="K47" s="19"/>
      <c r="L47" s="19"/>
      <c r="M47" s="20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19"/>
      <c r="AB47" s="19"/>
      <c r="AC47" s="19"/>
      <c r="AD47" s="19"/>
      <c r="AE47" s="19"/>
      <c r="AF47" s="19"/>
      <c r="AG47" s="19"/>
      <c r="AH47" s="19"/>
      <c r="AI47" s="21"/>
      <c r="AJ47" s="21"/>
      <c r="AK47" s="6"/>
      <c r="AL47" s="6"/>
      <c r="AM47" s="6"/>
      <c r="AN47" s="6"/>
      <c r="AO47" s="6"/>
      <c r="AP47" s="6"/>
    </row>
    <row r="48" spans="1:42" ht="12.75" customHeight="1" hidden="1">
      <c r="A48" s="26" t="s">
        <v>12</v>
      </c>
      <c r="B48" s="18" t="s">
        <v>50</v>
      </c>
      <c r="C48" s="98"/>
      <c r="D48" s="22"/>
      <c r="E48" s="120"/>
      <c r="F48" s="121"/>
      <c r="G48" s="120"/>
      <c r="H48" s="120"/>
      <c r="I48" s="164">
        <f t="shared" si="2"/>
        <v>0</v>
      </c>
      <c r="J48" s="99"/>
      <c r="K48" s="19"/>
      <c r="L48" s="19"/>
      <c r="M48" s="20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19"/>
      <c r="AB48" s="19"/>
      <c r="AC48" s="19"/>
      <c r="AD48" s="19"/>
      <c r="AE48" s="19"/>
      <c r="AF48" s="19"/>
      <c r="AG48" s="19"/>
      <c r="AH48" s="19"/>
      <c r="AI48" s="21"/>
      <c r="AJ48" s="21"/>
      <c r="AK48" s="6"/>
      <c r="AL48" s="6"/>
      <c r="AM48" s="6"/>
      <c r="AN48" s="6"/>
      <c r="AO48" s="6"/>
      <c r="AP48" s="6"/>
    </row>
    <row r="49" spans="1:42" ht="12.75" customHeight="1" hidden="1">
      <c r="A49" s="26" t="s">
        <v>12</v>
      </c>
      <c r="B49" s="18" t="s">
        <v>51</v>
      </c>
      <c r="C49" s="98"/>
      <c r="D49" s="22"/>
      <c r="E49" s="120"/>
      <c r="F49" s="121"/>
      <c r="G49" s="120"/>
      <c r="H49" s="120"/>
      <c r="I49" s="164">
        <f t="shared" si="2"/>
        <v>0</v>
      </c>
      <c r="J49" s="99"/>
      <c r="K49" s="19"/>
      <c r="L49" s="19"/>
      <c r="M49" s="20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19"/>
      <c r="AB49" s="19"/>
      <c r="AC49" s="19"/>
      <c r="AD49" s="19"/>
      <c r="AE49" s="19"/>
      <c r="AF49" s="19"/>
      <c r="AG49" s="19"/>
      <c r="AH49" s="19"/>
      <c r="AI49" s="21"/>
      <c r="AJ49" s="21"/>
      <c r="AK49" s="6"/>
      <c r="AL49" s="6"/>
      <c r="AM49" s="6"/>
      <c r="AN49" s="6"/>
      <c r="AO49" s="6"/>
      <c r="AP49" s="6"/>
    </row>
    <row r="50" spans="1:42" ht="12.75" customHeight="1" hidden="1">
      <c r="A50" s="26" t="s">
        <v>12</v>
      </c>
      <c r="B50" s="18" t="s">
        <v>52</v>
      </c>
      <c r="C50" s="100"/>
      <c r="D50" s="18"/>
      <c r="E50" s="120"/>
      <c r="F50" s="121"/>
      <c r="G50" s="120"/>
      <c r="H50" s="120"/>
      <c r="I50" s="164">
        <f t="shared" si="2"/>
        <v>0</v>
      </c>
      <c r="J50" s="99"/>
      <c r="K50" s="19"/>
      <c r="L50" s="19"/>
      <c r="M50" s="20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19"/>
      <c r="AB50" s="19"/>
      <c r="AC50" s="19"/>
      <c r="AD50" s="19"/>
      <c r="AE50" s="19"/>
      <c r="AF50" s="19"/>
      <c r="AG50" s="19"/>
      <c r="AH50" s="19"/>
      <c r="AI50" s="21"/>
      <c r="AJ50" s="21"/>
      <c r="AK50" s="6"/>
      <c r="AL50" s="6"/>
      <c r="AM50" s="6"/>
      <c r="AN50" s="6"/>
      <c r="AO50" s="6"/>
      <c r="AP50" s="6"/>
    </row>
    <row r="51" spans="1:42" ht="12.75" customHeight="1" hidden="1">
      <c r="A51" s="26" t="s">
        <v>12</v>
      </c>
      <c r="B51" s="18" t="s">
        <v>53</v>
      </c>
      <c r="C51" s="98"/>
      <c r="D51" s="22"/>
      <c r="E51" s="120"/>
      <c r="F51" s="121"/>
      <c r="G51" s="120"/>
      <c r="H51" s="120"/>
      <c r="I51" s="164">
        <f t="shared" si="2"/>
        <v>0</v>
      </c>
      <c r="J51" s="99"/>
      <c r="K51" s="19"/>
      <c r="L51" s="19"/>
      <c r="M51" s="20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19"/>
      <c r="AB51" s="19"/>
      <c r="AC51" s="19"/>
      <c r="AD51" s="19"/>
      <c r="AE51" s="19"/>
      <c r="AF51" s="19"/>
      <c r="AG51" s="19"/>
      <c r="AH51" s="19"/>
      <c r="AI51" s="21"/>
      <c r="AJ51" s="21"/>
      <c r="AK51" s="6"/>
      <c r="AL51" s="6"/>
      <c r="AM51" s="6"/>
      <c r="AN51" s="6"/>
      <c r="AO51" s="6"/>
      <c r="AP51" s="6"/>
    </row>
    <row r="52" spans="1:42" ht="12.75" customHeight="1" hidden="1">
      <c r="A52" s="26" t="s">
        <v>12</v>
      </c>
      <c r="B52" s="18" t="s">
        <v>54</v>
      </c>
      <c r="C52" s="98"/>
      <c r="D52" s="22"/>
      <c r="E52" s="120"/>
      <c r="F52" s="121"/>
      <c r="G52" s="120"/>
      <c r="H52" s="120"/>
      <c r="I52" s="164">
        <f t="shared" si="2"/>
        <v>0</v>
      </c>
      <c r="J52" s="99"/>
      <c r="K52" s="19"/>
      <c r="L52" s="19"/>
      <c r="M52" s="20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19"/>
      <c r="AB52" s="19"/>
      <c r="AC52" s="19"/>
      <c r="AD52" s="19"/>
      <c r="AE52" s="19"/>
      <c r="AF52" s="19"/>
      <c r="AG52" s="19"/>
      <c r="AH52" s="19"/>
      <c r="AI52" s="21"/>
      <c r="AJ52" s="21"/>
      <c r="AK52" s="6"/>
      <c r="AL52" s="6"/>
      <c r="AM52" s="6"/>
      <c r="AN52" s="6"/>
      <c r="AO52" s="6"/>
      <c r="AP52" s="6"/>
    </row>
    <row r="53" spans="1:42" ht="12.75" customHeight="1" hidden="1">
      <c r="A53" s="26" t="s">
        <v>12</v>
      </c>
      <c r="B53" s="18" t="s">
        <v>55</v>
      </c>
      <c r="C53" s="98"/>
      <c r="D53" s="22"/>
      <c r="E53" s="120"/>
      <c r="F53" s="121"/>
      <c r="G53" s="120"/>
      <c r="H53" s="120"/>
      <c r="I53" s="164">
        <f t="shared" si="2"/>
        <v>0</v>
      </c>
      <c r="J53" s="99"/>
      <c r="K53" s="19"/>
      <c r="L53" s="19"/>
      <c r="M53" s="20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19"/>
      <c r="AB53" s="19"/>
      <c r="AC53" s="19"/>
      <c r="AD53" s="19"/>
      <c r="AE53" s="19"/>
      <c r="AF53" s="19"/>
      <c r="AG53" s="19"/>
      <c r="AH53" s="19"/>
      <c r="AI53" s="21"/>
      <c r="AJ53" s="21"/>
      <c r="AK53" s="6"/>
      <c r="AL53" s="6"/>
      <c r="AM53" s="6"/>
      <c r="AN53" s="6"/>
      <c r="AO53" s="6"/>
      <c r="AP53" s="6"/>
    </row>
    <row r="54" spans="1:42" ht="12.75" customHeight="1" hidden="1">
      <c r="A54" s="26" t="s">
        <v>12</v>
      </c>
      <c r="B54" s="18" t="s">
        <v>56</v>
      </c>
      <c r="C54" s="98"/>
      <c r="D54" s="22"/>
      <c r="E54" s="120"/>
      <c r="F54" s="121"/>
      <c r="G54" s="120"/>
      <c r="H54" s="120"/>
      <c r="I54" s="164">
        <f t="shared" si="2"/>
        <v>0</v>
      </c>
      <c r="J54" s="99"/>
      <c r="K54" s="19"/>
      <c r="L54" s="19"/>
      <c r="M54" s="20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19"/>
      <c r="AB54" s="19"/>
      <c r="AC54" s="19"/>
      <c r="AD54" s="19"/>
      <c r="AE54" s="19"/>
      <c r="AF54" s="19"/>
      <c r="AG54" s="19"/>
      <c r="AH54" s="19"/>
      <c r="AI54" s="21"/>
      <c r="AJ54" s="21"/>
      <c r="AK54" s="6"/>
      <c r="AL54" s="6"/>
      <c r="AM54" s="6"/>
      <c r="AN54" s="6"/>
      <c r="AO54" s="6"/>
      <c r="AP54" s="6"/>
    </row>
    <row r="55" spans="1:42" s="1" customFormat="1" ht="12.75" customHeight="1" hidden="1">
      <c r="A55" s="28" t="s">
        <v>57</v>
      </c>
      <c r="B55" s="29"/>
      <c r="C55" s="101"/>
      <c r="D55" s="101"/>
      <c r="E55" s="122">
        <f aca="true" t="shared" si="3" ref="E55:J55">SUM(E11:E54)</f>
        <v>0</v>
      </c>
      <c r="F55" s="123"/>
      <c r="G55" s="123">
        <v>0</v>
      </c>
      <c r="H55" s="123">
        <v>0</v>
      </c>
      <c r="I55" s="102">
        <f t="shared" si="3"/>
        <v>0</v>
      </c>
      <c r="J55" s="103">
        <f t="shared" si="3"/>
        <v>0</v>
      </c>
      <c r="K55" s="21"/>
      <c r="L55" s="19"/>
      <c r="M55" s="24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8"/>
      <c r="AL55" s="8"/>
      <c r="AM55" s="8"/>
      <c r="AN55" s="8"/>
      <c r="AO55" s="8"/>
      <c r="AP55" s="8"/>
    </row>
    <row r="56" spans="1:42" ht="22.5">
      <c r="A56" s="72" t="s">
        <v>58</v>
      </c>
      <c r="B56" s="74" t="s">
        <v>66</v>
      </c>
      <c r="C56" s="93">
        <v>861</v>
      </c>
      <c r="D56" s="73" t="s">
        <v>5</v>
      </c>
      <c r="E56" s="134" t="s">
        <v>175</v>
      </c>
      <c r="F56" s="115">
        <v>0</v>
      </c>
      <c r="G56" s="114">
        <v>9478.27</v>
      </c>
      <c r="H56" s="114">
        <v>56769.47</v>
      </c>
      <c r="I56" s="161">
        <f aca="true" t="shared" si="4" ref="I56:I78">SUM(E56:H56)</f>
        <v>66247.74</v>
      </c>
      <c r="J56" s="129">
        <v>164498.94</v>
      </c>
      <c r="K56" s="19"/>
      <c r="L56" s="19"/>
      <c r="M56" s="20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19"/>
      <c r="AB56" s="19"/>
      <c r="AC56" s="19"/>
      <c r="AD56" s="19"/>
      <c r="AE56" s="19"/>
      <c r="AF56" s="19"/>
      <c r="AG56" s="19"/>
      <c r="AH56" s="19"/>
      <c r="AI56" s="21"/>
      <c r="AJ56" s="21"/>
      <c r="AK56" s="6"/>
      <c r="AL56" s="6"/>
      <c r="AM56" s="6"/>
      <c r="AN56" s="6"/>
      <c r="AO56" s="6"/>
      <c r="AP56" s="6"/>
    </row>
    <row r="57" spans="1:42" ht="12.75">
      <c r="A57" s="72" t="s">
        <v>58</v>
      </c>
      <c r="B57" s="74" t="s">
        <v>60</v>
      </c>
      <c r="C57" s="93">
        <v>862</v>
      </c>
      <c r="D57" s="73" t="s">
        <v>5</v>
      </c>
      <c r="E57" s="124">
        <v>0.22999999999956344</v>
      </c>
      <c r="F57" s="115">
        <v>2259.67</v>
      </c>
      <c r="G57" s="114">
        <v>10769.78</v>
      </c>
      <c r="H57" s="114">
        <v>47417.88</v>
      </c>
      <c r="I57" s="161">
        <f t="shared" si="4"/>
        <v>60447.56</v>
      </c>
      <c r="J57" s="129">
        <v>59733.01</v>
      </c>
      <c r="K57" s="19"/>
      <c r="L57" s="19"/>
      <c r="M57" s="20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19"/>
      <c r="AB57" s="19"/>
      <c r="AC57" s="19"/>
      <c r="AD57" s="19"/>
      <c r="AE57" s="19"/>
      <c r="AF57" s="19"/>
      <c r="AG57" s="19"/>
      <c r="AH57" s="19"/>
      <c r="AI57" s="21"/>
      <c r="AJ57" s="21"/>
      <c r="AK57" s="6"/>
      <c r="AL57" s="6"/>
      <c r="AM57" s="6"/>
      <c r="AN57" s="6"/>
      <c r="AO57" s="6"/>
      <c r="AP57" s="6"/>
    </row>
    <row r="58" spans="1:42" ht="22.5">
      <c r="A58" s="72" t="s">
        <v>58</v>
      </c>
      <c r="B58" s="74" t="s">
        <v>64</v>
      </c>
      <c r="C58" s="93">
        <v>863</v>
      </c>
      <c r="D58" s="73" t="s">
        <v>5</v>
      </c>
      <c r="E58" s="134" t="s">
        <v>175</v>
      </c>
      <c r="F58" s="115">
        <v>1703.57</v>
      </c>
      <c r="G58" s="114">
        <v>7610.89</v>
      </c>
      <c r="H58" s="114">
        <v>17716.24</v>
      </c>
      <c r="I58" s="161">
        <f t="shared" si="4"/>
        <v>27030.700000000004</v>
      </c>
      <c r="J58" s="129">
        <v>760.52</v>
      </c>
      <c r="K58" s="19"/>
      <c r="L58" s="19"/>
      <c r="M58" s="20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19"/>
      <c r="AB58" s="19"/>
      <c r="AC58" s="19"/>
      <c r="AD58" s="19"/>
      <c r="AE58" s="19"/>
      <c r="AF58" s="19"/>
      <c r="AG58" s="19"/>
      <c r="AH58" s="19"/>
      <c r="AI58" s="21"/>
      <c r="AJ58" s="21"/>
      <c r="AK58" s="6"/>
      <c r="AL58" s="6"/>
      <c r="AM58" s="6"/>
      <c r="AN58" s="6"/>
      <c r="AO58" s="6"/>
      <c r="AP58" s="6"/>
    </row>
    <row r="59" spans="1:42" ht="22.5">
      <c r="A59" s="72" t="s">
        <v>58</v>
      </c>
      <c r="B59" s="74" t="s">
        <v>76</v>
      </c>
      <c r="C59" s="93">
        <v>864</v>
      </c>
      <c r="D59" s="73" t="s">
        <v>5</v>
      </c>
      <c r="E59" s="135" t="s">
        <v>176</v>
      </c>
      <c r="F59" s="115">
        <v>1541.41</v>
      </c>
      <c r="G59" s="114">
        <v>6448.91</v>
      </c>
      <c r="H59" s="114">
        <v>38526.95</v>
      </c>
      <c r="I59" s="161">
        <f t="shared" si="4"/>
        <v>46517.27</v>
      </c>
      <c r="J59" s="129">
        <v>26403.65</v>
      </c>
      <c r="K59" s="19"/>
      <c r="L59" s="19"/>
      <c r="M59" s="20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19"/>
      <c r="AB59" s="19"/>
      <c r="AC59" s="19"/>
      <c r="AD59" s="19"/>
      <c r="AE59" s="19"/>
      <c r="AF59" s="19"/>
      <c r="AG59" s="19"/>
      <c r="AH59" s="19"/>
      <c r="AI59" s="21"/>
      <c r="AJ59" s="21"/>
      <c r="AK59" s="6"/>
      <c r="AL59" s="6"/>
      <c r="AM59" s="6"/>
      <c r="AN59" s="6"/>
      <c r="AO59" s="6"/>
      <c r="AP59" s="6"/>
    </row>
    <row r="60" spans="1:42" ht="22.5">
      <c r="A60" s="72" t="s">
        <v>58</v>
      </c>
      <c r="B60" s="74" t="s">
        <v>79</v>
      </c>
      <c r="C60" s="93">
        <v>865</v>
      </c>
      <c r="D60" s="73" t="s">
        <v>5</v>
      </c>
      <c r="E60" s="135" t="s">
        <v>176</v>
      </c>
      <c r="F60" s="167">
        <v>440.45</v>
      </c>
      <c r="G60" s="114">
        <v>7860.47</v>
      </c>
      <c r="H60" s="114">
        <v>13799.04</v>
      </c>
      <c r="I60" s="161">
        <f t="shared" si="4"/>
        <v>22099.96</v>
      </c>
      <c r="J60" s="129">
        <v>0</v>
      </c>
      <c r="K60" s="19"/>
      <c r="L60" s="19"/>
      <c r="M60" s="20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19"/>
      <c r="AB60" s="19"/>
      <c r="AC60" s="19"/>
      <c r="AD60" s="19"/>
      <c r="AE60" s="19"/>
      <c r="AF60" s="19"/>
      <c r="AG60" s="19"/>
      <c r="AH60" s="19"/>
      <c r="AI60" s="21"/>
      <c r="AJ60" s="21"/>
      <c r="AK60" s="6"/>
      <c r="AL60" s="6"/>
      <c r="AM60" s="6"/>
      <c r="AN60" s="6"/>
      <c r="AO60" s="6"/>
      <c r="AP60" s="6"/>
    </row>
    <row r="61" spans="1:42" ht="22.5">
      <c r="A61" s="72" t="s">
        <v>58</v>
      </c>
      <c r="B61" s="74" t="s">
        <v>73</v>
      </c>
      <c r="C61" s="93">
        <v>866</v>
      </c>
      <c r="D61" s="73" t="s">
        <v>5</v>
      </c>
      <c r="E61" s="135" t="s">
        <v>176</v>
      </c>
      <c r="F61" s="115">
        <v>1415.11</v>
      </c>
      <c r="G61" s="114">
        <v>8214.29</v>
      </c>
      <c r="H61" s="114">
        <v>14498.55</v>
      </c>
      <c r="I61" s="161">
        <f t="shared" si="4"/>
        <v>24127.95</v>
      </c>
      <c r="J61" s="129">
        <v>28399.1</v>
      </c>
      <c r="K61" s="19"/>
      <c r="L61" s="19"/>
      <c r="M61" s="20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19"/>
      <c r="AB61" s="19"/>
      <c r="AC61" s="19"/>
      <c r="AD61" s="19"/>
      <c r="AE61" s="19"/>
      <c r="AF61" s="19"/>
      <c r="AG61" s="19"/>
      <c r="AH61" s="19"/>
      <c r="AI61" s="21"/>
      <c r="AJ61" s="21"/>
      <c r="AK61" s="6"/>
      <c r="AL61" s="6"/>
      <c r="AM61" s="6"/>
      <c r="AN61" s="6"/>
      <c r="AO61" s="6"/>
      <c r="AP61" s="6"/>
    </row>
    <row r="62" spans="1:42" ht="12.75">
      <c r="A62" s="72" t="s">
        <v>58</v>
      </c>
      <c r="B62" s="74" t="s">
        <v>68</v>
      </c>
      <c r="C62" s="93">
        <v>867</v>
      </c>
      <c r="D62" s="73" t="s">
        <v>5</v>
      </c>
      <c r="E62" s="124">
        <v>9940.71</v>
      </c>
      <c r="F62" s="115">
        <v>364.45</v>
      </c>
      <c r="G62" s="114">
        <v>7304.04</v>
      </c>
      <c r="H62" s="114">
        <v>40168.97</v>
      </c>
      <c r="I62" s="161">
        <f t="shared" si="4"/>
        <v>57778.17</v>
      </c>
      <c r="J62" s="129">
        <v>31628.94</v>
      </c>
      <c r="K62" s="19"/>
      <c r="L62" s="19"/>
      <c r="M62" s="20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19"/>
      <c r="AB62" s="19"/>
      <c r="AC62" s="19"/>
      <c r="AD62" s="19"/>
      <c r="AE62" s="19"/>
      <c r="AF62" s="19"/>
      <c r="AG62" s="19"/>
      <c r="AH62" s="19"/>
      <c r="AI62" s="21"/>
      <c r="AJ62" s="21"/>
      <c r="AK62" s="6"/>
      <c r="AL62" s="6"/>
      <c r="AM62" s="6"/>
      <c r="AN62" s="6"/>
      <c r="AO62" s="6"/>
      <c r="AP62" s="6"/>
    </row>
    <row r="63" spans="1:42" ht="12.75">
      <c r="A63" s="72" t="s">
        <v>58</v>
      </c>
      <c r="B63" s="74" t="s">
        <v>59</v>
      </c>
      <c r="C63" s="93">
        <v>868</v>
      </c>
      <c r="D63" s="73" t="s">
        <v>5</v>
      </c>
      <c r="E63" s="124">
        <v>11251.85</v>
      </c>
      <c r="F63" s="115">
        <v>2526.25</v>
      </c>
      <c r="G63" s="114">
        <v>9646.36</v>
      </c>
      <c r="H63" s="114">
        <v>17898.57</v>
      </c>
      <c r="I63" s="161">
        <f t="shared" si="4"/>
        <v>41323.03</v>
      </c>
      <c r="J63" s="129">
        <v>5533.27</v>
      </c>
      <c r="K63" s="19"/>
      <c r="L63" s="19"/>
      <c r="M63" s="20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19"/>
      <c r="AB63" s="19"/>
      <c r="AC63" s="19"/>
      <c r="AD63" s="19"/>
      <c r="AE63" s="19"/>
      <c r="AF63" s="19"/>
      <c r="AG63" s="19"/>
      <c r="AH63" s="19"/>
      <c r="AI63" s="21"/>
      <c r="AJ63" s="21"/>
      <c r="AK63" s="6"/>
      <c r="AL63" s="6"/>
      <c r="AM63" s="6"/>
      <c r="AN63" s="6"/>
      <c r="AO63" s="6"/>
      <c r="AP63" s="6"/>
    </row>
    <row r="64" spans="1:42" ht="12.75">
      <c r="A64" s="72" t="s">
        <v>58</v>
      </c>
      <c r="B64" s="74" t="s">
        <v>61</v>
      </c>
      <c r="C64" s="93">
        <v>869</v>
      </c>
      <c r="D64" s="73" t="s">
        <v>5</v>
      </c>
      <c r="E64" s="134" t="s">
        <v>179</v>
      </c>
      <c r="F64" s="115">
        <v>1515.59</v>
      </c>
      <c r="G64" s="114">
        <v>7921.78</v>
      </c>
      <c r="H64" s="114">
        <v>18348.36</v>
      </c>
      <c r="I64" s="161">
        <f t="shared" si="4"/>
        <v>27785.73</v>
      </c>
      <c r="J64" s="129">
        <v>28198.74</v>
      </c>
      <c r="K64" s="19"/>
      <c r="L64" s="19"/>
      <c r="M64" s="20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19"/>
      <c r="AB64" s="19"/>
      <c r="AC64" s="19"/>
      <c r="AD64" s="19"/>
      <c r="AE64" s="19"/>
      <c r="AF64" s="19"/>
      <c r="AG64" s="19"/>
      <c r="AH64" s="19"/>
      <c r="AI64" s="21"/>
      <c r="AJ64" s="21"/>
      <c r="AK64" s="6"/>
      <c r="AL64" s="6"/>
      <c r="AM64" s="6"/>
      <c r="AN64" s="6"/>
      <c r="AO64" s="6"/>
      <c r="AP64" s="6"/>
    </row>
    <row r="65" spans="1:42" ht="12.75">
      <c r="A65" s="72" t="s">
        <v>58</v>
      </c>
      <c r="B65" s="74" t="s">
        <v>62</v>
      </c>
      <c r="C65" s="93">
        <v>870</v>
      </c>
      <c r="D65" s="73" t="s">
        <v>5</v>
      </c>
      <c r="E65" s="124">
        <v>6613.81</v>
      </c>
      <c r="F65" s="115">
        <v>1210.15</v>
      </c>
      <c r="G65" s="114">
        <v>9077.36</v>
      </c>
      <c r="H65" s="114">
        <v>26833.03</v>
      </c>
      <c r="I65" s="161">
        <f t="shared" si="4"/>
        <v>43734.35</v>
      </c>
      <c r="J65" s="129">
        <v>42873.22</v>
      </c>
      <c r="K65" s="19"/>
      <c r="L65" s="19"/>
      <c r="M65" s="20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19"/>
      <c r="AB65" s="19"/>
      <c r="AC65" s="19"/>
      <c r="AD65" s="19"/>
      <c r="AE65" s="19"/>
      <c r="AF65" s="19"/>
      <c r="AG65" s="19"/>
      <c r="AH65" s="19"/>
      <c r="AI65" s="21"/>
      <c r="AJ65" s="21"/>
      <c r="AK65" s="6"/>
      <c r="AL65" s="6"/>
      <c r="AM65" s="6"/>
      <c r="AN65" s="6"/>
      <c r="AO65" s="6"/>
      <c r="AP65" s="6"/>
    </row>
    <row r="66" spans="1:42" ht="12.75">
      <c r="A66" s="72" t="s">
        <v>58</v>
      </c>
      <c r="B66" s="74" t="s">
        <v>71</v>
      </c>
      <c r="C66" s="93">
        <v>871</v>
      </c>
      <c r="D66" s="73" t="s">
        <v>5</v>
      </c>
      <c r="E66" s="124">
        <v>5380.82</v>
      </c>
      <c r="F66" s="115">
        <v>0</v>
      </c>
      <c r="G66" s="114">
        <v>5435.52</v>
      </c>
      <c r="H66" s="114">
        <v>21646.6</v>
      </c>
      <c r="I66" s="161">
        <f t="shared" si="4"/>
        <v>32462.94</v>
      </c>
      <c r="J66" s="129">
        <v>231653.84</v>
      </c>
      <c r="K66" s="19"/>
      <c r="L66" s="19"/>
      <c r="M66" s="20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19"/>
      <c r="AB66" s="19"/>
      <c r="AC66" s="19"/>
      <c r="AD66" s="19"/>
      <c r="AE66" s="19"/>
      <c r="AF66" s="19"/>
      <c r="AG66" s="19"/>
      <c r="AH66" s="19"/>
      <c r="AI66" s="21"/>
      <c r="AJ66" s="21"/>
      <c r="AK66" s="6"/>
      <c r="AL66" s="6"/>
      <c r="AM66" s="6"/>
      <c r="AN66" s="6"/>
      <c r="AO66" s="6"/>
      <c r="AP66" s="6"/>
    </row>
    <row r="67" spans="1:42" ht="12.75">
      <c r="A67" s="72" t="s">
        <v>58</v>
      </c>
      <c r="B67" s="74" t="s">
        <v>78</v>
      </c>
      <c r="C67" s="93">
        <v>872</v>
      </c>
      <c r="D67" s="73" t="s">
        <v>5</v>
      </c>
      <c r="E67" s="124">
        <v>10031.34</v>
      </c>
      <c r="F67" s="115">
        <v>445.91</v>
      </c>
      <c r="G67" s="114">
        <v>2764.44</v>
      </c>
      <c r="H67" s="114">
        <v>11901.39</v>
      </c>
      <c r="I67" s="161">
        <f t="shared" si="4"/>
        <v>25143.08</v>
      </c>
      <c r="J67" s="129">
        <v>221266.51</v>
      </c>
      <c r="K67" s="19"/>
      <c r="L67" s="19"/>
      <c r="M67" s="20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19"/>
      <c r="AB67" s="19"/>
      <c r="AC67" s="19"/>
      <c r="AD67" s="19"/>
      <c r="AE67" s="19"/>
      <c r="AF67" s="19"/>
      <c r="AG67" s="19"/>
      <c r="AH67" s="19"/>
      <c r="AI67" s="21"/>
      <c r="AJ67" s="21"/>
      <c r="AK67" s="6"/>
      <c r="AL67" s="6"/>
      <c r="AM67" s="6"/>
      <c r="AN67" s="6"/>
      <c r="AO67" s="6"/>
      <c r="AP67" s="6"/>
    </row>
    <row r="68" spans="1:42" ht="12.75">
      <c r="A68" s="72" t="s">
        <v>58</v>
      </c>
      <c r="B68" s="74" t="s">
        <v>80</v>
      </c>
      <c r="C68" s="93">
        <v>873</v>
      </c>
      <c r="D68" s="73" t="s">
        <v>5</v>
      </c>
      <c r="E68" s="124">
        <v>9458.6</v>
      </c>
      <c r="F68" s="115">
        <v>436.45</v>
      </c>
      <c r="G68" s="114">
        <v>7848.92</v>
      </c>
      <c r="H68" s="114">
        <v>22992.27</v>
      </c>
      <c r="I68" s="161">
        <f t="shared" si="4"/>
        <v>40736.240000000005</v>
      </c>
      <c r="J68" s="129">
        <v>77864.26</v>
      </c>
      <c r="K68" s="19"/>
      <c r="L68" s="19"/>
      <c r="M68" s="20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19"/>
      <c r="AB68" s="19"/>
      <c r="AC68" s="19"/>
      <c r="AD68" s="19"/>
      <c r="AE68" s="19"/>
      <c r="AF68" s="19"/>
      <c r="AG68" s="19"/>
      <c r="AH68" s="19"/>
      <c r="AI68" s="21"/>
      <c r="AJ68" s="21"/>
      <c r="AK68" s="6"/>
      <c r="AL68" s="6"/>
      <c r="AM68" s="6"/>
      <c r="AN68" s="6"/>
      <c r="AO68" s="6"/>
      <c r="AP68" s="6"/>
    </row>
    <row r="69" spans="1:42" ht="25.5" customHeight="1">
      <c r="A69" s="72" t="s">
        <v>58</v>
      </c>
      <c r="B69" s="74" t="s">
        <v>77</v>
      </c>
      <c r="C69" s="104">
        <v>874</v>
      </c>
      <c r="D69" s="74" t="s">
        <v>5</v>
      </c>
      <c r="E69" s="134" t="s">
        <v>176</v>
      </c>
      <c r="F69" s="115">
        <v>566.66</v>
      </c>
      <c r="G69" s="114">
        <v>11267.57</v>
      </c>
      <c r="H69" s="114">
        <v>31022.83</v>
      </c>
      <c r="I69" s="161">
        <f t="shared" si="4"/>
        <v>42857.06</v>
      </c>
      <c r="J69" s="129">
        <v>6315.19</v>
      </c>
      <c r="K69" s="19"/>
      <c r="L69" s="19"/>
      <c r="M69" s="20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19"/>
      <c r="AB69" s="19"/>
      <c r="AC69" s="19"/>
      <c r="AD69" s="19"/>
      <c r="AE69" s="19"/>
      <c r="AF69" s="19"/>
      <c r="AG69" s="19"/>
      <c r="AH69" s="19"/>
      <c r="AI69" s="21"/>
      <c r="AJ69" s="21"/>
      <c r="AK69" s="6"/>
      <c r="AL69" s="6"/>
      <c r="AM69" s="6"/>
      <c r="AN69" s="6"/>
      <c r="AO69" s="6"/>
      <c r="AP69" s="6"/>
    </row>
    <row r="70" spans="1:42" ht="12.75">
      <c r="A70" s="72" t="s">
        <v>58</v>
      </c>
      <c r="B70" s="74" t="s">
        <v>63</v>
      </c>
      <c r="C70" s="93">
        <v>875</v>
      </c>
      <c r="D70" s="73" t="s">
        <v>5</v>
      </c>
      <c r="E70" s="124">
        <v>12648.55</v>
      </c>
      <c r="F70" s="115">
        <v>3279.74</v>
      </c>
      <c r="G70" s="114">
        <v>13032.22</v>
      </c>
      <c r="H70" s="114">
        <v>34218.48</v>
      </c>
      <c r="I70" s="161">
        <f t="shared" si="4"/>
        <v>63178.990000000005</v>
      </c>
      <c r="J70" s="129">
        <v>17261.27</v>
      </c>
      <c r="K70" s="19"/>
      <c r="L70" s="19"/>
      <c r="M70" s="20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19"/>
      <c r="AB70" s="19"/>
      <c r="AC70" s="19"/>
      <c r="AD70" s="19"/>
      <c r="AE70" s="19"/>
      <c r="AF70" s="19"/>
      <c r="AG70" s="19"/>
      <c r="AH70" s="19"/>
      <c r="AI70" s="21"/>
      <c r="AJ70" s="21"/>
      <c r="AK70" s="6"/>
      <c r="AL70" s="6"/>
      <c r="AM70" s="6"/>
      <c r="AN70" s="6"/>
      <c r="AO70" s="6"/>
      <c r="AP70" s="6"/>
    </row>
    <row r="71" spans="1:42" ht="12.75">
      <c r="A71" s="72" t="s">
        <v>58</v>
      </c>
      <c r="B71" s="74" t="s">
        <v>75</v>
      </c>
      <c r="C71" s="93">
        <v>876</v>
      </c>
      <c r="D71" s="73" t="s">
        <v>5</v>
      </c>
      <c r="E71" s="124">
        <v>11431.34</v>
      </c>
      <c r="F71" s="115">
        <v>399.56</v>
      </c>
      <c r="G71" s="114">
        <v>7600.04</v>
      </c>
      <c r="H71" s="114">
        <v>22233.72</v>
      </c>
      <c r="I71" s="161">
        <f t="shared" si="4"/>
        <v>41664.66</v>
      </c>
      <c r="J71" s="129">
        <v>10345.01</v>
      </c>
      <c r="K71" s="19"/>
      <c r="L71" s="19"/>
      <c r="M71" s="20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19"/>
      <c r="AB71" s="19"/>
      <c r="AC71" s="19"/>
      <c r="AD71" s="19"/>
      <c r="AE71" s="19"/>
      <c r="AF71" s="19"/>
      <c r="AG71" s="19"/>
      <c r="AH71" s="19"/>
      <c r="AI71" s="21"/>
      <c r="AJ71" s="21"/>
      <c r="AK71" s="6"/>
      <c r="AL71" s="6"/>
      <c r="AM71" s="6"/>
      <c r="AN71" s="6"/>
      <c r="AO71" s="6"/>
      <c r="AP71" s="6"/>
    </row>
    <row r="72" spans="1:42" ht="12.75">
      <c r="A72" s="72" t="s">
        <v>58</v>
      </c>
      <c r="B72" s="74" t="s">
        <v>186</v>
      </c>
      <c r="C72" s="93">
        <v>877</v>
      </c>
      <c r="D72" s="73" t="s">
        <v>5</v>
      </c>
      <c r="E72" s="124">
        <v>8034.98</v>
      </c>
      <c r="F72" s="115">
        <v>2690.41</v>
      </c>
      <c r="G72" s="114">
        <v>10538.2</v>
      </c>
      <c r="H72" s="114">
        <v>21638.8</v>
      </c>
      <c r="I72" s="161">
        <f t="shared" si="4"/>
        <v>42902.39</v>
      </c>
      <c r="J72" s="129">
        <v>0</v>
      </c>
      <c r="K72" s="19"/>
      <c r="L72" s="19"/>
      <c r="M72" s="20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19"/>
      <c r="AB72" s="19"/>
      <c r="AC72" s="19"/>
      <c r="AD72" s="19"/>
      <c r="AE72" s="19"/>
      <c r="AF72" s="19"/>
      <c r="AG72" s="19"/>
      <c r="AH72" s="19"/>
      <c r="AI72" s="21"/>
      <c r="AJ72" s="21"/>
      <c r="AK72" s="6"/>
      <c r="AL72" s="6"/>
      <c r="AM72" s="6"/>
      <c r="AN72" s="6"/>
      <c r="AO72" s="6"/>
      <c r="AP72" s="6"/>
    </row>
    <row r="73" spans="1:42" ht="12.75">
      <c r="A73" s="72" t="s">
        <v>58</v>
      </c>
      <c r="B73" s="74" t="s">
        <v>74</v>
      </c>
      <c r="C73" s="93">
        <v>878</v>
      </c>
      <c r="D73" s="73" t="s">
        <v>5</v>
      </c>
      <c r="E73" s="124">
        <v>8947.56</v>
      </c>
      <c r="F73" s="115">
        <v>639.03</v>
      </c>
      <c r="G73" s="114">
        <v>10147.62</v>
      </c>
      <c r="H73" s="114">
        <v>37100.94</v>
      </c>
      <c r="I73" s="161">
        <f t="shared" si="4"/>
        <v>56835.15</v>
      </c>
      <c r="J73" s="129">
        <v>9626.58</v>
      </c>
      <c r="K73" s="19"/>
      <c r="L73" s="19"/>
      <c r="M73" s="20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19"/>
      <c r="AB73" s="19"/>
      <c r="AC73" s="19"/>
      <c r="AD73" s="19"/>
      <c r="AE73" s="19"/>
      <c r="AF73" s="19"/>
      <c r="AG73" s="19"/>
      <c r="AH73" s="19"/>
      <c r="AI73" s="21"/>
      <c r="AJ73" s="21"/>
      <c r="AK73" s="6"/>
      <c r="AL73" s="6"/>
      <c r="AM73" s="6"/>
      <c r="AN73" s="6"/>
      <c r="AO73" s="6"/>
      <c r="AP73" s="6"/>
    </row>
    <row r="74" spans="1:42" ht="12.75">
      <c r="A74" s="72" t="s">
        <v>58</v>
      </c>
      <c r="B74" s="74" t="s">
        <v>67</v>
      </c>
      <c r="C74" s="93">
        <v>879</v>
      </c>
      <c r="D74" s="73" t="s">
        <v>5</v>
      </c>
      <c r="E74" s="124">
        <v>11028.86</v>
      </c>
      <c r="F74" s="115">
        <v>302.23</v>
      </c>
      <c r="G74" s="114">
        <v>10132.53</v>
      </c>
      <c r="H74" s="114">
        <v>16829.8</v>
      </c>
      <c r="I74" s="161">
        <f t="shared" si="4"/>
        <v>38293.42</v>
      </c>
      <c r="J74" s="129">
        <v>28528.49</v>
      </c>
      <c r="K74" s="19"/>
      <c r="L74" s="19"/>
      <c r="M74" s="20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19"/>
      <c r="AB74" s="19"/>
      <c r="AC74" s="19"/>
      <c r="AD74" s="19"/>
      <c r="AE74" s="19"/>
      <c r="AF74" s="19"/>
      <c r="AG74" s="19"/>
      <c r="AH74" s="19"/>
      <c r="AI74" s="21"/>
      <c r="AJ74" s="21"/>
      <c r="AK74" s="6"/>
      <c r="AL74" s="6"/>
      <c r="AM74" s="6"/>
      <c r="AN74" s="6"/>
      <c r="AO74" s="6"/>
      <c r="AP74" s="6"/>
    </row>
    <row r="75" spans="1:42" ht="12.75">
      <c r="A75" s="72" t="s">
        <v>58</v>
      </c>
      <c r="B75" s="74" t="s">
        <v>69</v>
      </c>
      <c r="C75" s="93">
        <v>880</v>
      </c>
      <c r="D75" s="73" t="s">
        <v>5</v>
      </c>
      <c r="E75" s="124">
        <v>8481.41</v>
      </c>
      <c r="F75" s="115">
        <v>1047.71</v>
      </c>
      <c r="G75" s="114">
        <v>12603.14</v>
      </c>
      <c r="H75" s="114">
        <v>22079.08</v>
      </c>
      <c r="I75" s="161">
        <f t="shared" si="4"/>
        <v>44211.34</v>
      </c>
      <c r="J75" s="129">
        <v>22020</v>
      </c>
      <c r="K75" s="19"/>
      <c r="L75" s="19"/>
      <c r="M75" s="20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19"/>
      <c r="AB75" s="19"/>
      <c r="AC75" s="19"/>
      <c r="AD75" s="19"/>
      <c r="AE75" s="19"/>
      <c r="AF75" s="19"/>
      <c r="AG75" s="19"/>
      <c r="AH75" s="19"/>
      <c r="AI75" s="21"/>
      <c r="AJ75" s="21"/>
      <c r="AK75" s="6"/>
      <c r="AL75" s="6"/>
      <c r="AM75" s="6"/>
      <c r="AN75" s="6"/>
      <c r="AO75" s="6"/>
      <c r="AP75" s="6"/>
    </row>
    <row r="76" spans="1:42" ht="12.75">
      <c r="A76" s="72" t="s">
        <v>58</v>
      </c>
      <c r="B76" s="74" t="s">
        <v>70</v>
      </c>
      <c r="C76" s="93">
        <v>881</v>
      </c>
      <c r="D76" s="73" t="s">
        <v>5</v>
      </c>
      <c r="E76" s="124">
        <v>5609.61</v>
      </c>
      <c r="F76" s="115">
        <v>715.64</v>
      </c>
      <c r="G76" s="114">
        <v>5212.45</v>
      </c>
      <c r="H76" s="114">
        <v>16673.88</v>
      </c>
      <c r="I76" s="161">
        <f t="shared" si="4"/>
        <v>28211.58</v>
      </c>
      <c r="J76" s="129">
        <v>7321.83</v>
      </c>
      <c r="K76" s="19"/>
      <c r="L76" s="19"/>
      <c r="M76" s="20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19"/>
      <c r="AB76" s="19"/>
      <c r="AC76" s="19"/>
      <c r="AD76" s="19"/>
      <c r="AE76" s="19"/>
      <c r="AF76" s="19"/>
      <c r="AG76" s="19"/>
      <c r="AH76" s="19"/>
      <c r="AI76" s="21"/>
      <c r="AJ76" s="21"/>
      <c r="AK76" s="6"/>
      <c r="AL76" s="6"/>
      <c r="AM76" s="6"/>
      <c r="AN76" s="6"/>
      <c r="AO76" s="6"/>
      <c r="AP76" s="6"/>
    </row>
    <row r="77" spans="1:42" ht="12.75">
      <c r="A77" s="72" t="s">
        <v>58</v>
      </c>
      <c r="B77" s="74" t="s">
        <v>65</v>
      </c>
      <c r="C77" s="93">
        <v>883</v>
      </c>
      <c r="D77" s="73" t="s">
        <v>5</v>
      </c>
      <c r="E77" s="124">
        <v>8074.87</v>
      </c>
      <c r="F77" s="115">
        <v>2848.13</v>
      </c>
      <c r="G77" s="114">
        <v>15351.14</v>
      </c>
      <c r="H77" s="114">
        <v>26691.32</v>
      </c>
      <c r="I77" s="161">
        <f t="shared" si="4"/>
        <v>52965.46</v>
      </c>
      <c r="J77" s="129">
        <v>0</v>
      </c>
      <c r="K77" s="19"/>
      <c r="L77" s="19"/>
      <c r="M77" s="20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19"/>
      <c r="AB77" s="19"/>
      <c r="AC77" s="19"/>
      <c r="AD77" s="19"/>
      <c r="AE77" s="19"/>
      <c r="AF77" s="19"/>
      <c r="AG77" s="19"/>
      <c r="AH77" s="19"/>
      <c r="AI77" s="21"/>
      <c r="AJ77" s="21"/>
      <c r="AK77" s="6"/>
      <c r="AL77" s="6"/>
      <c r="AM77" s="6"/>
      <c r="AN77" s="6"/>
      <c r="AO77" s="6"/>
      <c r="AP77" s="6"/>
    </row>
    <row r="78" spans="1:42" ht="13.5" thickBot="1">
      <c r="A78" s="75" t="s">
        <v>58</v>
      </c>
      <c r="B78" s="96" t="s">
        <v>72</v>
      </c>
      <c r="C78" s="97">
        <v>889</v>
      </c>
      <c r="D78" s="76"/>
      <c r="E78" s="124">
        <v>8712.31</v>
      </c>
      <c r="F78" s="118">
        <v>147</v>
      </c>
      <c r="G78" s="119">
        <v>3853.49</v>
      </c>
      <c r="H78" s="119">
        <v>16821.67</v>
      </c>
      <c r="I78" s="163">
        <f t="shared" si="4"/>
        <v>29534.469999999998</v>
      </c>
      <c r="J78" s="130">
        <v>0</v>
      </c>
      <c r="K78" s="19"/>
      <c r="L78" s="19"/>
      <c r="M78" s="20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19"/>
      <c r="AB78" s="19"/>
      <c r="AC78" s="19"/>
      <c r="AD78" s="19"/>
      <c r="AE78" s="19"/>
      <c r="AF78" s="19"/>
      <c r="AG78" s="19"/>
      <c r="AH78" s="19"/>
      <c r="AI78" s="21"/>
      <c r="AJ78" s="21"/>
      <c r="AK78" s="6"/>
      <c r="AL78" s="6"/>
      <c r="AM78" s="6"/>
      <c r="AN78" s="6"/>
      <c r="AO78" s="6"/>
      <c r="AP78" s="6"/>
    </row>
    <row r="79" spans="1:42" s="1" customFormat="1" ht="15.75" thickBot="1">
      <c r="A79" s="155" t="s">
        <v>81</v>
      </c>
      <c r="B79" s="140"/>
      <c r="C79" s="142"/>
      <c r="D79" s="156"/>
      <c r="E79" s="143">
        <f aca="true" t="shared" si="5" ref="E79:J79">SUM(E56:E78)</f>
        <v>135646.84999999998</v>
      </c>
      <c r="F79" s="144">
        <f>SUM(F56:F78)</f>
        <v>26495.12</v>
      </c>
      <c r="G79" s="144">
        <f>SUM(G56:G78)</f>
        <v>200119.43000000005</v>
      </c>
      <c r="H79" s="144">
        <f>SUM(H56:H78)</f>
        <v>593827.8400000001</v>
      </c>
      <c r="I79" s="144">
        <f t="shared" si="5"/>
        <v>956089.24</v>
      </c>
      <c r="J79" s="145">
        <f t="shared" si="5"/>
        <v>1020232.3699999999</v>
      </c>
      <c r="K79" s="21"/>
      <c r="L79" s="19"/>
      <c r="M79" s="24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8"/>
      <c r="AL79" s="8"/>
      <c r="AM79" s="8"/>
      <c r="AN79" s="8"/>
      <c r="AO79" s="8"/>
      <c r="AP79" s="8"/>
    </row>
    <row r="80" spans="1:42" s="1" customFormat="1" ht="13.5" thickBot="1">
      <c r="A80" s="70" t="s">
        <v>82</v>
      </c>
      <c r="B80" s="106" t="s">
        <v>83</v>
      </c>
      <c r="C80" s="107">
        <v>888</v>
      </c>
      <c r="D80" s="71" t="s">
        <v>5</v>
      </c>
      <c r="E80" s="138" t="s">
        <v>179</v>
      </c>
      <c r="F80" s="126">
        <v>231.28</v>
      </c>
      <c r="G80" s="127">
        <v>5095.15</v>
      </c>
      <c r="H80" s="125">
        <v>12193.69</v>
      </c>
      <c r="I80" s="165">
        <f>SUM(E80:H80)</f>
        <v>17520.12</v>
      </c>
      <c r="J80" s="128">
        <v>1107.07</v>
      </c>
      <c r="K80" s="21"/>
      <c r="L80" s="19"/>
      <c r="M80" s="20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8"/>
      <c r="AL80" s="8"/>
      <c r="AM80" s="8"/>
      <c r="AN80" s="8"/>
      <c r="AO80" s="8"/>
      <c r="AP80" s="8"/>
    </row>
    <row r="81" spans="1:42" s="1" customFormat="1" ht="15.75" thickBot="1">
      <c r="A81" s="108"/>
      <c r="B81" s="105" t="s">
        <v>84</v>
      </c>
      <c r="C81" s="105"/>
      <c r="D81" s="105"/>
      <c r="E81" s="144">
        <f>E7+E10+E79</f>
        <v>153274.14999999997</v>
      </c>
      <c r="F81" s="144">
        <f>F7+F10+F79+F80</f>
        <v>31635.05</v>
      </c>
      <c r="G81" s="144">
        <f>G7+G10+G79+G80</f>
        <v>237534.76000000004</v>
      </c>
      <c r="H81" s="144">
        <f>H7+H10+H79+H80</f>
        <v>707851.21</v>
      </c>
      <c r="I81" s="144">
        <f>I7+I10+I79+I80</f>
        <v>1130295.1700000002</v>
      </c>
      <c r="J81" s="144">
        <f>J7+J10+J79+J80</f>
        <v>1051906.0799999998</v>
      </c>
      <c r="K81" s="21"/>
      <c r="L81" s="19"/>
      <c r="M81" s="24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8"/>
      <c r="AL81" s="8"/>
      <c r="AM81" s="8"/>
      <c r="AN81" s="8"/>
      <c r="AO81" s="8"/>
      <c r="AP81" s="8"/>
    </row>
    <row r="82" spans="1:42" ht="12.75">
      <c r="A82" s="109"/>
      <c r="B82" s="109"/>
      <c r="C82" s="109"/>
      <c r="D82" s="109"/>
      <c r="E82" s="110"/>
      <c r="F82" s="110"/>
      <c r="G82" s="110"/>
      <c r="H82" s="110"/>
      <c r="I82" s="110"/>
      <c r="J82" s="110"/>
      <c r="K82" s="19"/>
      <c r="L82" s="19"/>
      <c r="M82" s="20"/>
      <c r="N82" s="19"/>
      <c r="O82" s="19"/>
      <c r="P82" s="19"/>
      <c r="Q82" s="19"/>
      <c r="R82" s="19"/>
      <c r="S82" s="19"/>
      <c r="T82" s="20"/>
      <c r="U82" s="19"/>
      <c r="V82" s="19"/>
      <c r="W82" s="19"/>
      <c r="X82" s="19"/>
      <c r="Y82" s="19"/>
      <c r="Z82" s="20"/>
      <c r="AA82" s="19"/>
      <c r="AB82" s="19"/>
      <c r="AC82" s="19"/>
      <c r="AD82" s="19"/>
      <c r="AE82" s="19"/>
      <c r="AF82" s="19"/>
      <c r="AG82" s="19"/>
      <c r="AH82" s="19"/>
      <c r="AI82" s="21"/>
      <c r="AJ82" s="21"/>
      <c r="AK82" s="6"/>
      <c r="AL82" s="6"/>
      <c r="AM82" s="6"/>
      <c r="AN82" s="6"/>
      <c r="AO82" s="6"/>
      <c r="AP82" s="6"/>
    </row>
    <row r="83" spans="1:42" ht="12.75">
      <c r="A83" s="83"/>
      <c r="B83" s="109"/>
      <c r="C83" s="109"/>
      <c r="D83" s="109"/>
      <c r="E83" s="110"/>
      <c r="F83" s="110"/>
      <c r="G83" s="110"/>
      <c r="H83" s="110"/>
      <c r="I83" s="110"/>
      <c r="J83" s="110"/>
      <c r="K83" s="19"/>
      <c r="L83" s="19"/>
      <c r="M83" s="20"/>
      <c r="N83" s="19"/>
      <c r="O83" s="19"/>
      <c r="P83" s="19"/>
      <c r="Q83" s="19"/>
      <c r="R83" s="19"/>
      <c r="S83" s="19"/>
      <c r="T83" s="20"/>
      <c r="U83" s="19"/>
      <c r="V83" s="19"/>
      <c r="W83" s="19"/>
      <c r="X83" s="19"/>
      <c r="Y83" s="19"/>
      <c r="Z83" s="20"/>
      <c r="AA83" s="19"/>
      <c r="AB83" s="19"/>
      <c r="AC83" s="19"/>
      <c r="AD83" s="19"/>
      <c r="AE83" s="19"/>
      <c r="AF83" s="19"/>
      <c r="AG83" s="19"/>
      <c r="AH83" s="19"/>
      <c r="AI83" s="21"/>
      <c r="AJ83" s="21"/>
      <c r="AK83" s="6"/>
      <c r="AL83" s="6"/>
      <c r="AM83" s="6"/>
      <c r="AN83" s="6"/>
      <c r="AO83" s="6"/>
      <c r="AP83" s="6"/>
    </row>
    <row r="84" spans="1:42" ht="12.75">
      <c r="A84" s="83" t="s">
        <v>183</v>
      </c>
      <c r="B84" s="109"/>
      <c r="C84" s="109"/>
      <c r="D84" s="109"/>
      <c r="E84" s="110"/>
      <c r="F84" s="110"/>
      <c r="G84" s="110"/>
      <c r="H84" s="110"/>
      <c r="I84" s="110"/>
      <c r="J84" s="110"/>
      <c r="K84" s="19"/>
      <c r="L84" s="19"/>
      <c r="M84" s="20"/>
      <c r="N84" s="19"/>
      <c r="O84" s="19"/>
      <c r="P84" s="19"/>
      <c r="Q84" s="19"/>
      <c r="R84" s="19"/>
      <c r="S84" s="19"/>
      <c r="T84" s="20"/>
      <c r="U84" s="19"/>
      <c r="V84" s="19"/>
      <c r="W84" s="19"/>
      <c r="X84" s="19"/>
      <c r="Y84" s="19"/>
      <c r="Z84" s="20"/>
      <c r="AA84" s="19"/>
      <c r="AB84" s="19"/>
      <c r="AC84" s="19"/>
      <c r="AD84" s="19"/>
      <c r="AE84" s="19"/>
      <c r="AF84" s="19"/>
      <c r="AG84" s="19"/>
      <c r="AH84" s="19"/>
      <c r="AI84" s="21"/>
      <c r="AJ84" s="21"/>
      <c r="AK84" s="6"/>
      <c r="AL84" s="6"/>
      <c r="AM84" s="6"/>
      <c r="AN84" s="6"/>
      <c r="AO84" s="6"/>
      <c r="AP84" s="6"/>
    </row>
    <row r="85" spans="5:42" ht="12.75">
      <c r="E85" s="30"/>
      <c r="F85" s="30"/>
      <c r="G85" s="30"/>
      <c r="H85" s="30"/>
      <c r="I85" s="30"/>
      <c r="J85" s="30"/>
      <c r="K85" s="19"/>
      <c r="L85" s="19"/>
      <c r="M85" s="20"/>
      <c r="N85" s="19"/>
      <c r="O85" s="19"/>
      <c r="P85" s="19"/>
      <c r="Q85" s="19"/>
      <c r="R85" s="19"/>
      <c r="S85" s="19"/>
      <c r="T85" s="20"/>
      <c r="U85" s="19"/>
      <c r="V85" s="19"/>
      <c r="W85" s="19"/>
      <c r="X85" s="19"/>
      <c r="Y85" s="19"/>
      <c r="Z85" s="20"/>
      <c r="AA85" s="19"/>
      <c r="AB85" s="19"/>
      <c r="AC85" s="19"/>
      <c r="AD85" s="19"/>
      <c r="AE85" s="19"/>
      <c r="AF85" s="19"/>
      <c r="AG85" s="19"/>
      <c r="AH85" s="19"/>
      <c r="AI85" s="20"/>
      <c r="AJ85" s="21"/>
      <c r="AK85" s="6"/>
      <c r="AL85" s="6"/>
      <c r="AM85" s="6"/>
      <c r="AN85" s="6"/>
      <c r="AO85" s="6"/>
      <c r="AP85" s="6"/>
    </row>
    <row r="86" spans="1:42" ht="12.75">
      <c r="A86" s="166"/>
      <c r="B86" s="2" t="s">
        <v>180</v>
      </c>
      <c r="E86" s="30"/>
      <c r="F86" s="30"/>
      <c r="G86" s="30"/>
      <c r="H86" s="30"/>
      <c r="I86" s="30"/>
      <c r="J86" s="30"/>
      <c r="K86" s="19"/>
      <c r="L86" s="19"/>
      <c r="M86" s="20"/>
      <c r="N86" s="19"/>
      <c r="O86" s="19"/>
      <c r="P86" s="19"/>
      <c r="Q86" s="19"/>
      <c r="R86" s="19"/>
      <c r="S86" s="19"/>
      <c r="T86" s="20"/>
      <c r="U86" s="19"/>
      <c r="V86" s="19"/>
      <c r="W86" s="19"/>
      <c r="X86" s="19"/>
      <c r="Y86" s="19"/>
      <c r="Z86" s="20"/>
      <c r="AA86" s="19"/>
      <c r="AB86" s="19"/>
      <c r="AC86" s="19"/>
      <c r="AD86" s="19"/>
      <c r="AE86" s="19"/>
      <c r="AF86" s="19"/>
      <c r="AG86" s="19"/>
      <c r="AH86" s="19"/>
      <c r="AI86" s="20"/>
      <c r="AJ86" s="21"/>
      <c r="AK86" s="6"/>
      <c r="AL86" s="6"/>
      <c r="AM86" s="6"/>
      <c r="AN86" s="6"/>
      <c r="AO86" s="6"/>
      <c r="AP86" s="6"/>
    </row>
    <row r="87" spans="5:42" ht="12.75">
      <c r="E87" s="30"/>
      <c r="F87" s="30"/>
      <c r="G87" s="30"/>
      <c r="H87" s="30"/>
      <c r="I87" s="30"/>
      <c r="J87" s="30"/>
      <c r="K87" s="19"/>
      <c r="L87" s="19"/>
      <c r="M87" s="20"/>
      <c r="N87" s="19"/>
      <c r="O87" s="19"/>
      <c r="P87" s="19"/>
      <c r="Q87" s="19"/>
      <c r="R87" s="19"/>
      <c r="S87" s="19"/>
      <c r="T87" s="20"/>
      <c r="U87" s="19"/>
      <c r="V87" s="19"/>
      <c r="W87" s="19"/>
      <c r="X87" s="19"/>
      <c r="Y87" s="19"/>
      <c r="Z87" s="20"/>
      <c r="AA87" s="19"/>
      <c r="AB87" s="19"/>
      <c r="AC87" s="19"/>
      <c r="AD87" s="19"/>
      <c r="AE87" s="19"/>
      <c r="AF87" s="19"/>
      <c r="AG87" s="19"/>
      <c r="AH87" s="19"/>
      <c r="AI87" s="20"/>
      <c r="AJ87" s="21"/>
      <c r="AK87" s="6"/>
      <c r="AL87" s="6"/>
      <c r="AM87" s="6"/>
      <c r="AN87" s="6"/>
      <c r="AO87" s="6"/>
      <c r="AP87" s="6"/>
    </row>
    <row r="88" spans="5:42" ht="12.75">
      <c r="E88" s="30"/>
      <c r="F88" s="30"/>
      <c r="G88" s="30"/>
      <c r="H88" s="30"/>
      <c r="I88" s="30"/>
      <c r="J88" s="30"/>
      <c r="K88" s="19"/>
      <c r="L88" s="19"/>
      <c r="M88" s="20"/>
      <c r="N88" s="19"/>
      <c r="O88" s="19"/>
      <c r="P88" s="19"/>
      <c r="Q88" s="19"/>
      <c r="R88" s="19"/>
      <c r="S88" s="19"/>
      <c r="T88" s="20"/>
      <c r="U88" s="19"/>
      <c r="V88" s="19"/>
      <c r="W88" s="19"/>
      <c r="X88" s="19"/>
      <c r="Y88" s="19"/>
      <c r="Z88" s="20"/>
      <c r="AA88" s="19"/>
      <c r="AB88" s="19"/>
      <c r="AC88" s="19"/>
      <c r="AD88" s="19"/>
      <c r="AE88" s="19"/>
      <c r="AF88" s="19"/>
      <c r="AG88" s="19"/>
      <c r="AH88" s="19"/>
      <c r="AI88" s="20"/>
      <c r="AJ88" s="21"/>
      <c r="AK88" s="6"/>
      <c r="AL88" s="6"/>
      <c r="AM88" s="6"/>
      <c r="AN88" s="6"/>
      <c r="AO88" s="6"/>
      <c r="AP88" s="6"/>
    </row>
    <row r="89" spans="5:42" ht="12.75">
      <c r="E89" s="30"/>
      <c r="F89" s="30"/>
      <c r="G89" s="30"/>
      <c r="H89" s="30"/>
      <c r="I89" s="30"/>
      <c r="J89" s="30"/>
      <c r="K89" s="19"/>
      <c r="L89" s="19"/>
      <c r="M89" s="20"/>
      <c r="N89" s="19"/>
      <c r="O89" s="19"/>
      <c r="P89" s="19"/>
      <c r="Q89" s="19"/>
      <c r="R89" s="19"/>
      <c r="S89" s="19"/>
      <c r="T89" s="20"/>
      <c r="U89" s="19"/>
      <c r="V89" s="19"/>
      <c r="W89" s="19"/>
      <c r="X89" s="19"/>
      <c r="Y89" s="19"/>
      <c r="Z89" s="20"/>
      <c r="AA89" s="19"/>
      <c r="AB89" s="19"/>
      <c r="AC89" s="19"/>
      <c r="AD89" s="19"/>
      <c r="AE89" s="19"/>
      <c r="AF89" s="19"/>
      <c r="AG89" s="19"/>
      <c r="AH89" s="19"/>
      <c r="AI89" s="20"/>
      <c r="AJ89" s="21"/>
      <c r="AK89" s="6"/>
      <c r="AL89" s="6"/>
      <c r="AM89" s="6"/>
      <c r="AN89" s="6"/>
      <c r="AO89" s="6"/>
      <c r="AP89" s="6"/>
    </row>
    <row r="90" spans="5:42" ht="12.75">
      <c r="E90" s="30"/>
      <c r="F90" s="30"/>
      <c r="G90" s="30"/>
      <c r="H90" s="30"/>
      <c r="I90" s="30"/>
      <c r="J90" s="30"/>
      <c r="K90" s="19"/>
      <c r="L90" s="19"/>
      <c r="M90" s="20"/>
      <c r="N90" s="19"/>
      <c r="O90" s="19"/>
      <c r="P90" s="19"/>
      <c r="Q90" s="19"/>
      <c r="R90" s="19"/>
      <c r="S90" s="19"/>
      <c r="T90" s="20"/>
      <c r="U90" s="19"/>
      <c r="V90" s="19"/>
      <c r="W90" s="19"/>
      <c r="X90" s="19"/>
      <c r="Y90" s="19"/>
      <c r="Z90" s="20"/>
      <c r="AA90" s="19"/>
      <c r="AB90" s="19"/>
      <c r="AC90" s="19"/>
      <c r="AD90" s="19"/>
      <c r="AE90" s="19"/>
      <c r="AF90" s="19"/>
      <c r="AG90" s="19"/>
      <c r="AH90" s="19"/>
      <c r="AI90" s="20"/>
      <c r="AJ90" s="21"/>
      <c r="AK90" s="6"/>
      <c r="AL90" s="6"/>
      <c r="AM90" s="6"/>
      <c r="AN90" s="6"/>
      <c r="AO90" s="6"/>
      <c r="AP90" s="6"/>
    </row>
    <row r="91" spans="5:42" ht="12.75">
      <c r="E91" s="30"/>
      <c r="F91" s="30"/>
      <c r="G91" s="30"/>
      <c r="H91" s="30"/>
      <c r="I91" s="30"/>
      <c r="J91" s="30"/>
      <c r="K91" s="19"/>
      <c r="L91" s="19"/>
      <c r="M91" s="20"/>
      <c r="N91" s="19"/>
      <c r="O91" s="19"/>
      <c r="P91" s="19"/>
      <c r="Q91" s="19"/>
      <c r="R91" s="19"/>
      <c r="S91" s="19"/>
      <c r="T91" s="20"/>
      <c r="U91" s="19"/>
      <c r="V91" s="19"/>
      <c r="W91" s="19"/>
      <c r="X91" s="19"/>
      <c r="Y91" s="19"/>
      <c r="Z91" s="20"/>
      <c r="AA91" s="19"/>
      <c r="AB91" s="19"/>
      <c r="AC91" s="19"/>
      <c r="AD91" s="19"/>
      <c r="AE91" s="19"/>
      <c r="AF91" s="19"/>
      <c r="AG91" s="19"/>
      <c r="AH91" s="19"/>
      <c r="AI91" s="20"/>
      <c r="AJ91" s="21"/>
      <c r="AK91" s="6"/>
      <c r="AL91" s="6"/>
      <c r="AM91" s="6"/>
      <c r="AN91" s="6"/>
      <c r="AO91" s="6"/>
      <c r="AP91" s="6"/>
    </row>
    <row r="92" spans="5:42" ht="12.75">
      <c r="E92" s="30"/>
      <c r="F92" s="30"/>
      <c r="G92" s="30"/>
      <c r="H92" s="30"/>
      <c r="I92" s="30"/>
      <c r="J92" s="30"/>
      <c r="K92" s="19"/>
      <c r="L92" s="19"/>
      <c r="M92" s="20"/>
      <c r="N92" s="19"/>
      <c r="O92" s="19"/>
      <c r="P92" s="19"/>
      <c r="Q92" s="19"/>
      <c r="R92" s="19"/>
      <c r="S92" s="19"/>
      <c r="T92" s="20"/>
      <c r="U92" s="19"/>
      <c r="V92" s="19"/>
      <c r="W92" s="19"/>
      <c r="X92" s="19"/>
      <c r="Y92" s="19"/>
      <c r="Z92" s="20"/>
      <c r="AA92" s="19"/>
      <c r="AB92" s="19"/>
      <c r="AC92" s="19"/>
      <c r="AD92" s="19"/>
      <c r="AE92" s="19"/>
      <c r="AF92" s="19"/>
      <c r="AG92" s="19"/>
      <c r="AH92" s="19"/>
      <c r="AI92" s="20"/>
      <c r="AJ92" s="21"/>
      <c r="AK92" s="6"/>
      <c r="AL92" s="6"/>
      <c r="AM92" s="6"/>
      <c r="AN92" s="6"/>
      <c r="AO92" s="6"/>
      <c r="AP92" s="6"/>
    </row>
    <row r="93" spans="5:42" ht="12.75">
      <c r="E93" s="30"/>
      <c r="F93" s="30"/>
      <c r="G93" s="30"/>
      <c r="H93" s="30"/>
      <c r="I93" s="30"/>
      <c r="J93" s="30"/>
      <c r="K93" s="19"/>
      <c r="L93" s="19"/>
      <c r="M93" s="20"/>
      <c r="N93" s="19"/>
      <c r="O93" s="19"/>
      <c r="P93" s="19"/>
      <c r="Q93" s="19"/>
      <c r="R93" s="19"/>
      <c r="S93" s="19"/>
      <c r="T93" s="20"/>
      <c r="U93" s="19"/>
      <c r="V93" s="19"/>
      <c r="W93" s="19"/>
      <c r="X93" s="19"/>
      <c r="Y93" s="19"/>
      <c r="Z93" s="20"/>
      <c r="AA93" s="19"/>
      <c r="AB93" s="19"/>
      <c r="AC93" s="19"/>
      <c r="AD93" s="19"/>
      <c r="AE93" s="19"/>
      <c r="AF93" s="19"/>
      <c r="AG93" s="19"/>
      <c r="AH93" s="19"/>
      <c r="AI93" s="20"/>
      <c r="AJ93" s="21"/>
      <c r="AK93" s="6"/>
      <c r="AL93" s="6"/>
      <c r="AM93" s="6"/>
      <c r="AN93" s="6"/>
      <c r="AO93" s="6"/>
      <c r="AP93" s="6"/>
    </row>
    <row r="94" spans="5:42" ht="12.75">
      <c r="E94" s="30"/>
      <c r="F94" s="30"/>
      <c r="G94" s="30"/>
      <c r="H94" s="30"/>
      <c r="I94" s="30"/>
      <c r="J94" s="30"/>
      <c r="K94" s="19"/>
      <c r="L94" s="19"/>
      <c r="M94" s="20"/>
      <c r="N94" s="19"/>
      <c r="O94" s="19"/>
      <c r="P94" s="19"/>
      <c r="Q94" s="19"/>
      <c r="R94" s="19"/>
      <c r="S94" s="19"/>
      <c r="T94" s="20"/>
      <c r="U94" s="19"/>
      <c r="V94" s="19"/>
      <c r="W94" s="19"/>
      <c r="X94" s="19"/>
      <c r="Y94" s="19"/>
      <c r="Z94" s="20"/>
      <c r="AA94" s="19"/>
      <c r="AB94" s="19"/>
      <c r="AC94" s="19"/>
      <c r="AD94" s="19"/>
      <c r="AE94" s="19"/>
      <c r="AF94" s="19"/>
      <c r="AG94" s="19"/>
      <c r="AH94" s="19"/>
      <c r="AI94" s="20"/>
      <c r="AJ94" s="21"/>
      <c r="AK94" s="6"/>
      <c r="AL94" s="6"/>
      <c r="AM94" s="6"/>
      <c r="AN94" s="6"/>
      <c r="AO94" s="6"/>
      <c r="AP94" s="6"/>
    </row>
    <row r="95" spans="5:42" ht="12.75">
      <c r="E95" s="30"/>
      <c r="F95" s="30"/>
      <c r="G95" s="30"/>
      <c r="H95" s="30"/>
      <c r="I95" s="30"/>
      <c r="J95" s="30"/>
      <c r="K95" s="19"/>
      <c r="L95" s="19"/>
      <c r="M95" s="20"/>
      <c r="N95" s="19"/>
      <c r="O95" s="19"/>
      <c r="P95" s="19"/>
      <c r="Q95" s="19"/>
      <c r="R95" s="19"/>
      <c r="S95" s="19"/>
      <c r="T95" s="20"/>
      <c r="U95" s="19"/>
      <c r="V95" s="19"/>
      <c r="W95" s="19"/>
      <c r="X95" s="19"/>
      <c r="Y95" s="19"/>
      <c r="Z95" s="20"/>
      <c r="AA95" s="19"/>
      <c r="AB95" s="19"/>
      <c r="AC95" s="19"/>
      <c r="AD95" s="19"/>
      <c r="AE95" s="19"/>
      <c r="AF95" s="19"/>
      <c r="AG95" s="19"/>
      <c r="AH95" s="19"/>
      <c r="AI95" s="20"/>
      <c r="AJ95" s="21"/>
      <c r="AK95" s="6"/>
      <c r="AL95" s="6"/>
      <c r="AM95" s="6"/>
      <c r="AN95" s="6"/>
      <c r="AO95" s="6"/>
      <c r="AP95" s="6"/>
    </row>
    <row r="96" spans="5:42" ht="12.75">
      <c r="E96" s="30"/>
      <c r="F96" s="30"/>
      <c r="G96" s="30"/>
      <c r="H96" s="30"/>
      <c r="I96" s="30"/>
      <c r="J96" s="30"/>
      <c r="K96" s="19"/>
      <c r="L96" s="19"/>
      <c r="M96" s="20"/>
      <c r="N96" s="19"/>
      <c r="O96" s="19"/>
      <c r="P96" s="19"/>
      <c r="Q96" s="19"/>
      <c r="R96" s="19"/>
      <c r="S96" s="19"/>
      <c r="T96" s="20"/>
      <c r="U96" s="19"/>
      <c r="V96" s="19"/>
      <c r="W96" s="19"/>
      <c r="X96" s="19"/>
      <c r="Y96" s="19"/>
      <c r="Z96" s="20"/>
      <c r="AA96" s="19"/>
      <c r="AB96" s="19"/>
      <c r="AC96" s="19"/>
      <c r="AD96" s="19"/>
      <c r="AE96" s="19"/>
      <c r="AF96" s="19"/>
      <c r="AG96" s="19"/>
      <c r="AH96" s="19"/>
      <c r="AI96" s="20"/>
      <c r="AJ96" s="21"/>
      <c r="AK96" s="6"/>
      <c r="AL96" s="6"/>
      <c r="AM96" s="6"/>
      <c r="AN96" s="6"/>
      <c r="AO96" s="6"/>
      <c r="AP96" s="6"/>
    </row>
    <row r="97" spans="5:42" ht="12.75">
      <c r="E97" s="30"/>
      <c r="F97" s="30"/>
      <c r="G97" s="30"/>
      <c r="H97" s="30"/>
      <c r="I97" s="30"/>
      <c r="J97" s="30"/>
      <c r="K97" s="19"/>
      <c r="L97" s="19"/>
      <c r="M97" s="20"/>
      <c r="N97" s="19"/>
      <c r="O97" s="19"/>
      <c r="P97" s="19"/>
      <c r="Q97" s="19"/>
      <c r="R97" s="19"/>
      <c r="S97" s="19"/>
      <c r="T97" s="20"/>
      <c r="U97" s="19"/>
      <c r="V97" s="19"/>
      <c r="W97" s="19"/>
      <c r="X97" s="19"/>
      <c r="Y97" s="19"/>
      <c r="Z97" s="20"/>
      <c r="AA97" s="19"/>
      <c r="AB97" s="19"/>
      <c r="AC97" s="19"/>
      <c r="AD97" s="19"/>
      <c r="AE97" s="19"/>
      <c r="AF97" s="19"/>
      <c r="AG97" s="19"/>
      <c r="AH97" s="19"/>
      <c r="AI97" s="20"/>
      <c r="AJ97" s="21"/>
      <c r="AK97" s="6"/>
      <c r="AL97" s="6"/>
      <c r="AM97" s="6"/>
      <c r="AN97" s="6"/>
      <c r="AO97" s="6"/>
      <c r="AP97" s="6"/>
    </row>
    <row r="98" spans="5:42" ht="12.75">
      <c r="E98" s="30"/>
      <c r="F98" s="30"/>
      <c r="G98" s="30"/>
      <c r="H98" s="30"/>
      <c r="I98" s="30"/>
      <c r="J98" s="30"/>
      <c r="K98" s="19"/>
      <c r="L98" s="19"/>
      <c r="M98" s="20"/>
      <c r="N98" s="19"/>
      <c r="O98" s="19"/>
      <c r="P98" s="19"/>
      <c r="Q98" s="19"/>
      <c r="R98" s="19"/>
      <c r="S98" s="19"/>
      <c r="T98" s="20"/>
      <c r="U98" s="19"/>
      <c r="V98" s="19"/>
      <c r="W98" s="19"/>
      <c r="X98" s="19"/>
      <c r="Y98" s="19"/>
      <c r="Z98" s="20"/>
      <c r="AA98" s="19"/>
      <c r="AB98" s="19"/>
      <c r="AC98" s="19"/>
      <c r="AD98" s="19"/>
      <c r="AE98" s="19"/>
      <c r="AF98" s="19"/>
      <c r="AG98" s="19"/>
      <c r="AH98" s="19"/>
      <c r="AI98" s="20"/>
      <c r="AJ98" s="21"/>
      <c r="AK98" s="6"/>
      <c r="AL98" s="6"/>
      <c r="AM98" s="6"/>
      <c r="AN98" s="6"/>
      <c r="AO98" s="6"/>
      <c r="AP98" s="6"/>
    </row>
    <row r="99" spans="5:42" ht="12.75">
      <c r="E99" s="30"/>
      <c r="F99" s="30"/>
      <c r="G99" s="30"/>
      <c r="H99" s="30"/>
      <c r="I99" s="30"/>
      <c r="J99" s="30"/>
      <c r="K99" s="19"/>
      <c r="L99" s="19"/>
      <c r="M99" s="20"/>
      <c r="N99" s="19"/>
      <c r="O99" s="19"/>
      <c r="P99" s="19"/>
      <c r="Q99" s="19"/>
      <c r="R99" s="19"/>
      <c r="S99" s="19"/>
      <c r="T99" s="20"/>
      <c r="U99" s="19"/>
      <c r="V99" s="19"/>
      <c r="W99" s="19"/>
      <c r="X99" s="19"/>
      <c r="Y99" s="19"/>
      <c r="Z99" s="20"/>
      <c r="AA99" s="19"/>
      <c r="AB99" s="19"/>
      <c r="AC99" s="19"/>
      <c r="AD99" s="19"/>
      <c r="AE99" s="19"/>
      <c r="AF99" s="19"/>
      <c r="AG99" s="19"/>
      <c r="AH99" s="19"/>
      <c r="AI99" s="20"/>
      <c r="AJ99" s="21"/>
      <c r="AK99" s="6"/>
      <c r="AL99" s="6"/>
      <c r="AM99" s="6"/>
      <c r="AN99" s="6"/>
      <c r="AO99" s="6"/>
      <c r="AP99" s="6"/>
    </row>
    <row r="100" spans="5:42" ht="12.75">
      <c r="E100" s="30"/>
      <c r="F100" s="30"/>
      <c r="G100" s="30"/>
      <c r="H100" s="30"/>
      <c r="I100" s="30"/>
      <c r="J100" s="30"/>
      <c r="K100" s="19"/>
      <c r="L100" s="19"/>
      <c r="M100" s="20"/>
      <c r="N100" s="19"/>
      <c r="O100" s="19"/>
      <c r="P100" s="19"/>
      <c r="Q100" s="19"/>
      <c r="R100" s="19"/>
      <c r="S100" s="19"/>
      <c r="T100" s="20"/>
      <c r="U100" s="19"/>
      <c r="V100" s="19"/>
      <c r="W100" s="19"/>
      <c r="X100" s="19"/>
      <c r="Y100" s="19"/>
      <c r="Z100" s="20"/>
      <c r="AA100" s="19"/>
      <c r="AB100" s="19"/>
      <c r="AC100" s="19"/>
      <c r="AD100" s="19"/>
      <c r="AE100" s="19"/>
      <c r="AF100" s="19"/>
      <c r="AG100" s="19"/>
      <c r="AH100" s="19"/>
      <c r="AI100" s="20"/>
      <c r="AJ100" s="21"/>
      <c r="AK100" s="6"/>
      <c r="AL100" s="6"/>
      <c r="AM100" s="6"/>
      <c r="AN100" s="6"/>
      <c r="AO100" s="6"/>
      <c r="AP100" s="6"/>
    </row>
    <row r="101" spans="5:42" ht="12.75">
      <c r="E101" s="30"/>
      <c r="F101" s="30"/>
      <c r="G101" s="30"/>
      <c r="H101" s="30"/>
      <c r="I101" s="30"/>
      <c r="J101" s="30"/>
      <c r="K101" s="19"/>
      <c r="L101" s="19"/>
      <c r="M101" s="20"/>
      <c r="N101" s="19"/>
      <c r="O101" s="19"/>
      <c r="P101" s="19"/>
      <c r="Q101" s="19"/>
      <c r="R101" s="19"/>
      <c r="S101" s="19"/>
      <c r="T101" s="20"/>
      <c r="U101" s="19"/>
      <c r="V101" s="19"/>
      <c r="W101" s="19"/>
      <c r="X101" s="19"/>
      <c r="Y101" s="19"/>
      <c r="Z101" s="20"/>
      <c r="AA101" s="19"/>
      <c r="AB101" s="19"/>
      <c r="AC101" s="19"/>
      <c r="AD101" s="19"/>
      <c r="AE101" s="19"/>
      <c r="AF101" s="19"/>
      <c r="AG101" s="19"/>
      <c r="AH101" s="19"/>
      <c r="AI101" s="20"/>
      <c r="AJ101" s="21"/>
      <c r="AK101" s="6"/>
      <c r="AL101" s="6"/>
      <c r="AM101" s="6"/>
      <c r="AN101" s="6"/>
      <c r="AO101" s="6"/>
      <c r="AP101" s="6"/>
    </row>
    <row r="102" spans="5:42" ht="12.75">
      <c r="E102" s="30"/>
      <c r="F102" s="30"/>
      <c r="G102" s="30"/>
      <c r="H102" s="30"/>
      <c r="I102" s="30"/>
      <c r="J102" s="30"/>
      <c r="K102" s="19"/>
      <c r="L102" s="19"/>
      <c r="M102" s="20"/>
      <c r="N102" s="19"/>
      <c r="O102" s="19"/>
      <c r="P102" s="19"/>
      <c r="Q102" s="19"/>
      <c r="R102" s="19"/>
      <c r="S102" s="19"/>
      <c r="T102" s="20"/>
      <c r="U102" s="19"/>
      <c r="V102" s="19"/>
      <c r="W102" s="19"/>
      <c r="X102" s="19"/>
      <c r="Y102" s="19"/>
      <c r="Z102" s="20"/>
      <c r="AA102" s="19"/>
      <c r="AB102" s="19"/>
      <c r="AC102" s="19"/>
      <c r="AD102" s="19"/>
      <c r="AE102" s="19"/>
      <c r="AF102" s="19"/>
      <c r="AG102" s="19"/>
      <c r="AH102" s="19"/>
      <c r="AI102" s="20"/>
      <c r="AJ102" s="21"/>
      <c r="AK102" s="6"/>
      <c r="AL102" s="6"/>
      <c r="AM102" s="6"/>
      <c r="AN102" s="6"/>
      <c r="AO102" s="6"/>
      <c r="AP102" s="6"/>
    </row>
    <row r="103" spans="5:42" ht="12.75">
      <c r="E103" s="30"/>
      <c r="F103" s="30"/>
      <c r="G103" s="30"/>
      <c r="H103" s="30"/>
      <c r="I103" s="30"/>
      <c r="J103" s="30"/>
      <c r="K103" s="19"/>
      <c r="L103" s="19"/>
      <c r="M103" s="20"/>
      <c r="N103" s="19"/>
      <c r="O103" s="19"/>
      <c r="P103" s="19"/>
      <c r="Q103" s="19"/>
      <c r="R103" s="19"/>
      <c r="S103" s="19"/>
      <c r="T103" s="20"/>
      <c r="U103" s="19"/>
      <c r="V103" s="19"/>
      <c r="W103" s="19"/>
      <c r="X103" s="19"/>
      <c r="Y103" s="19"/>
      <c r="Z103" s="20"/>
      <c r="AA103" s="19"/>
      <c r="AB103" s="19"/>
      <c r="AC103" s="19"/>
      <c r="AD103" s="19"/>
      <c r="AE103" s="19"/>
      <c r="AF103" s="19"/>
      <c r="AG103" s="19"/>
      <c r="AH103" s="19"/>
      <c r="AI103" s="20"/>
      <c r="AJ103" s="21"/>
      <c r="AK103" s="6"/>
      <c r="AL103" s="6"/>
      <c r="AM103" s="6"/>
      <c r="AN103" s="6"/>
      <c r="AO103" s="6"/>
      <c r="AP103" s="6"/>
    </row>
    <row r="104" spans="5:42" ht="12.75">
      <c r="E104" s="30"/>
      <c r="F104" s="30"/>
      <c r="G104" s="30"/>
      <c r="H104" s="30"/>
      <c r="I104" s="30"/>
      <c r="J104" s="30"/>
      <c r="K104" s="19"/>
      <c r="L104" s="19"/>
      <c r="M104" s="20"/>
      <c r="N104" s="19"/>
      <c r="O104" s="19"/>
      <c r="P104" s="19"/>
      <c r="Q104" s="19"/>
      <c r="R104" s="19"/>
      <c r="S104" s="19"/>
      <c r="T104" s="20"/>
      <c r="U104" s="19"/>
      <c r="V104" s="19"/>
      <c r="W104" s="19"/>
      <c r="X104" s="19"/>
      <c r="Y104" s="19"/>
      <c r="Z104" s="20"/>
      <c r="AA104" s="19"/>
      <c r="AB104" s="19"/>
      <c r="AC104" s="19"/>
      <c r="AD104" s="19"/>
      <c r="AE104" s="19"/>
      <c r="AF104" s="19"/>
      <c r="AG104" s="19"/>
      <c r="AH104" s="19"/>
      <c r="AI104" s="20"/>
      <c r="AJ104" s="21"/>
      <c r="AK104" s="6"/>
      <c r="AL104" s="6"/>
      <c r="AM104" s="6"/>
      <c r="AN104" s="6"/>
      <c r="AO104" s="6"/>
      <c r="AP104" s="6"/>
    </row>
    <row r="105" spans="5:42" ht="12.75">
      <c r="E105" s="30"/>
      <c r="F105" s="30"/>
      <c r="G105" s="30"/>
      <c r="H105" s="30"/>
      <c r="I105" s="30"/>
      <c r="J105" s="30"/>
      <c r="K105" s="19"/>
      <c r="L105" s="19"/>
      <c r="M105" s="20"/>
      <c r="N105" s="19"/>
      <c r="O105" s="19"/>
      <c r="P105" s="19"/>
      <c r="Q105" s="19"/>
      <c r="R105" s="19"/>
      <c r="S105" s="19"/>
      <c r="T105" s="20"/>
      <c r="U105" s="19"/>
      <c r="V105" s="19"/>
      <c r="W105" s="19"/>
      <c r="X105" s="19"/>
      <c r="Y105" s="19"/>
      <c r="Z105" s="20"/>
      <c r="AA105" s="19"/>
      <c r="AB105" s="19"/>
      <c r="AC105" s="19"/>
      <c r="AD105" s="19"/>
      <c r="AE105" s="19"/>
      <c r="AF105" s="19"/>
      <c r="AG105" s="19"/>
      <c r="AH105" s="19"/>
      <c r="AI105" s="20"/>
      <c r="AJ105" s="21"/>
      <c r="AK105" s="6"/>
      <c r="AL105" s="6"/>
      <c r="AM105" s="6"/>
      <c r="AN105" s="6"/>
      <c r="AO105" s="6"/>
      <c r="AP105" s="6"/>
    </row>
    <row r="106" spans="5:42" ht="12.75">
      <c r="E106" s="30"/>
      <c r="F106" s="30"/>
      <c r="G106" s="30"/>
      <c r="H106" s="30"/>
      <c r="I106" s="30"/>
      <c r="J106" s="30"/>
      <c r="K106" s="19"/>
      <c r="L106" s="19"/>
      <c r="M106" s="20"/>
      <c r="N106" s="19"/>
      <c r="O106" s="19"/>
      <c r="P106" s="19"/>
      <c r="Q106" s="19"/>
      <c r="R106" s="19"/>
      <c r="S106" s="19"/>
      <c r="T106" s="20"/>
      <c r="U106" s="19"/>
      <c r="V106" s="19"/>
      <c r="W106" s="19"/>
      <c r="X106" s="19"/>
      <c r="Y106" s="19"/>
      <c r="Z106" s="20"/>
      <c r="AA106" s="19"/>
      <c r="AB106" s="19"/>
      <c r="AC106" s="19"/>
      <c r="AD106" s="19"/>
      <c r="AE106" s="19"/>
      <c r="AF106" s="19"/>
      <c r="AG106" s="19"/>
      <c r="AH106" s="19"/>
      <c r="AI106" s="20"/>
      <c r="AJ106" s="21"/>
      <c r="AK106" s="6"/>
      <c r="AL106" s="6"/>
      <c r="AM106" s="6"/>
      <c r="AN106" s="6"/>
      <c r="AO106" s="6"/>
      <c r="AP106" s="6"/>
    </row>
  </sheetData>
  <sheetProtection/>
  <mergeCells count="3">
    <mergeCell ref="A3:E3"/>
    <mergeCell ref="AA4:AI4"/>
    <mergeCell ref="K3:M3"/>
  </mergeCells>
  <printOptions horizontalCentered="1" verticalCentered="1"/>
  <pageMargins left="0.8267716535433072" right="0.7480314960629921" top="0.7874015748031497" bottom="0.7874015748031497" header="0.5118110236220472" footer="0.5118110236220472"/>
  <pageSetup fitToHeight="1" fitToWidth="1" horizontalDpi="600" verticalDpi="600" orientation="landscape" paperSize="8" r:id="rId3"/>
  <colBreaks count="1" manualBreakCount="1">
    <brk id="12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workbookViewId="0" topLeftCell="A1">
      <selection activeCell="P59" sqref="P59"/>
    </sheetView>
  </sheetViews>
  <sheetFormatPr defaultColWidth="9.140625" defaultRowHeight="12.75"/>
  <cols>
    <col min="1" max="1" width="18.140625" style="33" customWidth="1"/>
    <col min="2" max="14" width="12.7109375" style="33" customWidth="1"/>
    <col min="15" max="15" width="9.140625" style="33" customWidth="1"/>
    <col min="16" max="16" width="10.00390625" style="33" customWidth="1"/>
    <col min="17" max="16384" width="9.140625" style="33" customWidth="1"/>
  </cols>
  <sheetData>
    <row r="1" spans="1:16" ht="15.75">
      <c r="A1" s="67" t="s">
        <v>174</v>
      </c>
      <c r="B1" s="32"/>
      <c r="C1" s="32"/>
      <c r="D1" s="32"/>
      <c r="E1" s="32"/>
      <c r="F1" s="32"/>
      <c r="G1" s="32"/>
      <c r="K1" s="34" t="s">
        <v>85</v>
      </c>
      <c r="P1" s="33" t="s">
        <v>154</v>
      </c>
    </row>
    <row r="3" spans="1:14" ht="15">
      <c r="A3" s="35"/>
      <c r="B3" s="36" t="s">
        <v>86</v>
      </c>
      <c r="C3" s="36" t="s">
        <v>87</v>
      </c>
      <c r="D3" s="36" t="s">
        <v>88</v>
      </c>
      <c r="E3" s="36" t="s">
        <v>89</v>
      </c>
      <c r="F3" s="36" t="s">
        <v>90</v>
      </c>
      <c r="G3" s="36" t="s">
        <v>91</v>
      </c>
      <c r="H3" s="36" t="s">
        <v>92</v>
      </c>
      <c r="I3" s="36" t="s">
        <v>93</v>
      </c>
      <c r="J3" s="36" t="s">
        <v>94</v>
      </c>
      <c r="K3" s="36" t="s">
        <v>95</v>
      </c>
      <c r="L3" s="36" t="s">
        <v>96</v>
      </c>
      <c r="M3" s="36" t="s">
        <v>97</v>
      </c>
      <c r="N3" s="36" t="s">
        <v>98</v>
      </c>
    </row>
    <row r="4" spans="1:14" ht="15.75" hidden="1">
      <c r="A4" s="37" t="s">
        <v>99</v>
      </c>
      <c r="B4" s="38">
        <v>5640.01</v>
      </c>
      <c r="C4" s="38">
        <v>8877.14</v>
      </c>
      <c r="D4" s="38">
        <v>6632.95</v>
      </c>
      <c r="E4" s="38">
        <v>6604.48</v>
      </c>
      <c r="F4" s="38">
        <v>1818.68</v>
      </c>
      <c r="G4" s="38">
        <v>0</v>
      </c>
      <c r="H4" s="38">
        <v>-241.78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39">
        <f aca="true" t="shared" si="0" ref="N4:N35">SUM(B4:M4)</f>
        <v>29331.48</v>
      </c>
    </row>
    <row r="5" spans="1:14" ht="15.75" hidden="1">
      <c r="A5" s="40" t="s">
        <v>100</v>
      </c>
      <c r="B5" s="38">
        <v>4351.1</v>
      </c>
      <c r="C5" s="38">
        <v>4005.34</v>
      </c>
      <c r="D5" s="38">
        <v>6686.22</v>
      </c>
      <c r="E5" s="38">
        <v>6944.01</v>
      </c>
      <c r="F5" s="38">
        <v>1914.67</v>
      </c>
      <c r="G5" s="38">
        <v>0</v>
      </c>
      <c r="H5" s="38">
        <v>279.11</v>
      </c>
      <c r="I5" s="38">
        <v>0</v>
      </c>
      <c r="J5" s="38">
        <v>0</v>
      </c>
      <c r="K5" s="38">
        <v>-231.11</v>
      </c>
      <c r="L5" s="38">
        <v>0</v>
      </c>
      <c r="M5" s="38">
        <v>0</v>
      </c>
      <c r="N5" s="39">
        <f t="shared" si="0"/>
        <v>23949.339999999997</v>
      </c>
    </row>
    <row r="6" spans="1:14" ht="15.75" hidden="1">
      <c r="A6" s="40" t="s">
        <v>101</v>
      </c>
      <c r="B6" s="38">
        <v>4433.78</v>
      </c>
      <c r="C6" s="38">
        <v>2705.77</v>
      </c>
      <c r="D6" s="38">
        <v>2625.8</v>
      </c>
      <c r="E6" s="38">
        <v>7528.01</v>
      </c>
      <c r="F6" s="38">
        <v>2070.22</v>
      </c>
      <c r="G6" s="38">
        <v>0</v>
      </c>
      <c r="H6" s="38">
        <v>449.78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9">
        <f t="shared" si="0"/>
        <v>19813.36</v>
      </c>
    </row>
    <row r="7" spans="1:14" ht="15.75" hidden="1">
      <c r="A7" s="40" t="s">
        <v>102</v>
      </c>
      <c r="B7" s="38">
        <v>2694.24</v>
      </c>
      <c r="C7" s="38">
        <v>3073.8</v>
      </c>
      <c r="D7" s="38">
        <v>2704</v>
      </c>
      <c r="E7" s="38">
        <v>4901.35</v>
      </c>
      <c r="F7" s="38">
        <v>1885.34</v>
      </c>
      <c r="G7" s="38">
        <v>0</v>
      </c>
      <c r="H7" s="38">
        <v>592.89</v>
      </c>
      <c r="I7" s="38">
        <v>0</v>
      </c>
      <c r="J7" s="38">
        <v>0</v>
      </c>
      <c r="K7" s="38">
        <v>-298.67</v>
      </c>
      <c r="L7" s="38">
        <v>0</v>
      </c>
      <c r="M7" s="38">
        <v>0</v>
      </c>
      <c r="N7" s="39">
        <f t="shared" si="0"/>
        <v>15552.95</v>
      </c>
    </row>
    <row r="8" spans="1:14" ht="15.75" hidden="1">
      <c r="A8" s="40" t="s">
        <v>103</v>
      </c>
      <c r="B8" s="38">
        <v>1949.34</v>
      </c>
      <c r="C8" s="38">
        <v>1126.22</v>
      </c>
      <c r="D8" s="38">
        <v>3832.92</v>
      </c>
      <c r="E8" s="38">
        <v>3703.11</v>
      </c>
      <c r="F8" s="38">
        <v>526.22</v>
      </c>
      <c r="G8" s="38">
        <v>0</v>
      </c>
      <c r="H8" s="38">
        <v>0</v>
      </c>
      <c r="I8" s="38">
        <v>0</v>
      </c>
      <c r="J8" s="38">
        <v>-526.22</v>
      </c>
      <c r="K8" s="38">
        <v>0</v>
      </c>
      <c r="L8" s="38">
        <v>0</v>
      </c>
      <c r="M8" s="38">
        <v>0</v>
      </c>
      <c r="N8" s="39">
        <f t="shared" si="0"/>
        <v>10611.59</v>
      </c>
    </row>
    <row r="9" spans="1:14" ht="15.75" hidden="1">
      <c r="A9" s="40" t="s">
        <v>104</v>
      </c>
      <c r="B9" s="38">
        <v>4531.56</v>
      </c>
      <c r="C9" s="38">
        <v>3661.35</v>
      </c>
      <c r="D9" s="38">
        <v>5621.35</v>
      </c>
      <c r="E9" s="38">
        <v>8084.49</v>
      </c>
      <c r="F9" s="38">
        <v>3652.46</v>
      </c>
      <c r="G9" s="38">
        <v>0</v>
      </c>
      <c r="H9" s="38">
        <v>-455.12</v>
      </c>
      <c r="I9" s="38">
        <v>0</v>
      </c>
      <c r="J9" s="38">
        <v>-592.89</v>
      </c>
      <c r="K9" s="38">
        <v>-250.67</v>
      </c>
      <c r="L9" s="38">
        <v>0</v>
      </c>
      <c r="M9" s="38">
        <v>0</v>
      </c>
      <c r="N9" s="39">
        <f t="shared" si="0"/>
        <v>24252.530000000002</v>
      </c>
    </row>
    <row r="10" spans="1:14" ht="15.75" hidden="1">
      <c r="A10" s="40" t="s">
        <v>105</v>
      </c>
      <c r="B10" s="38">
        <v>4667.54</v>
      </c>
      <c r="C10" s="38">
        <v>5929.79</v>
      </c>
      <c r="D10" s="38">
        <v>5114.66</v>
      </c>
      <c r="E10" s="38">
        <v>6331.57</v>
      </c>
      <c r="F10" s="38">
        <v>2511.1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9">
        <f t="shared" si="0"/>
        <v>24554.659999999996</v>
      </c>
    </row>
    <row r="11" spans="1:14" ht="15.75" hidden="1">
      <c r="A11" s="40" t="s">
        <v>106</v>
      </c>
      <c r="B11" s="38">
        <v>4590.2</v>
      </c>
      <c r="C11" s="38">
        <v>2699.53</v>
      </c>
      <c r="D11" s="38">
        <v>4291.53</v>
      </c>
      <c r="E11" s="38">
        <v>4313.75</v>
      </c>
      <c r="F11" s="38">
        <v>679.1</v>
      </c>
      <c r="G11" s="38">
        <v>0</v>
      </c>
      <c r="H11" s="38">
        <v>-1108.44</v>
      </c>
      <c r="I11" s="38">
        <v>0</v>
      </c>
      <c r="J11" s="38">
        <v>260.44</v>
      </c>
      <c r="K11" s="38">
        <v>0</v>
      </c>
      <c r="L11" s="38">
        <v>0</v>
      </c>
      <c r="M11" s="38">
        <v>0</v>
      </c>
      <c r="N11" s="39">
        <f t="shared" si="0"/>
        <v>15726.109999999997</v>
      </c>
    </row>
    <row r="12" spans="1:14" ht="15.75" hidden="1">
      <c r="A12" s="40" t="s">
        <v>107</v>
      </c>
      <c r="B12" s="38">
        <v>4791.14</v>
      </c>
      <c r="C12" s="38">
        <v>3657.79</v>
      </c>
      <c r="D12" s="38">
        <v>3372.45</v>
      </c>
      <c r="E12" s="38">
        <v>6240.89</v>
      </c>
      <c r="F12" s="38">
        <v>3078.23</v>
      </c>
      <c r="G12" s="38">
        <v>0</v>
      </c>
      <c r="H12" s="38">
        <v>-111.99</v>
      </c>
      <c r="I12" s="38">
        <v>0</v>
      </c>
      <c r="J12" s="38">
        <v>0</v>
      </c>
      <c r="K12" s="38">
        <v>-224.89</v>
      </c>
      <c r="L12" s="38">
        <v>0</v>
      </c>
      <c r="M12" s="38">
        <v>0</v>
      </c>
      <c r="N12" s="39">
        <f t="shared" si="0"/>
        <v>20803.62</v>
      </c>
    </row>
    <row r="13" spans="1:14" ht="15.75" hidden="1">
      <c r="A13" s="40" t="s">
        <v>108</v>
      </c>
      <c r="B13" s="38">
        <v>8902.25</v>
      </c>
      <c r="C13" s="38">
        <v>4137.81</v>
      </c>
      <c r="D13" s="38">
        <v>3051.55</v>
      </c>
      <c r="E13" s="38">
        <v>1970.35</v>
      </c>
      <c r="F13" s="38">
        <v>3933.36</v>
      </c>
      <c r="G13" s="38">
        <v>0</v>
      </c>
      <c r="H13" s="38">
        <v>-189.33</v>
      </c>
      <c r="I13" s="38">
        <v>0</v>
      </c>
      <c r="J13" s="38">
        <v>0</v>
      </c>
      <c r="K13" s="38">
        <v>-283.56</v>
      </c>
      <c r="L13" s="38">
        <v>0</v>
      </c>
      <c r="M13" s="38">
        <v>0</v>
      </c>
      <c r="N13" s="39">
        <f t="shared" si="0"/>
        <v>21522.429999999997</v>
      </c>
    </row>
    <row r="14" spans="1:14" ht="15.75" hidden="1">
      <c r="A14" s="40" t="s">
        <v>109</v>
      </c>
      <c r="B14" s="38">
        <v>4466.65</v>
      </c>
      <c r="C14" s="38">
        <v>3012.45</v>
      </c>
      <c r="D14" s="38">
        <v>4990.2</v>
      </c>
      <c r="E14" s="38">
        <v>2889.78</v>
      </c>
      <c r="F14" s="38">
        <v>2043.55</v>
      </c>
      <c r="G14" s="38">
        <v>0</v>
      </c>
      <c r="H14" s="38">
        <v>288</v>
      </c>
      <c r="I14" s="38">
        <v>0</v>
      </c>
      <c r="J14" s="38">
        <v>-247.11</v>
      </c>
      <c r="K14" s="38">
        <v>-494.22</v>
      </c>
      <c r="L14" s="38">
        <v>0</v>
      </c>
      <c r="M14" s="38">
        <v>0</v>
      </c>
      <c r="N14" s="39">
        <f t="shared" si="0"/>
        <v>16949.3</v>
      </c>
    </row>
    <row r="15" spans="1:14" ht="15.75" hidden="1">
      <c r="A15" s="40" t="s">
        <v>110</v>
      </c>
      <c r="B15" s="38">
        <v>3157.35</v>
      </c>
      <c r="C15" s="38">
        <v>3373.35</v>
      </c>
      <c r="D15" s="38">
        <v>5415.11</v>
      </c>
      <c r="E15" s="38">
        <v>3318.22</v>
      </c>
      <c r="F15" s="38">
        <v>967.11</v>
      </c>
      <c r="G15" s="38">
        <v>0</v>
      </c>
      <c r="H15" s="38">
        <v>473.78</v>
      </c>
      <c r="I15" s="38">
        <v>0</v>
      </c>
      <c r="J15" s="38">
        <v>0</v>
      </c>
      <c r="K15" s="38">
        <v>-494.22</v>
      </c>
      <c r="L15" s="38">
        <v>0</v>
      </c>
      <c r="M15" s="38">
        <v>0</v>
      </c>
      <c r="N15" s="39">
        <f t="shared" si="0"/>
        <v>16210.699999999999</v>
      </c>
    </row>
    <row r="16" spans="1:14" ht="15.75" hidden="1">
      <c r="A16" s="40" t="s">
        <v>111</v>
      </c>
      <c r="B16" s="38">
        <v>3676.45</v>
      </c>
      <c r="C16" s="38">
        <v>4132.45</v>
      </c>
      <c r="D16" s="38">
        <v>6314.67</v>
      </c>
      <c r="E16" s="38">
        <v>5392.91</v>
      </c>
      <c r="F16" s="38">
        <v>1267.56</v>
      </c>
      <c r="G16" s="38">
        <v>0</v>
      </c>
      <c r="H16" s="38">
        <v>-341.33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9">
        <f t="shared" si="0"/>
        <v>20442.71</v>
      </c>
    </row>
    <row r="17" spans="1:14" ht="15.75" hidden="1">
      <c r="A17" s="40" t="s">
        <v>112</v>
      </c>
      <c r="B17" s="38">
        <v>5670.27</v>
      </c>
      <c r="C17" s="38">
        <v>1852.45</v>
      </c>
      <c r="D17" s="38">
        <v>4911.13</v>
      </c>
      <c r="E17" s="38">
        <v>3815.14</v>
      </c>
      <c r="F17" s="38">
        <v>3355.56</v>
      </c>
      <c r="G17" s="38">
        <v>0</v>
      </c>
      <c r="H17" s="38">
        <v>-528.01</v>
      </c>
      <c r="I17" s="38">
        <v>0</v>
      </c>
      <c r="J17" s="38">
        <v>0</v>
      </c>
      <c r="K17" s="38">
        <v>-567.12</v>
      </c>
      <c r="L17" s="38">
        <v>0</v>
      </c>
      <c r="M17" s="38">
        <v>0</v>
      </c>
      <c r="N17" s="39">
        <f t="shared" si="0"/>
        <v>18509.420000000002</v>
      </c>
    </row>
    <row r="18" spans="1:14" ht="15.75" hidden="1">
      <c r="A18" s="40" t="s">
        <v>113</v>
      </c>
      <c r="B18" s="38">
        <v>3297.75</v>
      </c>
      <c r="C18" s="38">
        <v>2194.66</v>
      </c>
      <c r="D18" s="38">
        <v>4512.88</v>
      </c>
      <c r="E18" s="38">
        <v>4251.54</v>
      </c>
      <c r="F18" s="38">
        <v>981.33</v>
      </c>
      <c r="G18" s="38">
        <v>0</v>
      </c>
      <c r="H18" s="38">
        <v>287.11</v>
      </c>
      <c r="I18" s="38">
        <v>0</v>
      </c>
      <c r="J18" s="38">
        <v>0</v>
      </c>
      <c r="K18" s="38">
        <v>-279.11</v>
      </c>
      <c r="L18" s="38">
        <v>0</v>
      </c>
      <c r="M18" s="38">
        <v>0</v>
      </c>
      <c r="N18" s="39">
        <f t="shared" si="0"/>
        <v>15246.160000000002</v>
      </c>
    </row>
    <row r="19" spans="1:14" ht="15.75" hidden="1">
      <c r="A19" s="40" t="s">
        <v>114</v>
      </c>
      <c r="B19" s="38">
        <v>3827.57</v>
      </c>
      <c r="C19" s="38">
        <v>1526.23</v>
      </c>
      <c r="D19" s="38">
        <v>3455.99</v>
      </c>
      <c r="E19" s="38">
        <v>324.43</v>
      </c>
      <c r="F19" s="38">
        <v>1263.12</v>
      </c>
      <c r="G19" s="38">
        <v>0</v>
      </c>
      <c r="H19" s="38">
        <v>-77.33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9">
        <f t="shared" si="0"/>
        <v>10320.01</v>
      </c>
    </row>
    <row r="20" spans="1:14" ht="15.75" hidden="1">
      <c r="A20" s="40" t="s">
        <v>115</v>
      </c>
      <c r="B20" s="38">
        <v>4053.37</v>
      </c>
      <c r="C20" s="38">
        <v>4983.13</v>
      </c>
      <c r="D20" s="38">
        <v>7721.79</v>
      </c>
      <c r="E20" s="38">
        <v>2262.24</v>
      </c>
      <c r="F20" s="38">
        <v>899.56</v>
      </c>
      <c r="G20" s="38">
        <v>0</v>
      </c>
      <c r="H20" s="38">
        <v>-24</v>
      </c>
      <c r="I20" s="38">
        <v>0</v>
      </c>
      <c r="J20" s="38">
        <v>-224.89</v>
      </c>
      <c r="K20" s="38">
        <v>0</v>
      </c>
      <c r="L20" s="38">
        <v>0</v>
      </c>
      <c r="M20" s="38">
        <v>0</v>
      </c>
      <c r="N20" s="39">
        <f t="shared" si="0"/>
        <v>19671.2</v>
      </c>
    </row>
    <row r="21" spans="1:14" ht="15.75" hidden="1">
      <c r="A21" s="40" t="s">
        <v>116</v>
      </c>
      <c r="B21" s="38">
        <v>3448.91</v>
      </c>
      <c r="C21" s="38">
        <v>3841.8</v>
      </c>
      <c r="D21" s="38">
        <v>4264.93</v>
      </c>
      <c r="E21" s="38">
        <v>2452.47</v>
      </c>
      <c r="F21" s="38">
        <v>1478.24</v>
      </c>
      <c r="G21" s="38">
        <v>0</v>
      </c>
      <c r="H21" s="38">
        <v>-283.56</v>
      </c>
      <c r="I21" s="38">
        <v>193.78</v>
      </c>
      <c r="J21" s="38">
        <v>0</v>
      </c>
      <c r="K21" s="38">
        <v>0</v>
      </c>
      <c r="L21" s="38">
        <v>0</v>
      </c>
      <c r="M21" s="38">
        <v>0</v>
      </c>
      <c r="N21" s="39">
        <f t="shared" si="0"/>
        <v>15396.57</v>
      </c>
    </row>
    <row r="22" spans="1:14" ht="15.75" hidden="1">
      <c r="A22" s="40" t="s">
        <v>117</v>
      </c>
      <c r="B22" s="38">
        <v>3853.36</v>
      </c>
      <c r="C22" s="38">
        <v>1980.46</v>
      </c>
      <c r="D22" s="38">
        <v>4465.12</v>
      </c>
      <c r="E22" s="38">
        <v>2902.23</v>
      </c>
      <c r="F22" s="38">
        <v>1980.46</v>
      </c>
      <c r="G22" s="38">
        <v>0</v>
      </c>
      <c r="H22" s="38">
        <v>-328</v>
      </c>
      <c r="I22" s="38">
        <v>0</v>
      </c>
      <c r="J22" s="38">
        <v>-233.78</v>
      </c>
      <c r="K22" s="38">
        <v>0</v>
      </c>
      <c r="L22" s="38">
        <v>0</v>
      </c>
      <c r="M22" s="38">
        <v>0</v>
      </c>
      <c r="N22" s="39">
        <f t="shared" si="0"/>
        <v>14619.849999999997</v>
      </c>
    </row>
    <row r="23" spans="1:14" ht="15.75" hidden="1">
      <c r="A23" s="40" t="s">
        <v>118</v>
      </c>
      <c r="B23" s="38">
        <v>3783.1</v>
      </c>
      <c r="C23" s="38">
        <v>3065.78</v>
      </c>
      <c r="D23" s="38">
        <v>5937.74</v>
      </c>
      <c r="E23" s="38">
        <v>4939.52</v>
      </c>
      <c r="F23" s="38">
        <v>1870.21</v>
      </c>
      <c r="G23" s="38">
        <v>0</v>
      </c>
      <c r="H23" s="38">
        <v>-2346.66</v>
      </c>
      <c r="I23" s="38">
        <v>0</v>
      </c>
      <c r="J23" s="38">
        <v>0</v>
      </c>
      <c r="K23" s="38">
        <v>-278.22</v>
      </c>
      <c r="L23" s="38">
        <v>0</v>
      </c>
      <c r="M23" s="38">
        <v>0</v>
      </c>
      <c r="N23" s="39">
        <f t="shared" si="0"/>
        <v>16971.469999999998</v>
      </c>
    </row>
    <row r="24" spans="1:14" ht="15.75" hidden="1">
      <c r="A24" s="40" t="s">
        <v>119</v>
      </c>
      <c r="B24" s="38">
        <v>1318.23</v>
      </c>
      <c r="C24" s="38">
        <v>1061.34</v>
      </c>
      <c r="D24" s="38">
        <v>5824.96</v>
      </c>
      <c r="E24" s="38">
        <v>4648.05</v>
      </c>
      <c r="F24" s="38">
        <v>797.34</v>
      </c>
      <c r="G24" s="38">
        <v>0</v>
      </c>
      <c r="H24" s="38">
        <v>283.56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9">
        <f t="shared" si="0"/>
        <v>13933.479999999998</v>
      </c>
    </row>
    <row r="25" spans="1:14" ht="15.75" hidden="1">
      <c r="A25" s="40" t="s">
        <v>120</v>
      </c>
      <c r="B25" s="38">
        <v>3700.45</v>
      </c>
      <c r="C25" s="38">
        <v>4098.69</v>
      </c>
      <c r="D25" s="38">
        <v>3698.65</v>
      </c>
      <c r="E25" s="38">
        <v>6641.81</v>
      </c>
      <c r="F25" s="38">
        <v>1086.23</v>
      </c>
      <c r="G25" s="38">
        <v>0</v>
      </c>
      <c r="H25" s="38">
        <v>-393.78</v>
      </c>
      <c r="I25" s="38">
        <v>0</v>
      </c>
      <c r="J25" s="38">
        <v>-696</v>
      </c>
      <c r="K25" s="38">
        <v>-558.22</v>
      </c>
      <c r="L25" s="38">
        <v>0</v>
      </c>
      <c r="M25" s="38">
        <v>0</v>
      </c>
      <c r="N25" s="39">
        <f t="shared" si="0"/>
        <v>17577.829999999998</v>
      </c>
    </row>
    <row r="26" spans="1:14" ht="15.75" hidden="1">
      <c r="A26" s="40" t="s">
        <v>121</v>
      </c>
      <c r="B26" s="38">
        <v>2120.89</v>
      </c>
      <c r="C26" s="38">
        <v>5492.49</v>
      </c>
      <c r="D26" s="38">
        <v>4114.63</v>
      </c>
      <c r="E26" s="38">
        <v>6830.21</v>
      </c>
      <c r="F26" s="38">
        <v>5821.35</v>
      </c>
      <c r="G26" s="38">
        <v>0</v>
      </c>
      <c r="H26" s="38">
        <v>-1064.89</v>
      </c>
      <c r="I26" s="38">
        <v>0</v>
      </c>
      <c r="J26" s="38">
        <v>0</v>
      </c>
      <c r="K26" s="38">
        <v>-1080.89</v>
      </c>
      <c r="L26" s="38">
        <v>0</v>
      </c>
      <c r="M26" s="38">
        <v>0</v>
      </c>
      <c r="N26" s="39">
        <f t="shared" si="0"/>
        <v>22233.79</v>
      </c>
    </row>
    <row r="27" spans="1:14" ht="15.75" hidden="1">
      <c r="A27" s="40" t="s">
        <v>122</v>
      </c>
      <c r="B27" s="38">
        <v>4047.14</v>
      </c>
      <c r="C27" s="38">
        <v>3867.59</v>
      </c>
      <c r="D27" s="38">
        <v>3756.48</v>
      </c>
      <c r="E27" s="38">
        <v>6264.05</v>
      </c>
      <c r="F27" s="38">
        <v>2569.8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9">
        <f t="shared" si="0"/>
        <v>20505.059999999998</v>
      </c>
    </row>
    <row r="28" spans="1:14" ht="15.75" hidden="1">
      <c r="A28" s="40" t="s">
        <v>123</v>
      </c>
      <c r="B28" s="38">
        <v>3505.53</v>
      </c>
      <c r="C28" s="38">
        <v>2991.09</v>
      </c>
      <c r="D28" s="38">
        <v>6454.01</v>
      </c>
      <c r="E28" s="38">
        <v>4840.84</v>
      </c>
      <c r="F28" s="38">
        <v>1660.33</v>
      </c>
      <c r="G28" s="38">
        <v>15</v>
      </c>
      <c r="H28" s="38">
        <v>504.88</v>
      </c>
      <c r="I28" s="38">
        <v>0</v>
      </c>
      <c r="J28" s="38">
        <v>0</v>
      </c>
      <c r="K28" s="38">
        <v>0</v>
      </c>
      <c r="L28" s="38">
        <v>-22.22</v>
      </c>
      <c r="M28" s="38">
        <v>0</v>
      </c>
      <c r="N28" s="39">
        <f t="shared" si="0"/>
        <v>19949.460000000003</v>
      </c>
    </row>
    <row r="29" spans="1:14" ht="15.75" hidden="1">
      <c r="A29" s="40" t="s">
        <v>124</v>
      </c>
      <c r="B29" s="38">
        <v>5625.77</v>
      </c>
      <c r="C29" s="38">
        <v>3200.04</v>
      </c>
      <c r="D29" s="38">
        <v>4632.03</v>
      </c>
      <c r="E29" s="38">
        <v>6372.47</v>
      </c>
      <c r="F29" s="38">
        <v>512.01</v>
      </c>
      <c r="G29" s="38">
        <v>0</v>
      </c>
      <c r="H29" s="38">
        <v>566.24</v>
      </c>
      <c r="I29" s="38">
        <v>0</v>
      </c>
      <c r="J29" s="38">
        <v>170.67</v>
      </c>
      <c r="K29" s="38">
        <v>0</v>
      </c>
      <c r="L29" s="38">
        <v>0</v>
      </c>
      <c r="M29" s="38">
        <v>0</v>
      </c>
      <c r="N29" s="39">
        <f t="shared" si="0"/>
        <v>21079.23</v>
      </c>
    </row>
    <row r="30" spans="1:14" ht="15.75" hidden="1">
      <c r="A30" s="40" t="s">
        <v>125</v>
      </c>
      <c r="B30" s="38">
        <v>8284.44</v>
      </c>
      <c r="C30" s="38">
        <v>5464.44</v>
      </c>
      <c r="D30" s="38">
        <v>5079.57</v>
      </c>
      <c r="E30" s="38">
        <v>3652.43</v>
      </c>
      <c r="F30" s="38">
        <v>1637.33</v>
      </c>
      <c r="G30" s="38">
        <v>0</v>
      </c>
      <c r="H30" s="38">
        <v>198.22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9">
        <f t="shared" si="0"/>
        <v>24316.43</v>
      </c>
    </row>
    <row r="31" spans="1:14" ht="15.75" hidden="1">
      <c r="A31" s="40" t="s">
        <v>126</v>
      </c>
      <c r="B31" s="38">
        <v>2830.23</v>
      </c>
      <c r="C31" s="38">
        <v>812.45</v>
      </c>
      <c r="D31" s="38">
        <v>1441.8</v>
      </c>
      <c r="E31" s="38">
        <v>3992.03</v>
      </c>
      <c r="F31" s="38">
        <v>0</v>
      </c>
      <c r="G31" s="38">
        <v>0</v>
      </c>
      <c r="H31" s="38">
        <v>283.56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9">
        <f t="shared" si="0"/>
        <v>9360.07</v>
      </c>
    </row>
    <row r="32" spans="1:16" ht="15.75">
      <c r="A32" s="40" t="s">
        <v>127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761.06</v>
      </c>
      <c r="J32" s="38">
        <v>182.55</v>
      </c>
      <c r="K32" s="38">
        <v>401.11</v>
      </c>
      <c r="L32" s="38">
        <v>239.56</v>
      </c>
      <c r="M32" s="38">
        <v>713.47</v>
      </c>
      <c r="N32" s="39">
        <f t="shared" si="0"/>
        <v>2297.75</v>
      </c>
      <c r="P32" s="41">
        <f aca="true" t="shared" si="1" ref="P32:P60">SUM(H32:M32)</f>
        <v>2297.75</v>
      </c>
    </row>
    <row r="33" spans="1:16" ht="15.75">
      <c r="A33" s="40" t="s">
        <v>128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124.44</v>
      </c>
      <c r="H33" s="38">
        <v>0</v>
      </c>
      <c r="I33" s="38">
        <v>527.11</v>
      </c>
      <c r="J33" s="38">
        <v>916.95</v>
      </c>
      <c r="K33" s="38">
        <v>470.89</v>
      </c>
      <c r="L33" s="38">
        <v>543.39</v>
      </c>
      <c r="M33" s="38">
        <v>374.89</v>
      </c>
      <c r="N33" s="39">
        <f t="shared" si="0"/>
        <v>2957.6699999999996</v>
      </c>
      <c r="P33" s="41">
        <f t="shared" si="1"/>
        <v>2833.2299999999996</v>
      </c>
    </row>
    <row r="34" spans="1:16" ht="15.75">
      <c r="A34" s="40" t="s">
        <v>129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192.91</v>
      </c>
      <c r="I34" s="38">
        <v>0</v>
      </c>
      <c r="J34" s="38">
        <v>725.33</v>
      </c>
      <c r="K34" s="38">
        <v>0</v>
      </c>
      <c r="L34" s="38">
        <v>151.11</v>
      </c>
      <c r="M34" s="38">
        <v>759.55</v>
      </c>
      <c r="N34" s="39">
        <f t="shared" si="0"/>
        <v>1828.8999999999999</v>
      </c>
      <c r="P34" s="41">
        <f t="shared" si="1"/>
        <v>1828.8999999999999</v>
      </c>
    </row>
    <row r="35" spans="1:16" ht="15.75">
      <c r="A35" s="40" t="s">
        <v>130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150</v>
      </c>
      <c r="H35" s="38">
        <v>195</v>
      </c>
      <c r="I35" s="38">
        <v>120</v>
      </c>
      <c r="J35" s="38">
        <v>0</v>
      </c>
      <c r="K35" s="38">
        <v>526</v>
      </c>
      <c r="L35" s="38">
        <v>221.67</v>
      </c>
      <c r="M35" s="38">
        <v>644.22</v>
      </c>
      <c r="N35" s="39">
        <f t="shared" si="0"/>
        <v>1856.89</v>
      </c>
      <c r="P35" s="41">
        <f t="shared" si="1"/>
        <v>1706.89</v>
      </c>
    </row>
    <row r="36" spans="1:16" ht="15.75">
      <c r="A36" s="40" t="s">
        <v>131</v>
      </c>
      <c r="B36" s="38">
        <v>0</v>
      </c>
      <c r="C36" s="38">
        <v>0</v>
      </c>
      <c r="D36" s="38">
        <v>0</v>
      </c>
      <c r="E36" s="38">
        <v>0</v>
      </c>
      <c r="F36" s="38">
        <v>0</v>
      </c>
      <c r="G36" s="38">
        <v>278.12</v>
      </c>
      <c r="H36" s="38">
        <v>0</v>
      </c>
      <c r="I36" s="38">
        <v>0</v>
      </c>
      <c r="J36" s="38">
        <v>0</v>
      </c>
      <c r="K36" s="38">
        <v>0</v>
      </c>
      <c r="L36" s="38">
        <v>227.44</v>
      </c>
      <c r="M36" s="38">
        <v>0</v>
      </c>
      <c r="N36" s="39">
        <f aca="true" t="shared" si="2" ref="N36:N60">SUM(B36:M36)</f>
        <v>505.56</v>
      </c>
      <c r="P36" s="41">
        <f t="shared" si="1"/>
        <v>227.44</v>
      </c>
    </row>
    <row r="37" spans="1:16" ht="15.75">
      <c r="A37" s="40" t="s">
        <v>132</v>
      </c>
      <c r="B37" s="38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280.07</v>
      </c>
      <c r="I37" s="38">
        <v>382.23</v>
      </c>
      <c r="J37" s="38">
        <v>287.55</v>
      </c>
      <c r="K37" s="38">
        <v>160</v>
      </c>
      <c r="L37" s="38">
        <v>28.89</v>
      </c>
      <c r="M37" s="38">
        <v>644.7</v>
      </c>
      <c r="N37" s="39">
        <f t="shared" si="2"/>
        <v>1783.44</v>
      </c>
      <c r="P37" s="41">
        <f t="shared" si="1"/>
        <v>1783.44</v>
      </c>
    </row>
    <row r="38" spans="1:16" ht="15.75">
      <c r="A38" s="40" t="s">
        <v>133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57.33</v>
      </c>
      <c r="L38" s="38">
        <v>251.28</v>
      </c>
      <c r="M38" s="38">
        <v>7.11</v>
      </c>
      <c r="N38" s="39">
        <f t="shared" si="2"/>
        <v>315.72</v>
      </c>
      <c r="P38" s="41">
        <f t="shared" si="1"/>
        <v>315.72</v>
      </c>
    </row>
    <row r="39" spans="1:16" ht="15.75">
      <c r="A39" s="40" t="s">
        <v>134</v>
      </c>
      <c r="B39" s="38">
        <v>0</v>
      </c>
      <c r="C39" s="38">
        <v>0</v>
      </c>
      <c r="D39" s="38">
        <v>0</v>
      </c>
      <c r="E39" s="38">
        <v>0</v>
      </c>
      <c r="F39" s="38">
        <v>0</v>
      </c>
      <c r="G39" s="38">
        <v>562.91</v>
      </c>
      <c r="H39" s="38">
        <v>0</v>
      </c>
      <c r="I39" s="38">
        <v>128</v>
      </c>
      <c r="J39" s="38">
        <v>290.67</v>
      </c>
      <c r="K39" s="38">
        <v>980.9</v>
      </c>
      <c r="L39" s="38">
        <v>0</v>
      </c>
      <c r="M39" s="38">
        <v>1518.47</v>
      </c>
      <c r="N39" s="39">
        <f t="shared" si="2"/>
        <v>3480.95</v>
      </c>
      <c r="P39" s="41">
        <f t="shared" si="1"/>
        <v>2918.04</v>
      </c>
    </row>
    <row r="40" spans="1:16" ht="15.75">
      <c r="A40" s="40" t="s">
        <v>135</v>
      </c>
      <c r="B40" s="38">
        <v>0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1356.85</v>
      </c>
      <c r="I40" s="38">
        <v>438.34</v>
      </c>
      <c r="J40" s="38">
        <v>542.22</v>
      </c>
      <c r="K40" s="38">
        <v>550.22</v>
      </c>
      <c r="L40" s="38">
        <v>1385.38</v>
      </c>
      <c r="M40" s="38">
        <v>714.21</v>
      </c>
      <c r="N40" s="39">
        <f t="shared" si="2"/>
        <v>4987.22</v>
      </c>
      <c r="P40" s="41">
        <f t="shared" si="1"/>
        <v>4987.22</v>
      </c>
    </row>
    <row r="41" spans="1:16" ht="15.75">
      <c r="A41" s="40" t="s">
        <v>108</v>
      </c>
      <c r="B41" s="38">
        <v>0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1109.02</v>
      </c>
      <c r="K41" s="38">
        <v>936.61</v>
      </c>
      <c r="L41" s="38">
        <v>810.33</v>
      </c>
      <c r="M41" s="38">
        <v>997.76</v>
      </c>
      <c r="N41" s="39">
        <f t="shared" si="2"/>
        <v>3853.7200000000003</v>
      </c>
      <c r="P41" s="41">
        <f t="shared" si="1"/>
        <v>3853.7200000000003</v>
      </c>
    </row>
    <row r="42" spans="1:16" ht="15.75">
      <c r="A42" s="40" t="s">
        <v>136</v>
      </c>
      <c r="B42" s="38">
        <v>0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243.56</v>
      </c>
      <c r="L42" s="38">
        <v>0</v>
      </c>
      <c r="M42" s="68">
        <v>138.59</v>
      </c>
      <c r="N42" s="39">
        <f t="shared" si="2"/>
        <v>382.15</v>
      </c>
      <c r="P42" s="41">
        <f t="shared" si="1"/>
        <v>382.15</v>
      </c>
    </row>
    <row r="43" spans="1:16" ht="15.75">
      <c r="A43" s="40" t="s">
        <v>137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133.34</v>
      </c>
      <c r="J43" s="38">
        <v>510.13</v>
      </c>
      <c r="K43" s="38">
        <v>111.1</v>
      </c>
      <c r="L43" s="38">
        <v>0</v>
      </c>
      <c r="M43" s="38">
        <v>0</v>
      </c>
      <c r="N43" s="39">
        <f t="shared" si="2"/>
        <v>754.57</v>
      </c>
      <c r="P43" s="41">
        <f t="shared" si="1"/>
        <v>754.57</v>
      </c>
    </row>
    <row r="44" spans="1:16" ht="15.75">
      <c r="A44" s="40" t="s">
        <v>138</v>
      </c>
      <c r="B44" s="38">
        <v>0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92.89</v>
      </c>
      <c r="I44" s="38">
        <v>165.24</v>
      </c>
      <c r="J44" s="38">
        <v>-13.24</v>
      </c>
      <c r="K44" s="38">
        <v>382.66</v>
      </c>
      <c r="L44" s="38">
        <v>151.11</v>
      </c>
      <c r="M44" s="38">
        <v>201.78</v>
      </c>
      <c r="N44" s="39">
        <f t="shared" si="2"/>
        <v>980.4399999999999</v>
      </c>
      <c r="P44" s="41">
        <f t="shared" si="1"/>
        <v>980.4399999999999</v>
      </c>
    </row>
    <row r="45" spans="1:16" ht="15.75">
      <c r="A45" s="40" t="s">
        <v>139</v>
      </c>
      <c r="B45" s="38">
        <v>0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179.02</v>
      </c>
      <c r="J45" s="38">
        <v>0</v>
      </c>
      <c r="K45" s="38">
        <v>176.89</v>
      </c>
      <c r="L45" s="38">
        <v>0</v>
      </c>
      <c r="M45" s="38">
        <v>142.22</v>
      </c>
      <c r="N45" s="39">
        <f t="shared" si="2"/>
        <v>498.13</v>
      </c>
      <c r="P45" s="41">
        <f t="shared" si="1"/>
        <v>498.13</v>
      </c>
    </row>
    <row r="46" spans="1:16" ht="15.75">
      <c r="A46" s="40" t="s">
        <v>140</v>
      </c>
      <c r="B46" s="38">
        <v>0</v>
      </c>
      <c r="C46" s="38">
        <v>0</v>
      </c>
      <c r="D46" s="38">
        <v>0</v>
      </c>
      <c r="E46" s="38">
        <v>0</v>
      </c>
      <c r="F46" s="38">
        <v>0</v>
      </c>
      <c r="G46" s="38">
        <v>186.67</v>
      </c>
      <c r="H46" s="38">
        <v>883.66</v>
      </c>
      <c r="I46" s="38">
        <v>1178.66</v>
      </c>
      <c r="J46" s="38">
        <v>2139.24</v>
      </c>
      <c r="K46" s="38">
        <v>1505.69</v>
      </c>
      <c r="L46" s="38">
        <v>1015.03</v>
      </c>
      <c r="M46" s="38">
        <v>1083.11</v>
      </c>
      <c r="N46" s="39">
        <f t="shared" si="2"/>
        <v>7992.0599999999995</v>
      </c>
      <c r="P46" s="41">
        <f t="shared" si="1"/>
        <v>7805.389999999999</v>
      </c>
    </row>
    <row r="47" spans="1:16" ht="15.75">
      <c r="A47" s="40" t="s">
        <v>141</v>
      </c>
      <c r="B47" s="38">
        <v>0</v>
      </c>
      <c r="C47" s="38">
        <v>0</v>
      </c>
      <c r="D47" s="38">
        <v>0</v>
      </c>
      <c r="E47" s="38">
        <v>0</v>
      </c>
      <c r="F47" s="38">
        <v>0</v>
      </c>
      <c r="G47" s="38">
        <v>220</v>
      </c>
      <c r="H47" s="38">
        <v>0</v>
      </c>
      <c r="I47" s="38">
        <v>321.78</v>
      </c>
      <c r="J47" s="38">
        <v>127.11</v>
      </c>
      <c r="K47" s="38">
        <v>363.46</v>
      </c>
      <c r="L47" s="38">
        <v>0</v>
      </c>
      <c r="M47" s="38">
        <v>544.6</v>
      </c>
      <c r="N47" s="39">
        <f t="shared" si="2"/>
        <v>1576.9499999999998</v>
      </c>
      <c r="P47" s="41">
        <f t="shared" si="1"/>
        <v>1356.9499999999998</v>
      </c>
    </row>
    <row r="48" spans="1:16" ht="15.75">
      <c r="A48" s="40" t="s">
        <v>142</v>
      </c>
      <c r="B48" s="38">
        <v>0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142.22</v>
      </c>
      <c r="I48" s="38">
        <v>1181.23</v>
      </c>
      <c r="J48" s="38">
        <v>318.22</v>
      </c>
      <c r="K48" s="38">
        <v>1205.43</v>
      </c>
      <c r="L48" s="38">
        <v>182.05</v>
      </c>
      <c r="M48" s="38">
        <v>461.06</v>
      </c>
      <c r="N48" s="39">
        <f t="shared" si="2"/>
        <v>3490.2100000000005</v>
      </c>
      <c r="P48" s="41">
        <f t="shared" si="1"/>
        <v>3490.2100000000005</v>
      </c>
    </row>
    <row r="49" spans="1:16" ht="15.75">
      <c r="A49" s="40" t="s">
        <v>143</v>
      </c>
      <c r="B49" s="38">
        <v>0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9">
        <f t="shared" si="2"/>
        <v>0</v>
      </c>
      <c r="P49" s="41">
        <f t="shared" si="1"/>
        <v>0</v>
      </c>
    </row>
    <row r="50" spans="1:16" ht="15.75">
      <c r="A50" s="40" t="s">
        <v>144</v>
      </c>
      <c r="B50" s="38">
        <v>0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282.22</v>
      </c>
      <c r="K50" s="38">
        <v>0</v>
      </c>
      <c r="L50" s="38">
        <v>157.24</v>
      </c>
      <c r="M50" s="38">
        <v>0</v>
      </c>
      <c r="N50" s="39">
        <f t="shared" si="2"/>
        <v>439.46000000000004</v>
      </c>
      <c r="P50" s="41">
        <f t="shared" si="1"/>
        <v>439.46000000000004</v>
      </c>
    </row>
    <row r="51" spans="1:16" ht="15.75">
      <c r="A51" s="40" t="s">
        <v>145</v>
      </c>
      <c r="B51" s="38">
        <v>0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195</v>
      </c>
      <c r="J51" s="38">
        <v>320</v>
      </c>
      <c r="K51" s="38">
        <v>153.78</v>
      </c>
      <c r="L51" s="38">
        <v>0</v>
      </c>
      <c r="M51" s="38">
        <v>1067</v>
      </c>
      <c r="N51" s="39">
        <f t="shared" si="2"/>
        <v>1735.78</v>
      </c>
      <c r="P51" s="41">
        <f t="shared" si="1"/>
        <v>1735.78</v>
      </c>
    </row>
    <row r="52" spans="1:16" ht="15.75">
      <c r="A52" s="40" t="s">
        <v>146</v>
      </c>
      <c r="B52" s="38">
        <v>0</v>
      </c>
      <c r="C52" s="38">
        <v>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494.8</v>
      </c>
      <c r="M52" s="38">
        <v>0</v>
      </c>
      <c r="N52" s="39">
        <f t="shared" si="2"/>
        <v>494.8</v>
      </c>
      <c r="P52" s="41">
        <f t="shared" si="1"/>
        <v>494.8</v>
      </c>
    </row>
    <row r="53" spans="1:16" ht="15.75">
      <c r="A53" s="40" t="s">
        <v>147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397.77</v>
      </c>
      <c r="J53" s="38">
        <v>296.89</v>
      </c>
      <c r="K53" s="38">
        <v>598</v>
      </c>
      <c r="L53" s="38">
        <v>0</v>
      </c>
      <c r="M53" s="38">
        <v>13.33</v>
      </c>
      <c r="N53" s="39">
        <f t="shared" si="2"/>
        <v>1305.9899999999998</v>
      </c>
      <c r="P53" s="41">
        <f t="shared" si="1"/>
        <v>1305.9899999999998</v>
      </c>
    </row>
    <row r="54" spans="1:16" ht="15.75">
      <c r="A54" s="40" t="s">
        <v>108</v>
      </c>
      <c r="B54" s="38">
        <v>0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728.08</v>
      </c>
      <c r="J54" s="38">
        <v>1782.83</v>
      </c>
      <c r="K54" s="38">
        <v>817.12</v>
      </c>
      <c r="L54" s="38">
        <v>75.2</v>
      </c>
      <c r="M54" s="38">
        <v>2614.35</v>
      </c>
      <c r="N54" s="39">
        <f t="shared" si="2"/>
        <v>6017.58</v>
      </c>
      <c r="P54" s="41">
        <f t="shared" si="1"/>
        <v>6017.58</v>
      </c>
    </row>
    <row r="55" spans="1:16" ht="15.75">
      <c r="A55" s="40" t="s">
        <v>148</v>
      </c>
      <c r="B55" s="38">
        <v>0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565.62</v>
      </c>
      <c r="J55" s="38">
        <v>414.46</v>
      </c>
      <c r="K55" s="38">
        <v>236.55</v>
      </c>
      <c r="L55" s="38">
        <v>529.95</v>
      </c>
      <c r="M55" s="38">
        <v>401.33</v>
      </c>
      <c r="N55" s="39">
        <f t="shared" si="2"/>
        <v>2147.91</v>
      </c>
      <c r="P55" s="41">
        <f t="shared" si="1"/>
        <v>2147.91</v>
      </c>
    </row>
    <row r="56" spans="1:16" ht="15.75">
      <c r="A56" s="40" t="s">
        <v>149</v>
      </c>
      <c r="B56" s="38">
        <v>0</v>
      </c>
      <c r="C56" s="38">
        <v>0</v>
      </c>
      <c r="D56" s="38">
        <v>0</v>
      </c>
      <c r="E56" s="38">
        <v>0</v>
      </c>
      <c r="F56" s="38">
        <v>0</v>
      </c>
      <c r="G56" s="38">
        <v>151.11</v>
      </c>
      <c r="H56" s="38">
        <v>152.89</v>
      </c>
      <c r="I56" s="38">
        <v>1295.7</v>
      </c>
      <c r="J56" s="38">
        <v>1506.57</v>
      </c>
      <c r="K56" s="38">
        <v>546.94</v>
      </c>
      <c r="L56" s="38">
        <v>998.25</v>
      </c>
      <c r="M56" s="38">
        <v>2345.37</v>
      </c>
      <c r="N56" s="39">
        <f t="shared" si="2"/>
        <v>6996.83</v>
      </c>
      <c r="P56" s="41">
        <f t="shared" si="1"/>
        <v>6845.72</v>
      </c>
    </row>
    <row r="57" spans="1:16" ht="15.75">
      <c r="A57" s="40" t="s">
        <v>150</v>
      </c>
      <c r="B57" s="38">
        <v>0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  <c r="H57" s="38">
        <v>201.78</v>
      </c>
      <c r="I57" s="38">
        <v>1817.72</v>
      </c>
      <c r="J57" s="38">
        <v>0</v>
      </c>
      <c r="K57" s="38">
        <v>1062.23</v>
      </c>
      <c r="L57" s="38">
        <v>310.66</v>
      </c>
      <c r="M57" s="38">
        <v>-200.98</v>
      </c>
      <c r="N57" s="39">
        <f t="shared" si="2"/>
        <v>3191.41</v>
      </c>
      <c r="P57" s="41">
        <f t="shared" si="1"/>
        <v>3191.41</v>
      </c>
    </row>
    <row r="58" spans="1:16" ht="15.75">
      <c r="A58" s="40" t="s">
        <v>151</v>
      </c>
      <c r="B58" s="38">
        <v>0</v>
      </c>
      <c r="C58" s="38">
        <v>0</v>
      </c>
      <c r="D58" s="38">
        <v>0</v>
      </c>
      <c r="E58" s="38">
        <v>0</v>
      </c>
      <c r="F58" s="38">
        <v>0</v>
      </c>
      <c r="G58" s="38">
        <v>773.67</v>
      </c>
      <c r="H58" s="38">
        <v>0</v>
      </c>
      <c r="I58" s="38">
        <v>929.34</v>
      </c>
      <c r="J58" s="38">
        <v>1232.26</v>
      </c>
      <c r="K58" s="38">
        <v>717.33</v>
      </c>
      <c r="L58" s="38">
        <v>201.8</v>
      </c>
      <c r="M58" s="38">
        <v>1164.4</v>
      </c>
      <c r="N58" s="39">
        <f t="shared" si="2"/>
        <v>5018.8</v>
      </c>
      <c r="P58" s="41">
        <f t="shared" si="1"/>
        <v>4245.13</v>
      </c>
    </row>
    <row r="59" spans="1:16" ht="15.75">
      <c r="A59" s="40" t="s">
        <v>122</v>
      </c>
      <c r="B59" s="38">
        <v>0</v>
      </c>
      <c r="C59" s="38">
        <v>0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161.33</v>
      </c>
      <c r="K59" s="38">
        <v>196</v>
      </c>
      <c r="L59" s="38">
        <v>0</v>
      </c>
      <c r="M59" s="38">
        <v>143.2</v>
      </c>
      <c r="N59" s="39">
        <f t="shared" si="2"/>
        <v>500.53000000000003</v>
      </c>
      <c r="P59" s="41">
        <f t="shared" si="1"/>
        <v>500.53000000000003</v>
      </c>
    </row>
    <row r="60" spans="1:16" ht="15.75">
      <c r="A60" s="40" t="s">
        <v>153</v>
      </c>
      <c r="B60" s="38">
        <v>0</v>
      </c>
      <c r="C60" s="38">
        <v>0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146.67</v>
      </c>
      <c r="N60" s="39">
        <f t="shared" si="2"/>
        <v>146.67</v>
      </c>
      <c r="P60" s="41">
        <f t="shared" si="1"/>
        <v>146.67</v>
      </c>
    </row>
    <row r="61" spans="2:13" ht="15">
      <c r="B61" s="39">
        <f aca="true" t="shared" si="3" ref="B61:M61">SUM(B4:B60)</f>
        <v>117218.62</v>
      </c>
      <c r="C61" s="39">
        <f t="shared" si="3"/>
        <v>96825.42999999998</v>
      </c>
      <c r="D61" s="39">
        <f t="shared" si="3"/>
        <v>130925.12000000001</v>
      </c>
      <c r="E61" s="39">
        <f t="shared" si="3"/>
        <v>132412.38</v>
      </c>
      <c r="F61" s="39">
        <f t="shared" si="3"/>
        <v>52260.47000000001</v>
      </c>
      <c r="G61" s="39">
        <f t="shared" si="3"/>
        <v>2461.92</v>
      </c>
      <c r="H61" s="39">
        <f t="shared" si="3"/>
        <v>211.17999999999893</v>
      </c>
      <c r="I61" s="39">
        <f t="shared" si="3"/>
        <v>11639.02</v>
      </c>
      <c r="J61" s="39">
        <f t="shared" si="3"/>
        <v>11042.53</v>
      </c>
      <c r="K61" s="39">
        <f t="shared" si="3"/>
        <v>7358.9</v>
      </c>
      <c r="L61" s="39">
        <f t="shared" si="3"/>
        <v>7952.92</v>
      </c>
      <c r="M61" s="39">
        <f t="shared" si="3"/>
        <v>16640.409999999996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1"/>
  <sheetViews>
    <sheetView workbookViewId="0" topLeftCell="A1">
      <selection activeCell="H59" sqref="H59:M59"/>
    </sheetView>
  </sheetViews>
  <sheetFormatPr defaultColWidth="9.140625" defaultRowHeight="12.75"/>
  <cols>
    <col min="1" max="1" width="18.140625" style="33" customWidth="1"/>
    <col min="2" max="14" width="12.7109375" style="33" customWidth="1"/>
    <col min="15" max="15" width="9.140625" style="33" customWidth="1"/>
    <col min="16" max="16" width="10.00390625" style="33" customWidth="1"/>
    <col min="17" max="16384" width="9.140625" style="33" customWidth="1"/>
  </cols>
  <sheetData>
    <row r="1" spans="1:16" ht="15.75">
      <c r="A1" s="32" t="s">
        <v>152</v>
      </c>
      <c r="B1" s="32"/>
      <c r="C1" s="32"/>
      <c r="D1" s="32"/>
      <c r="E1" s="32"/>
      <c r="F1" s="32"/>
      <c r="G1" s="32"/>
      <c r="K1" s="34" t="s">
        <v>85</v>
      </c>
      <c r="P1" s="33" t="s">
        <v>154</v>
      </c>
    </row>
    <row r="3" spans="1:14" ht="15">
      <c r="A3" s="35"/>
      <c r="B3" s="36" t="s">
        <v>86</v>
      </c>
      <c r="C3" s="36" t="s">
        <v>87</v>
      </c>
      <c r="D3" s="36" t="s">
        <v>88</v>
      </c>
      <c r="E3" s="36" t="s">
        <v>89</v>
      </c>
      <c r="F3" s="36" t="s">
        <v>90</v>
      </c>
      <c r="G3" s="36" t="s">
        <v>91</v>
      </c>
      <c r="H3" s="36" t="s">
        <v>92</v>
      </c>
      <c r="I3" s="36" t="s">
        <v>93</v>
      </c>
      <c r="J3" s="36" t="s">
        <v>94</v>
      </c>
      <c r="K3" s="36" t="s">
        <v>95</v>
      </c>
      <c r="L3" s="36" t="s">
        <v>96</v>
      </c>
      <c r="M3" s="36" t="s">
        <v>97</v>
      </c>
      <c r="N3" s="36" t="s">
        <v>98</v>
      </c>
    </row>
    <row r="4" spans="1:14" ht="15.75" hidden="1">
      <c r="A4" s="37" t="s">
        <v>99</v>
      </c>
      <c r="B4" s="38">
        <v>5640.01</v>
      </c>
      <c r="C4" s="38">
        <v>8877.14</v>
      </c>
      <c r="D4" s="38">
        <v>6632.95</v>
      </c>
      <c r="E4" s="38">
        <v>6604.48</v>
      </c>
      <c r="F4" s="38">
        <v>1818.68</v>
      </c>
      <c r="G4" s="38">
        <v>0</v>
      </c>
      <c r="H4" s="38">
        <v>-241.78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39">
        <f>SUM(B4:M4)</f>
        <v>29331.48</v>
      </c>
    </row>
    <row r="5" spans="1:14" ht="15.75" hidden="1">
      <c r="A5" s="40" t="s">
        <v>100</v>
      </c>
      <c r="B5" s="38">
        <v>4351.1</v>
      </c>
      <c r="C5" s="38">
        <v>4005.34</v>
      </c>
      <c r="D5" s="38">
        <v>6686.22</v>
      </c>
      <c r="E5" s="38">
        <v>6944.01</v>
      </c>
      <c r="F5" s="38">
        <v>1914.67</v>
      </c>
      <c r="G5" s="38">
        <v>0</v>
      </c>
      <c r="H5" s="38">
        <v>279.11</v>
      </c>
      <c r="I5" s="38">
        <v>0</v>
      </c>
      <c r="J5" s="38">
        <v>0</v>
      </c>
      <c r="K5" s="38">
        <v>-231.11</v>
      </c>
      <c r="L5" s="38">
        <v>0</v>
      </c>
      <c r="M5" s="38">
        <v>0</v>
      </c>
      <c r="N5" s="39">
        <f aca="true" t="shared" si="0" ref="N5:N60">SUM(B5:M5)</f>
        <v>23949.339999999997</v>
      </c>
    </row>
    <row r="6" spans="1:14" ht="15.75" hidden="1">
      <c r="A6" s="40" t="s">
        <v>101</v>
      </c>
      <c r="B6" s="38">
        <v>4433.78</v>
      </c>
      <c r="C6" s="38">
        <v>2705.77</v>
      </c>
      <c r="D6" s="38">
        <v>2625.8</v>
      </c>
      <c r="E6" s="38">
        <v>7528.01</v>
      </c>
      <c r="F6" s="38">
        <v>2070.22</v>
      </c>
      <c r="G6" s="38">
        <v>0</v>
      </c>
      <c r="H6" s="38">
        <v>449.78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9">
        <f t="shared" si="0"/>
        <v>19813.36</v>
      </c>
    </row>
    <row r="7" spans="1:14" ht="15.75" hidden="1">
      <c r="A7" s="40" t="s">
        <v>102</v>
      </c>
      <c r="B7" s="38">
        <v>2694.24</v>
      </c>
      <c r="C7" s="38">
        <v>3073.8</v>
      </c>
      <c r="D7" s="38">
        <v>2704</v>
      </c>
      <c r="E7" s="38">
        <v>4901.35</v>
      </c>
      <c r="F7" s="38">
        <v>1885.34</v>
      </c>
      <c r="G7" s="38">
        <v>0</v>
      </c>
      <c r="H7" s="38">
        <v>592.89</v>
      </c>
      <c r="I7" s="38">
        <v>0</v>
      </c>
      <c r="J7" s="38">
        <v>0</v>
      </c>
      <c r="K7" s="38">
        <v>-298.67</v>
      </c>
      <c r="L7" s="38">
        <v>0</v>
      </c>
      <c r="M7" s="38">
        <v>0</v>
      </c>
      <c r="N7" s="39">
        <f t="shared" si="0"/>
        <v>15552.95</v>
      </c>
    </row>
    <row r="8" spans="1:14" ht="15.75" hidden="1">
      <c r="A8" s="40" t="s">
        <v>103</v>
      </c>
      <c r="B8" s="38">
        <v>1949.34</v>
      </c>
      <c r="C8" s="38">
        <v>1126.22</v>
      </c>
      <c r="D8" s="38">
        <v>3832.92</v>
      </c>
      <c r="E8" s="38">
        <v>3703.11</v>
      </c>
      <c r="F8" s="38">
        <v>526.22</v>
      </c>
      <c r="G8" s="38">
        <v>0</v>
      </c>
      <c r="H8" s="38">
        <v>0</v>
      </c>
      <c r="I8" s="38">
        <v>0</v>
      </c>
      <c r="J8" s="38">
        <v>-526.22</v>
      </c>
      <c r="K8" s="38">
        <v>0</v>
      </c>
      <c r="L8" s="38">
        <v>0</v>
      </c>
      <c r="M8" s="38">
        <v>0</v>
      </c>
      <c r="N8" s="39">
        <f t="shared" si="0"/>
        <v>10611.59</v>
      </c>
    </row>
    <row r="9" spans="1:14" ht="15.75" hidden="1">
      <c r="A9" s="40" t="s">
        <v>104</v>
      </c>
      <c r="B9" s="38">
        <v>4531.56</v>
      </c>
      <c r="C9" s="38">
        <v>3661.35</v>
      </c>
      <c r="D9" s="38">
        <v>5621.35</v>
      </c>
      <c r="E9" s="38">
        <v>8084.49</v>
      </c>
      <c r="F9" s="38">
        <v>3652.46</v>
      </c>
      <c r="G9" s="38">
        <v>0</v>
      </c>
      <c r="H9" s="38">
        <v>-455.12</v>
      </c>
      <c r="I9" s="38">
        <v>0</v>
      </c>
      <c r="J9" s="38">
        <v>-592.89</v>
      </c>
      <c r="K9" s="38">
        <v>-250.67</v>
      </c>
      <c r="L9" s="38">
        <v>0</v>
      </c>
      <c r="M9" s="38">
        <v>0</v>
      </c>
      <c r="N9" s="39">
        <f t="shared" si="0"/>
        <v>24252.530000000002</v>
      </c>
    </row>
    <row r="10" spans="1:14" ht="15.75" hidden="1">
      <c r="A10" s="40" t="s">
        <v>105</v>
      </c>
      <c r="B10" s="38">
        <v>4667.54</v>
      </c>
      <c r="C10" s="38">
        <v>5929.79</v>
      </c>
      <c r="D10" s="38">
        <v>5114.66</v>
      </c>
      <c r="E10" s="38">
        <v>6331.57</v>
      </c>
      <c r="F10" s="38">
        <v>2511.1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9">
        <f t="shared" si="0"/>
        <v>24554.659999999996</v>
      </c>
    </row>
    <row r="11" spans="1:14" ht="15.75" hidden="1">
      <c r="A11" s="40" t="s">
        <v>106</v>
      </c>
      <c r="B11" s="38">
        <v>4590.2</v>
      </c>
      <c r="C11" s="38">
        <v>2699.53</v>
      </c>
      <c r="D11" s="38">
        <v>4291.53</v>
      </c>
      <c r="E11" s="38">
        <v>4313.75</v>
      </c>
      <c r="F11" s="38">
        <v>679.1</v>
      </c>
      <c r="G11" s="38">
        <v>0</v>
      </c>
      <c r="H11" s="38">
        <v>-1108.44</v>
      </c>
      <c r="I11" s="38">
        <v>0</v>
      </c>
      <c r="J11" s="38">
        <v>260.44</v>
      </c>
      <c r="K11" s="38">
        <v>0</v>
      </c>
      <c r="L11" s="38">
        <v>0</v>
      </c>
      <c r="M11" s="38">
        <v>0</v>
      </c>
      <c r="N11" s="39">
        <f t="shared" si="0"/>
        <v>15726.109999999997</v>
      </c>
    </row>
    <row r="12" spans="1:14" ht="15.75" hidden="1">
      <c r="A12" s="40" t="s">
        <v>107</v>
      </c>
      <c r="B12" s="38">
        <v>4791.14</v>
      </c>
      <c r="C12" s="38">
        <v>3657.79</v>
      </c>
      <c r="D12" s="38">
        <v>3372.45</v>
      </c>
      <c r="E12" s="38">
        <v>6240.89</v>
      </c>
      <c r="F12" s="38">
        <v>3078.23</v>
      </c>
      <c r="G12" s="38">
        <v>0</v>
      </c>
      <c r="H12" s="38">
        <v>-111.99</v>
      </c>
      <c r="I12" s="38">
        <v>0</v>
      </c>
      <c r="J12" s="38">
        <v>0</v>
      </c>
      <c r="K12" s="38">
        <v>-224.89</v>
      </c>
      <c r="L12" s="38">
        <v>0</v>
      </c>
      <c r="M12" s="38">
        <v>0</v>
      </c>
      <c r="N12" s="39">
        <f t="shared" si="0"/>
        <v>20803.62</v>
      </c>
    </row>
    <row r="13" spans="1:14" ht="15.75" hidden="1">
      <c r="A13" s="40" t="s">
        <v>108</v>
      </c>
      <c r="B13" s="38">
        <v>8902.25</v>
      </c>
      <c r="C13" s="38">
        <v>4137.81</v>
      </c>
      <c r="D13" s="38">
        <v>3051.55</v>
      </c>
      <c r="E13" s="38">
        <v>1970.35</v>
      </c>
      <c r="F13" s="38">
        <v>3933.36</v>
      </c>
      <c r="G13" s="38">
        <v>0</v>
      </c>
      <c r="H13" s="38">
        <v>-189.33</v>
      </c>
      <c r="I13" s="38">
        <v>0</v>
      </c>
      <c r="J13" s="38">
        <v>0</v>
      </c>
      <c r="K13" s="38">
        <v>-283.56</v>
      </c>
      <c r="L13" s="38">
        <v>0</v>
      </c>
      <c r="M13" s="38">
        <v>0</v>
      </c>
      <c r="N13" s="39">
        <f t="shared" si="0"/>
        <v>21522.429999999997</v>
      </c>
    </row>
    <row r="14" spans="1:14" ht="15.75" hidden="1">
      <c r="A14" s="40" t="s">
        <v>109</v>
      </c>
      <c r="B14" s="38">
        <v>4466.65</v>
      </c>
      <c r="C14" s="38">
        <v>3012.45</v>
      </c>
      <c r="D14" s="38">
        <v>4990.2</v>
      </c>
      <c r="E14" s="38">
        <v>2889.78</v>
      </c>
      <c r="F14" s="38">
        <v>2043.55</v>
      </c>
      <c r="G14" s="38">
        <v>0</v>
      </c>
      <c r="H14" s="38">
        <v>288</v>
      </c>
      <c r="I14" s="38">
        <v>0</v>
      </c>
      <c r="J14" s="38">
        <v>-247.11</v>
      </c>
      <c r="K14" s="38">
        <v>-494.22</v>
      </c>
      <c r="L14" s="38">
        <v>0</v>
      </c>
      <c r="M14" s="38">
        <v>0</v>
      </c>
      <c r="N14" s="39">
        <f t="shared" si="0"/>
        <v>16949.3</v>
      </c>
    </row>
    <row r="15" spans="1:14" ht="15.75" hidden="1">
      <c r="A15" s="40" t="s">
        <v>110</v>
      </c>
      <c r="B15" s="38">
        <v>3157.35</v>
      </c>
      <c r="C15" s="38">
        <v>3373.35</v>
      </c>
      <c r="D15" s="38">
        <v>5415.11</v>
      </c>
      <c r="E15" s="38">
        <v>3318.22</v>
      </c>
      <c r="F15" s="38">
        <v>967.11</v>
      </c>
      <c r="G15" s="38">
        <v>0</v>
      </c>
      <c r="H15" s="38">
        <v>473.78</v>
      </c>
      <c r="I15" s="38">
        <v>0</v>
      </c>
      <c r="J15" s="38">
        <v>0</v>
      </c>
      <c r="K15" s="38">
        <v>-494.22</v>
      </c>
      <c r="L15" s="38">
        <v>0</v>
      </c>
      <c r="M15" s="38">
        <v>0</v>
      </c>
      <c r="N15" s="39">
        <f t="shared" si="0"/>
        <v>16210.699999999999</v>
      </c>
    </row>
    <row r="16" spans="1:14" ht="15.75" hidden="1">
      <c r="A16" s="40" t="s">
        <v>111</v>
      </c>
      <c r="B16" s="38">
        <v>3676.45</v>
      </c>
      <c r="C16" s="38">
        <v>4132.45</v>
      </c>
      <c r="D16" s="38">
        <v>6314.67</v>
      </c>
      <c r="E16" s="38">
        <v>5392.91</v>
      </c>
      <c r="F16" s="38">
        <v>1267.56</v>
      </c>
      <c r="G16" s="38">
        <v>0</v>
      </c>
      <c r="H16" s="38">
        <v>-341.33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9">
        <f t="shared" si="0"/>
        <v>20442.71</v>
      </c>
    </row>
    <row r="17" spans="1:14" ht="15.75" hidden="1">
      <c r="A17" s="40" t="s">
        <v>112</v>
      </c>
      <c r="B17" s="38">
        <v>5670.27</v>
      </c>
      <c r="C17" s="38">
        <v>1852.45</v>
      </c>
      <c r="D17" s="38">
        <v>4911.13</v>
      </c>
      <c r="E17" s="38">
        <v>3815.14</v>
      </c>
      <c r="F17" s="38">
        <v>3355.56</v>
      </c>
      <c r="G17" s="38">
        <v>0</v>
      </c>
      <c r="H17" s="38">
        <v>-528.01</v>
      </c>
      <c r="I17" s="38">
        <v>0</v>
      </c>
      <c r="J17" s="38">
        <v>0</v>
      </c>
      <c r="K17" s="38">
        <v>-567.12</v>
      </c>
      <c r="L17" s="38">
        <v>0</v>
      </c>
      <c r="M17" s="38">
        <v>0</v>
      </c>
      <c r="N17" s="39">
        <f t="shared" si="0"/>
        <v>18509.420000000002</v>
      </c>
    </row>
    <row r="18" spans="1:14" ht="15.75" hidden="1">
      <c r="A18" s="40" t="s">
        <v>113</v>
      </c>
      <c r="B18" s="38">
        <v>3297.75</v>
      </c>
      <c r="C18" s="38">
        <v>2194.66</v>
      </c>
      <c r="D18" s="38">
        <v>4512.88</v>
      </c>
      <c r="E18" s="38">
        <v>4251.54</v>
      </c>
      <c r="F18" s="38">
        <v>981.33</v>
      </c>
      <c r="G18" s="38">
        <v>0</v>
      </c>
      <c r="H18" s="38">
        <v>287.11</v>
      </c>
      <c r="I18" s="38">
        <v>0</v>
      </c>
      <c r="J18" s="38">
        <v>0</v>
      </c>
      <c r="K18" s="38">
        <v>-279.11</v>
      </c>
      <c r="L18" s="38">
        <v>0</v>
      </c>
      <c r="M18" s="38">
        <v>0</v>
      </c>
      <c r="N18" s="39">
        <f t="shared" si="0"/>
        <v>15246.160000000002</v>
      </c>
    </row>
    <row r="19" spans="1:14" ht="15.75" hidden="1">
      <c r="A19" s="40" t="s">
        <v>114</v>
      </c>
      <c r="B19" s="38">
        <v>3827.57</v>
      </c>
      <c r="C19" s="38">
        <v>1526.23</v>
      </c>
      <c r="D19" s="38">
        <v>3455.99</v>
      </c>
      <c r="E19" s="38">
        <v>324.43</v>
      </c>
      <c r="F19" s="38">
        <v>1263.12</v>
      </c>
      <c r="G19" s="38">
        <v>0</v>
      </c>
      <c r="H19" s="38">
        <v>-77.33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9">
        <f t="shared" si="0"/>
        <v>10320.01</v>
      </c>
    </row>
    <row r="20" spans="1:14" ht="15.75" hidden="1">
      <c r="A20" s="40" t="s">
        <v>115</v>
      </c>
      <c r="B20" s="38">
        <v>4053.37</v>
      </c>
      <c r="C20" s="38">
        <v>4983.13</v>
      </c>
      <c r="D20" s="38">
        <v>7721.79</v>
      </c>
      <c r="E20" s="38">
        <v>2262.24</v>
      </c>
      <c r="F20" s="38">
        <v>899.56</v>
      </c>
      <c r="G20" s="38">
        <v>0</v>
      </c>
      <c r="H20" s="38">
        <v>-24</v>
      </c>
      <c r="I20" s="38">
        <v>0</v>
      </c>
      <c r="J20" s="38">
        <v>-224.89</v>
      </c>
      <c r="K20" s="38">
        <v>0</v>
      </c>
      <c r="L20" s="38">
        <v>0</v>
      </c>
      <c r="M20" s="38">
        <v>0</v>
      </c>
      <c r="N20" s="39">
        <f t="shared" si="0"/>
        <v>19671.2</v>
      </c>
    </row>
    <row r="21" spans="1:14" ht="15.75" hidden="1">
      <c r="A21" s="40" t="s">
        <v>116</v>
      </c>
      <c r="B21" s="38">
        <v>3448.91</v>
      </c>
      <c r="C21" s="38">
        <v>3841.8</v>
      </c>
      <c r="D21" s="38">
        <v>4264.93</v>
      </c>
      <c r="E21" s="38">
        <v>2452.47</v>
      </c>
      <c r="F21" s="38">
        <v>1478.24</v>
      </c>
      <c r="G21" s="38">
        <v>0</v>
      </c>
      <c r="H21" s="38">
        <v>-283.56</v>
      </c>
      <c r="I21" s="38">
        <v>193.78</v>
      </c>
      <c r="J21" s="38">
        <v>0</v>
      </c>
      <c r="K21" s="38">
        <v>0</v>
      </c>
      <c r="L21" s="38">
        <v>0</v>
      </c>
      <c r="M21" s="38">
        <v>0</v>
      </c>
      <c r="N21" s="39">
        <f t="shared" si="0"/>
        <v>15396.57</v>
      </c>
    </row>
    <row r="22" spans="1:14" ht="15.75" hidden="1">
      <c r="A22" s="40" t="s">
        <v>117</v>
      </c>
      <c r="B22" s="38">
        <v>3853.36</v>
      </c>
      <c r="C22" s="38">
        <v>1980.46</v>
      </c>
      <c r="D22" s="38">
        <v>4465.12</v>
      </c>
      <c r="E22" s="38">
        <v>2902.23</v>
      </c>
      <c r="F22" s="38">
        <v>1980.46</v>
      </c>
      <c r="G22" s="38">
        <v>0</v>
      </c>
      <c r="H22" s="38">
        <v>-328</v>
      </c>
      <c r="I22" s="38">
        <v>0</v>
      </c>
      <c r="J22" s="38">
        <v>-233.78</v>
      </c>
      <c r="K22" s="38">
        <v>0</v>
      </c>
      <c r="L22" s="38">
        <v>0</v>
      </c>
      <c r="M22" s="38">
        <v>0</v>
      </c>
      <c r="N22" s="39">
        <f t="shared" si="0"/>
        <v>14619.849999999997</v>
      </c>
    </row>
    <row r="23" spans="1:14" ht="15.75" hidden="1">
      <c r="A23" s="40" t="s">
        <v>118</v>
      </c>
      <c r="B23" s="38">
        <v>3783.1</v>
      </c>
      <c r="C23" s="38">
        <v>3065.78</v>
      </c>
      <c r="D23" s="38">
        <v>5937.74</v>
      </c>
      <c r="E23" s="38">
        <v>4939.52</v>
      </c>
      <c r="F23" s="38">
        <v>1870.21</v>
      </c>
      <c r="G23" s="38">
        <v>0</v>
      </c>
      <c r="H23" s="38">
        <v>-2346.66</v>
      </c>
      <c r="I23" s="38">
        <v>0</v>
      </c>
      <c r="J23" s="38">
        <v>0</v>
      </c>
      <c r="K23" s="38">
        <v>-278.22</v>
      </c>
      <c r="L23" s="38">
        <v>0</v>
      </c>
      <c r="M23" s="38">
        <v>0</v>
      </c>
      <c r="N23" s="39">
        <f t="shared" si="0"/>
        <v>16971.469999999998</v>
      </c>
    </row>
    <row r="24" spans="1:14" ht="15.75" hidden="1">
      <c r="A24" s="40" t="s">
        <v>119</v>
      </c>
      <c r="B24" s="38">
        <v>1318.23</v>
      </c>
      <c r="C24" s="38">
        <v>1061.34</v>
      </c>
      <c r="D24" s="38">
        <v>5824.96</v>
      </c>
      <c r="E24" s="38">
        <v>4648.05</v>
      </c>
      <c r="F24" s="38">
        <v>797.34</v>
      </c>
      <c r="G24" s="38">
        <v>0</v>
      </c>
      <c r="H24" s="38">
        <v>283.56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9">
        <f t="shared" si="0"/>
        <v>13933.479999999998</v>
      </c>
    </row>
    <row r="25" spans="1:14" ht="15.75" hidden="1">
      <c r="A25" s="40" t="s">
        <v>120</v>
      </c>
      <c r="B25" s="38">
        <v>3700.45</v>
      </c>
      <c r="C25" s="38">
        <v>4098.69</v>
      </c>
      <c r="D25" s="38">
        <v>3698.65</v>
      </c>
      <c r="E25" s="38">
        <v>6641.81</v>
      </c>
      <c r="F25" s="38">
        <v>1086.23</v>
      </c>
      <c r="G25" s="38">
        <v>0</v>
      </c>
      <c r="H25" s="38">
        <v>-393.78</v>
      </c>
      <c r="I25" s="38">
        <v>0</v>
      </c>
      <c r="J25" s="38">
        <v>-696</v>
      </c>
      <c r="K25" s="38">
        <v>-558.22</v>
      </c>
      <c r="L25" s="38">
        <v>0</v>
      </c>
      <c r="M25" s="38">
        <v>0</v>
      </c>
      <c r="N25" s="39">
        <f t="shared" si="0"/>
        <v>17577.829999999998</v>
      </c>
    </row>
    <row r="26" spans="1:14" ht="15.75" hidden="1">
      <c r="A26" s="40" t="s">
        <v>121</v>
      </c>
      <c r="B26" s="38">
        <v>2120.89</v>
      </c>
      <c r="C26" s="38">
        <v>5492.49</v>
      </c>
      <c r="D26" s="38">
        <v>4114.63</v>
      </c>
      <c r="E26" s="38">
        <v>6830.21</v>
      </c>
      <c r="F26" s="38">
        <v>5821.35</v>
      </c>
      <c r="G26" s="38">
        <v>0</v>
      </c>
      <c r="H26" s="38">
        <v>-1064.89</v>
      </c>
      <c r="I26" s="38">
        <v>0</v>
      </c>
      <c r="J26" s="38">
        <v>0</v>
      </c>
      <c r="K26" s="38">
        <v>-1080.89</v>
      </c>
      <c r="L26" s="38">
        <v>0</v>
      </c>
      <c r="M26" s="38">
        <v>0</v>
      </c>
      <c r="N26" s="39">
        <f t="shared" si="0"/>
        <v>22233.79</v>
      </c>
    </row>
    <row r="27" spans="1:14" ht="15.75" hidden="1">
      <c r="A27" s="40" t="s">
        <v>122</v>
      </c>
      <c r="B27" s="38">
        <v>4047.14</v>
      </c>
      <c r="C27" s="38">
        <v>3867.59</v>
      </c>
      <c r="D27" s="38">
        <v>3756.48</v>
      </c>
      <c r="E27" s="38">
        <v>6264.05</v>
      </c>
      <c r="F27" s="38">
        <v>2569.8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9">
        <f t="shared" si="0"/>
        <v>20505.059999999998</v>
      </c>
    </row>
    <row r="28" spans="1:14" ht="15.75" hidden="1">
      <c r="A28" s="40" t="s">
        <v>123</v>
      </c>
      <c r="B28" s="38">
        <v>3505.53</v>
      </c>
      <c r="C28" s="38">
        <v>2991.09</v>
      </c>
      <c r="D28" s="38">
        <v>6454.01</v>
      </c>
      <c r="E28" s="38">
        <v>4840.84</v>
      </c>
      <c r="F28" s="38">
        <v>1660.33</v>
      </c>
      <c r="G28" s="38">
        <v>15</v>
      </c>
      <c r="H28" s="38">
        <v>504.88</v>
      </c>
      <c r="I28" s="38">
        <v>0</v>
      </c>
      <c r="J28" s="38">
        <v>0</v>
      </c>
      <c r="K28" s="38">
        <v>0</v>
      </c>
      <c r="L28" s="38">
        <v>-22.22</v>
      </c>
      <c r="M28" s="38">
        <v>0</v>
      </c>
      <c r="N28" s="39">
        <f t="shared" si="0"/>
        <v>19949.460000000003</v>
      </c>
    </row>
    <row r="29" spans="1:14" ht="15.75" hidden="1">
      <c r="A29" s="40" t="s">
        <v>124</v>
      </c>
      <c r="B29" s="38">
        <v>5625.77</v>
      </c>
      <c r="C29" s="38">
        <v>3200.04</v>
      </c>
      <c r="D29" s="38">
        <v>4632.03</v>
      </c>
      <c r="E29" s="38">
        <v>6372.47</v>
      </c>
      <c r="F29" s="38">
        <v>512.01</v>
      </c>
      <c r="G29" s="38">
        <v>0</v>
      </c>
      <c r="H29" s="38">
        <v>566.24</v>
      </c>
      <c r="I29" s="38">
        <v>0</v>
      </c>
      <c r="J29" s="38">
        <v>170.67</v>
      </c>
      <c r="K29" s="38">
        <v>0</v>
      </c>
      <c r="L29" s="38">
        <v>0</v>
      </c>
      <c r="M29" s="38">
        <v>0</v>
      </c>
      <c r="N29" s="39">
        <f t="shared" si="0"/>
        <v>21079.23</v>
      </c>
    </row>
    <row r="30" spans="1:14" ht="15.75" hidden="1">
      <c r="A30" s="40" t="s">
        <v>125</v>
      </c>
      <c r="B30" s="38">
        <v>8284.44</v>
      </c>
      <c r="C30" s="38">
        <v>5464.44</v>
      </c>
      <c r="D30" s="38">
        <v>5079.57</v>
      </c>
      <c r="E30" s="38">
        <v>3652.43</v>
      </c>
      <c r="F30" s="38">
        <v>1637.33</v>
      </c>
      <c r="G30" s="38">
        <v>0</v>
      </c>
      <c r="H30" s="38">
        <v>198.22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9">
        <f t="shared" si="0"/>
        <v>24316.43</v>
      </c>
    </row>
    <row r="31" spans="1:14" ht="15.75" hidden="1">
      <c r="A31" s="40" t="s">
        <v>126</v>
      </c>
      <c r="B31" s="38">
        <v>2830.23</v>
      </c>
      <c r="C31" s="38">
        <v>812.45</v>
      </c>
      <c r="D31" s="38">
        <v>1441.8</v>
      </c>
      <c r="E31" s="38">
        <v>3992.03</v>
      </c>
      <c r="F31" s="38">
        <v>0</v>
      </c>
      <c r="G31" s="38">
        <v>0</v>
      </c>
      <c r="H31" s="38">
        <v>283.56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9">
        <f t="shared" si="0"/>
        <v>9360.07</v>
      </c>
    </row>
    <row r="32" spans="1:16" ht="15.75">
      <c r="A32" s="40" t="s">
        <v>127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9586.76</v>
      </c>
      <c r="I32" s="38">
        <v>0</v>
      </c>
      <c r="J32" s="38">
        <v>5314.7</v>
      </c>
      <c r="K32" s="38">
        <v>9896.11</v>
      </c>
      <c r="L32" s="38">
        <v>0</v>
      </c>
      <c r="M32" s="38">
        <f>4595.59+8332.51+265.78</f>
        <v>13193.880000000001</v>
      </c>
      <c r="N32" s="39">
        <f t="shared" si="0"/>
        <v>37991.45</v>
      </c>
      <c r="P32" s="41">
        <f>SUM(H32:M32)</f>
        <v>37991.45</v>
      </c>
    </row>
    <row r="33" spans="1:16" ht="15.75">
      <c r="A33" s="40" t="s">
        <v>128</v>
      </c>
      <c r="B33" s="38">
        <v>0</v>
      </c>
      <c r="C33" s="38">
        <v>0</v>
      </c>
      <c r="D33" s="38">
        <v>0</v>
      </c>
      <c r="E33" s="38">
        <v>0</v>
      </c>
      <c r="F33" s="38">
        <v>1025.78</v>
      </c>
      <c r="G33" s="38">
        <v>0</v>
      </c>
      <c r="H33" s="38">
        <v>5898.67</v>
      </c>
      <c r="I33" s="38">
        <v>0</v>
      </c>
      <c r="J33" s="38">
        <v>3706.7</v>
      </c>
      <c r="K33" s="38">
        <v>8963.01</v>
      </c>
      <c r="L33" s="38">
        <v>0</v>
      </c>
      <c r="M33" s="38">
        <f>3394.68+4567.25+239.96</f>
        <v>8201.89</v>
      </c>
      <c r="N33" s="39">
        <f t="shared" si="0"/>
        <v>27796.05</v>
      </c>
      <c r="P33" s="41">
        <f aca="true" t="shared" si="1" ref="P33:P60">SUM(H33:M33)</f>
        <v>26770.269999999997</v>
      </c>
    </row>
    <row r="34" spans="1:16" ht="15.75">
      <c r="A34" s="40" t="s">
        <v>129</v>
      </c>
      <c r="B34" s="38">
        <v>0</v>
      </c>
      <c r="C34" s="38">
        <v>0</v>
      </c>
      <c r="D34" s="38">
        <v>0</v>
      </c>
      <c r="E34" s="38">
        <v>0</v>
      </c>
      <c r="F34" s="38">
        <v>3264.91</v>
      </c>
      <c r="G34" s="38">
        <v>0</v>
      </c>
      <c r="H34" s="38">
        <v>5910.22</v>
      </c>
      <c r="I34" s="38">
        <v>0</v>
      </c>
      <c r="J34" s="38">
        <v>3386.19</v>
      </c>
      <c r="K34" s="38">
        <v>6668.45</v>
      </c>
      <c r="L34" s="38">
        <v>0</v>
      </c>
      <c r="M34" s="38">
        <f>4463.13+3247.12</f>
        <v>7710.25</v>
      </c>
      <c r="N34" s="39">
        <f t="shared" si="0"/>
        <v>26940.02</v>
      </c>
      <c r="P34" s="41">
        <f t="shared" si="1"/>
        <v>23675.11</v>
      </c>
    </row>
    <row r="35" spans="1:16" ht="15.75">
      <c r="A35" s="40" t="s">
        <v>130</v>
      </c>
      <c r="B35" s="38">
        <v>0</v>
      </c>
      <c r="C35" s="38">
        <v>0</v>
      </c>
      <c r="D35" s="38">
        <v>0</v>
      </c>
      <c r="E35" s="38">
        <v>0</v>
      </c>
      <c r="F35" s="38">
        <v>907.56</v>
      </c>
      <c r="G35" s="38">
        <v>0</v>
      </c>
      <c r="H35" s="38">
        <v>1386.66</v>
      </c>
      <c r="I35" s="38">
        <v>0</v>
      </c>
      <c r="J35" s="38">
        <v>416</v>
      </c>
      <c r="K35" s="38">
        <v>1533.34</v>
      </c>
      <c r="L35" s="38">
        <v>0</v>
      </c>
      <c r="M35" s="38">
        <f>1966.25+2930.69</f>
        <v>4896.9400000000005</v>
      </c>
      <c r="N35" s="39">
        <f t="shared" si="0"/>
        <v>9140.5</v>
      </c>
      <c r="P35" s="41">
        <f t="shared" si="1"/>
        <v>8232.94</v>
      </c>
    </row>
    <row r="36" spans="1:16" ht="15.75">
      <c r="A36" s="40" t="s">
        <v>131</v>
      </c>
      <c r="B36" s="38">
        <v>0</v>
      </c>
      <c r="C36" s="38">
        <v>0</v>
      </c>
      <c r="D36" s="38">
        <v>0</v>
      </c>
      <c r="E36" s="38">
        <v>0</v>
      </c>
      <c r="F36" s="38">
        <v>1204.44</v>
      </c>
      <c r="G36" s="38">
        <v>0</v>
      </c>
      <c r="H36" s="38">
        <v>5183.09</v>
      </c>
      <c r="I36" s="38">
        <v>0</v>
      </c>
      <c r="J36" s="38">
        <v>4956.44</v>
      </c>
      <c r="K36" s="38">
        <v>8694.25</v>
      </c>
      <c r="L36" s="38">
        <v>0</v>
      </c>
      <c r="M36" s="38">
        <f>3120+2970.68</f>
        <v>6090.68</v>
      </c>
      <c r="N36" s="39">
        <f t="shared" si="0"/>
        <v>26128.9</v>
      </c>
      <c r="P36" s="41">
        <f t="shared" si="1"/>
        <v>24924.46</v>
      </c>
    </row>
    <row r="37" spans="1:16" ht="15.75">
      <c r="A37" s="40" t="s">
        <v>132</v>
      </c>
      <c r="B37" s="38">
        <v>0</v>
      </c>
      <c r="C37" s="38">
        <v>0</v>
      </c>
      <c r="D37" s="38">
        <v>0</v>
      </c>
      <c r="E37" s="38">
        <v>0</v>
      </c>
      <c r="F37" s="38">
        <v>1861.34</v>
      </c>
      <c r="G37" s="38">
        <v>0</v>
      </c>
      <c r="H37" s="38">
        <v>4751.18</v>
      </c>
      <c r="I37" s="38">
        <v>0</v>
      </c>
      <c r="J37" s="38">
        <v>1886.26</v>
      </c>
      <c r="K37" s="38">
        <v>5867.62</v>
      </c>
      <c r="L37" s="38">
        <v>0</v>
      </c>
      <c r="M37" s="38">
        <f>6428.5+3952.02</f>
        <v>10380.52</v>
      </c>
      <c r="N37" s="39">
        <f t="shared" si="0"/>
        <v>24746.920000000002</v>
      </c>
      <c r="P37" s="41">
        <f t="shared" si="1"/>
        <v>22885.58</v>
      </c>
    </row>
    <row r="38" spans="1:16" ht="15.75">
      <c r="A38" s="40" t="s">
        <v>133</v>
      </c>
      <c r="B38" s="38">
        <v>0</v>
      </c>
      <c r="C38" s="38">
        <v>0</v>
      </c>
      <c r="D38" s="38">
        <v>0</v>
      </c>
      <c r="E38" s="38">
        <v>0</v>
      </c>
      <c r="F38" s="38">
        <v>1007.12</v>
      </c>
      <c r="G38" s="38">
        <v>0</v>
      </c>
      <c r="H38" s="38">
        <v>5066.7</v>
      </c>
      <c r="I38" s="38">
        <v>265.78</v>
      </c>
      <c r="J38" s="38">
        <v>4763.6</v>
      </c>
      <c r="K38" s="38">
        <v>7306.75</v>
      </c>
      <c r="L38" s="38">
        <v>0</v>
      </c>
      <c r="M38" s="38">
        <f>3535.16+6032.05</f>
        <v>9567.21</v>
      </c>
      <c r="N38" s="39">
        <f t="shared" si="0"/>
        <v>27977.16</v>
      </c>
      <c r="P38" s="41">
        <f t="shared" si="1"/>
        <v>26970.04</v>
      </c>
    </row>
    <row r="39" spans="1:16" ht="15.75">
      <c r="A39" s="40" t="s">
        <v>134</v>
      </c>
      <c r="B39" s="38">
        <v>0</v>
      </c>
      <c r="C39" s="38">
        <v>0</v>
      </c>
      <c r="D39" s="38">
        <v>0</v>
      </c>
      <c r="E39" s="38">
        <v>0</v>
      </c>
      <c r="F39" s="38">
        <v>1110.22</v>
      </c>
      <c r="G39" s="38">
        <v>0</v>
      </c>
      <c r="H39" s="38">
        <v>3207.12</v>
      </c>
      <c r="I39" s="38">
        <v>0</v>
      </c>
      <c r="J39" s="38">
        <v>2768</v>
      </c>
      <c r="K39" s="38">
        <v>11551.08</v>
      </c>
      <c r="L39" s="38">
        <v>0</v>
      </c>
      <c r="M39" s="38">
        <f>1806.24+6153.8</f>
        <v>7960.04</v>
      </c>
      <c r="N39" s="39">
        <f t="shared" si="0"/>
        <v>26596.46</v>
      </c>
      <c r="P39" s="41">
        <f t="shared" si="1"/>
        <v>25486.24</v>
      </c>
    </row>
    <row r="40" spans="1:16" ht="15.75">
      <c r="A40" s="40" t="s">
        <v>135</v>
      </c>
      <c r="B40" s="38">
        <v>0</v>
      </c>
      <c r="C40" s="38">
        <v>0</v>
      </c>
      <c r="D40" s="38">
        <v>0</v>
      </c>
      <c r="E40" s="38">
        <v>0</v>
      </c>
      <c r="F40" s="38">
        <v>357.34</v>
      </c>
      <c r="G40" s="38">
        <v>0</v>
      </c>
      <c r="H40" s="38">
        <v>5582.25</v>
      </c>
      <c r="I40" s="38">
        <v>13.329999999999927</v>
      </c>
      <c r="J40" s="38">
        <v>2402.68</v>
      </c>
      <c r="K40" s="38">
        <v>6422.27</v>
      </c>
      <c r="L40" s="38">
        <v>0</v>
      </c>
      <c r="M40" s="38">
        <f>933.34+4876.47</f>
        <v>5809.81</v>
      </c>
      <c r="N40" s="39">
        <f t="shared" si="0"/>
        <v>20587.68</v>
      </c>
      <c r="P40" s="41">
        <f t="shared" si="1"/>
        <v>20230.34</v>
      </c>
    </row>
    <row r="41" spans="1:16" ht="15.75">
      <c r="A41" s="40" t="s">
        <v>108</v>
      </c>
      <c r="B41" s="38">
        <v>0</v>
      </c>
      <c r="C41" s="38">
        <v>0</v>
      </c>
      <c r="D41" s="38">
        <v>0</v>
      </c>
      <c r="E41" s="38">
        <v>0</v>
      </c>
      <c r="F41" s="38">
        <v>800.89</v>
      </c>
      <c r="G41" s="38">
        <v>0</v>
      </c>
      <c r="H41" s="38">
        <v>4456.01</v>
      </c>
      <c r="I41" s="38">
        <v>0</v>
      </c>
      <c r="J41" s="38">
        <v>2020.46</v>
      </c>
      <c r="K41" s="38">
        <v>13102.19</v>
      </c>
      <c r="L41" s="38">
        <v>0</v>
      </c>
      <c r="M41" s="38">
        <f>3568.88+5728.91</f>
        <v>9297.79</v>
      </c>
      <c r="N41" s="39">
        <f t="shared" si="0"/>
        <v>29677.340000000004</v>
      </c>
      <c r="P41" s="41">
        <f t="shared" si="1"/>
        <v>28876.45</v>
      </c>
    </row>
    <row r="42" spans="1:16" ht="15.75">
      <c r="A42" s="40" t="s">
        <v>136</v>
      </c>
      <c r="B42" s="38">
        <v>0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7296.05</v>
      </c>
      <c r="I42" s="38">
        <v>361.77</v>
      </c>
      <c r="J42" s="38">
        <v>3790.22</v>
      </c>
      <c r="K42" s="38">
        <v>6215.14</v>
      </c>
      <c r="L42" s="38">
        <v>0</v>
      </c>
      <c r="M42" s="38">
        <f>3478.22+2432.89</f>
        <v>5911.11</v>
      </c>
      <c r="N42" s="39">
        <f t="shared" si="0"/>
        <v>23574.29</v>
      </c>
      <c r="P42" s="41">
        <f t="shared" si="1"/>
        <v>23574.29</v>
      </c>
    </row>
    <row r="43" spans="1:16" ht="15.75">
      <c r="A43" s="40" t="s">
        <v>137</v>
      </c>
      <c r="B43" s="38">
        <v>0</v>
      </c>
      <c r="C43" s="38">
        <v>0</v>
      </c>
      <c r="D43" s="38">
        <v>0</v>
      </c>
      <c r="E43" s="38">
        <v>0</v>
      </c>
      <c r="F43" s="38">
        <v>283.56</v>
      </c>
      <c r="G43" s="38">
        <v>0</v>
      </c>
      <c r="H43" s="38">
        <v>5155.58</v>
      </c>
      <c r="I43" s="38">
        <v>0</v>
      </c>
      <c r="J43" s="38">
        <v>1160.01</v>
      </c>
      <c r="K43" s="38">
        <v>7076.5</v>
      </c>
      <c r="L43" s="38">
        <v>0</v>
      </c>
      <c r="M43" s="38">
        <f>645.34+1401.79</f>
        <v>2047.13</v>
      </c>
      <c r="N43" s="39">
        <f t="shared" si="0"/>
        <v>15722.780000000002</v>
      </c>
      <c r="P43" s="41">
        <f t="shared" si="1"/>
        <v>15439.220000000001</v>
      </c>
    </row>
    <row r="44" spans="1:16" ht="15.75">
      <c r="A44" s="40" t="s">
        <v>138</v>
      </c>
      <c r="B44" s="38">
        <v>0</v>
      </c>
      <c r="C44" s="38">
        <v>0</v>
      </c>
      <c r="D44" s="38">
        <v>0</v>
      </c>
      <c r="E44" s="38">
        <v>0</v>
      </c>
      <c r="F44" s="38">
        <v>632</v>
      </c>
      <c r="G44" s="38">
        <v>0</v>
      </c>
      <c r="H44" s="38">
        <v>6518.31</v>
      </c>
      <c r="I44" s="38">
        <v>128</v>
      </c>
      <c r="J44" s="38">
        <v>1886.24</v>
      </c>
      <c r="K44" s="38">
        <v>11177.87</v>
      </c>
      <c r="L44" s="38">
        <v>0</v>
      </c>
      <c r="M44" s="38">
        <f>2491.59+4168.25</f>
        <v>6659.84</v>
      </c>
      <c r="N44" s="39">
        <f t="shared" si="0"/>
        <v>27002.260000000002</v>
      </c>
      <c r="P44" s="41">
        <f t="shared" si="1"/>
        <v>26370.260000000002</v>
      </c>
    </row>
    <row r="45" spans="1:16" ht="15.75">
      <c r="A45" s="40" t="s">
        <v>139</v>
      </c>
      <c r="B45" s="38">
        <v>0</v>
      </c>
      <c r="C45" s="38">
        <v>0</v>
      </c>
      <c r="D45" s="38">
        <v>0</v>
      </c>
      <c r="E45" s="38">
        <v>0</v>
      </c>
      <c r="F45" s="38">
        <v>645.34</v>
      </c>
      <c r="G45" s="38">
        <v>0</v>
      </c>
      <c r="H45" s="38">
        <v>6766.3</v>
      </c>
      <c r="I45" s="38">
        <v>0</v>
      </c>
      <c r="J45" s="38">
        <v>4501.34</v>
      </c>
      <c r="K45" s="38">
        <v>6074.7</v>
      </c>
      <c r="L45" s="38">
        <v>0</v>
      </c>
      <c r="M45" s="38">
        <f>4813.39+4770.69</f>
        <v>9584.08</v>
      </c>
      <c r="N45" s="39">
        <f t="shared" si="0"/>
        <v>27571.760000000002</v>
      </c>
      <c r="P45" s="41">
        <f t="shared" si="1"/>
        <v>26926.42</v>
      </c>
    </row>
    <row r="46" spans="1:16" ht="15.75">
      <c r="A46" s="40" t="s">
        <v>140</v>
      </c>
      <c r="B46" s="38">
        <v>0</v>
      </c>
      <c r="C46" s="38">
        <v>0</v>
      </c>
      <c r="D46" s="38">
        <v>0</v>
      </c>
      <c r="E46" s="38">
        <v>0</v>
      </c>
      <c r="F46" s="38">
        <v>1319.12</v>
      </c>
      <c r="G46" s="38">
        <v>0</v>
      </c>
      <c r="H46" s="38">
        <v>7557.34</v>
      </c>
      <c r="I46" s="38">
        <v>534.22</v>
      </c>
      <c r="J46" s="38">
        <v>5338.67</v>
      </c>
      <c r="K46" s="38">
        <v>8994.65</v>
      </c>
      <c r="L46" s="38">
        <v>0</v>
      </c>
      <c r="M46" s="38">
        <f>1455.1+5553.79</f>
        <v>7008.889999999999</v>
      </c>
      <c r="N46" s="39">
        <f t="shared" si="0"/>
        <v>30752.89</v>
      </c>
      <c r="P46" s="41">
        <f t="shared" si="1"/>
        <v>29433.769999999997</v>
      </c>
    </row>
    <row r="47" spans="1:16" ht="15.75">
      <c r="A47" s="40" t="s">
        <v>141</v>
      </c>
      <c r="B47" s="38">
        <v>0</v>
      </c>
      <c r="C47" s="38">
        <v>0</v>
      </c>
      <c r="D47" s="38">
        <v>0</v>
      </c>
      <c r="E47" s="38">
        <v>0</v>
      </c>
      <c r="F47" s="38">
        <v>645.34</v>
      </c>
      <c r="G47" s="38">
        <v>0</v>
      </c>
      <c r="H47" s="38">
        <v>7616.92</v>
      </c>
      <c r="I47" s="38">
        <v>0</v>
      </c>
      <c r="J47" s="38">
        <v>2971.58</v>
      </c>
      <c r="K47" s="38">
        <v>6025.7</v>
      </c>
      <c r="L47" s="38">
        <v>235.51</v>
      </c>
      <c r="M47" s="38">
        <f>2506.68+4196.62</f>
        <v>6703.299999999999</v>
      </c>
      <c r="N47" s="39">
        <f t="shared" si="0"/>
        <v>24198.35</v>
      </c>
      <c r="P47" s="41">
        <f t="shared" si="1"/>
        <v>23553.01</v>
      </c>
    </row>
    <row r="48" spans="1:16" ht="15.75">
      <c r="A48" s="40" t="s">
        <v>142</v>
      </c>
      <c r="B48" s="38">
        <v>0</v>
      </c>
      <c r="C48" s="38">
        <v>0</v>
      </c>
      <c r="D48" s="38">
        <v>0</v>
      </c>
      <c r="E48" s="38">
        <v>0</v>
      </c>
      <c r="F48" s="38">
        <v>846.22</v>
      </c>
      <c r="G48" s="38">
        <v>0</v>
      </c>
      <c r="H48" s="38">
        <v>5085.3</v>
      </c>
      <c r="I48" s="38">
        <v>0</v>
      </c>
      <c r="J48" s="38">
        <v>2015.12</v>
      </c>
      <c r="K48" s="38">
        <v>6999.08</v>
      </c>
      <c r="L48" s="38">
        <v>0</v>
      </c>
      <c r="M48" s="38">
        <f>3208+3016.01</f>
        <v>6224.01</v>
      </c>
      <c r="N48" s="39">
        <f t="shared" si="0"/>
        <v>21169.730000000003</v>
      </c>
      <c r="P48" s="41">
        <f t="shared" si="1"/>
        <v>20323.510000000002</v>
      </c>
    </row>
    <row r="49" spans="1:16" ht="15.75">
      <c r="A49" s="40" t="s">
        <v>143</v>
      </c>
      <c r="B49" s="38">
        <v>0</v>
      </c>
      <c r="C49" s="38">
        <v>0</v>
      </c>
      <c r="D49" s="38">
        <v>0</v>
      </c>
      <c r="E49" s="38">
        <v>0</v>
      </c>
      <c r="F49" s="38">
        <v>1521.79</v>
      </c>
      <c r="G49" s="38">
        <v>0</v>
      </c>
      <c r="H49" s="38">
        <v>7052.48</v>
      </c>
      <c r="I49" s="38">
        <v>0</v>
      </c>
      <c r="J49" s="38">
        <v>3678.16</v>
      </c>
      <c r="K49" s="38">
        <v>7136.96</v>
      </c>
      <c r="L49" s="38">
        <v>0</v>
      </c>
      <c r="M49" s="38">
        <f>4796.49+2418.81</f>
        <v>7215.299999999999</v>
      </c>
      <c r="N49" s="39">
        <f t="shared" si="0"/>
        <v>26604.69</v>
      </c>
      <c r="P49" s="41">
        <f t="shared" si="1"/>
        <v>25082.899999999998</v>
      </c>
    </row>
    <row r="50" spans="1:16" ht="15.75">
      <c r="A50" s="40" t="s">
        <v>144</v>
      </c>
      <c r="B50" s="38">
        <v>0</v>
      </c>
      <c r="C50" s="38">
        <v>0</v>
      </c>
      <c r="D50" s="38">
        <v>0</v>
      </c>
      <c r="E50" s="38">
        <v>0</v>
      </c>
      <c r="F50" s="38">
        <v>1264.01</v>
      </c>
      <c r="G50" s="38">
        <v>0</v>
      </c>
      <c r="H50" s="38">
        <v>5069.32</v>
      </c>
      <c r="I50" s="38">
        <v>0</v>
      </c>
      <c r="J50" s="38">
        <v>2364.46</v>
      </c>
      <c r="K50" s="38">
        <v>6644.51</v>
      </c>
      <c r="L50" s="38">
        <v>-283.56</v>
      </c>
      <c r="M50" s="38">
        <f>4073.83+5044.49</f>
        <v>9118.32</v>
      </c>
      <c r="N50" s="39">
        <f t="shared" si="0"/>
        <v>24177.06</v>
      </c>
      <c r="P50" s="41">
        <f t="shared" si="1"/>
        <v>22913.050000000003</v>
      </c>
    </row>
    <row r="51" spans="1:16" ht="15.75">
      <c r="A51" s="40" t="s">
        <v>145</v>
      </c>
      <c r="B51" s="38">
        <v>0</v>
      </c>
      <c r="C51" s="38">
        <v>0</v>
      </c>
      <c r="D51" s="38">
        <v>0</v>
      </c>
      <c r="E51" s="38">
        <v>0</v>
      </c>
      <c r="F51" s="38">
        <v>288</v>
      </c>
      <c r="G51" s="38">
        <v>0</v>
      </c>
      <c r="H51" s="38">
        <v>6181.34</v>
      </c>
      <c r="I51" s="38">
        <v>0</v>
      </c>
      <c r="J51" s="38">
        <v>4085.35</v>
      </c>
      <c r="K51" s="38">
        <v>6406.24</v>
      </c>
      <c r="L51" s="38">
        <v>283.56</v>
      </c>
      <c r="M51" s="38">
        <f>4344+5667.56</f>
        <v>10011.560000000001</v>
      </c>
      <c r="N51" s="39">
        <f t="shared" si="0"/>
        <v>27256.050000000003</v>
      </c>
      <c r="P51" s="41">
        <f t="shared" si="1"/>
        <v>26968.050000000003</v>
      </c>
    </row>
    <row r="52" spans="1:16" ht="15.75">
      <c r="A52" s="40" t="s">
        <v>146</v>
      </c>
      <c r="B52" s="38">
        <v>0</v>
      </c>
      <c r="C52" s="38">
        <v>0</v>
      </c>
      <c r="D52" s="38">
        <v>0</v>
      </c>
      <c r="E52" s="38">
        <v>0</v>
      </c>
      <c r="F52" s="38">
        <v>618.67</v>
      </c>
      <c r="G52" s="38">
        <v>0</v>
      </c>
      <c r="H52" s="38">
        <v>2384.9</v>
      </c>
      <c r="I52" s="38">
        <v>0</v>
      </c>
      <c r="J52" s="38">
        <v>2365.36</v>
      </c>
      <c r="K52" s="38">
        <v>5939.63</v>
      </c>
      <c r="L52" s="38">
        <v>0</v>
      </c>
      <c r="M52" s="38">
        <f>2829.37+3816.94</f>
        <v>6646.3099999999995</v>
      </c>
      <c r="N52" s="39">
        <f t="shared" si="0"/>
        <v>17954.870000000003</v>
      </c>
      <c r="P52" s="41">
        <f t="shared" si="1"/>
        <v>17336.199999999997</v>
      </c>
    </row>
    <row r="53" spans="1:16" ht="15.75">
      <c r="A53" s="40" t="s">
        <v>147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531.56</v>
      </c>
      <c r="H53" s="38">
        <v>4081.82</v>
      </c>
      <c r="I53" s="38">
        <v>531.56</v>
      </c>
      <c r="J53" s="38">
        <v>3301.36</v>
      </c>
      <c r="K53" s="38">
        <v>7366.3</v>
      </c>
      <c r="L53" s="38">
        <v>0</v>
      </c>
      <c r="M53" s="38">
        <f>3662.25+789.33+198.23-263.11</f>
        <v>4386.7</v>
      </c>
      <c r="N53" s="39">
        <f t="shared" si="0"/>
        <v>20199.300000000003</v>
      </c>
      <c r="P53" s="41">
        <f t="shared" si="1"/>
        <v>19667.74</v>
      </c>
    </row>
    <row r="54" spans="1:16" ht="15.75">
      <c r="A54" s="40" t="s">
        <v>108</v>
      </c>
      <c r="B54" s="38">
        <v>0</v>
      </c>
      <c r="C54" s="38">
        <v>0</v>
      </c>
      <c r="D54" s="38">
        <v>0</v>
      </c>
      <c r="E54" s="38">
        <v>0</v>
      </c>
      <c r="F54" s="38">
        <v>1249.78</v>
      </c>
      <c r="G54" s="38">
        <v>0</v>
      </c>
      <c r="H54" s="38">
        <v>7133.33</v>
      </c>
      <c r="I54" s="38">
        <v>0</v>
      </c>
      <c r="J54" s="38">
        <v>4713.78</v>
      </c>
      <c r="K54" s="38">
        <v>8824.89</v>
      </c>
      <c r="L54" s="38">
        <v>0</v>
      </c>
      <c r="M54" s="38">
        <f>5544.9+5422.57</f>
        <v>10967.47</v>
      </c>
      <c r="N54" s="39">
        <f t="shared" si="0"/>
        <v>32889.25</v>
      </c>
      <c r="P54" s="41">
        <f t="shared" si="1"/>
        <v>31639.47</v>
      </c>
    </row>
    <row r="55" spans="1:16" ht="15.75">
      <c r="A55" s="40" t="s">
        <v>148</v>
      </c>
      <c r="B55" s="38">
        <v>0</v>
      </c>
      <c r="C55" s="38">
        <v>0</v>
      </c>
      <c r="D55" s="38">
        <v>0</v>
      </c>
      <c r="E55" s="38">
        <v>0</v>
      </c>
      <c r="F55" s="38">
        <v>1424.9</v>
      </c>
      <c r="G55" s="38">
        <v>0</v>
      </c>
      <c r="H55" s="38">
        <v>4301.36</v>
      </c>
      <c r="I55" s="38">
        <v>265.78</v>
      </c>
      <c r="J55" s="38">
        <v>2023.11</v>
      </c>
      <c r="K55" s="38">
        <v>8534.31</v>
      </c>
      <c r="L55" s="38">
        <v>10</v>
      </c>
      <c r="M55" s="38">
        <f>5695.14+5709.36</f>
        <v>11404.5</v>
      </c>
      <c r="N55" s="39">
        <f t="shared" si="0"/>
        <v>27963.96</v>
      </c>
      <c r="P55" s="41">
        <f t="shared" si="1"/>
        <v>26539.059999999998</v>
      </c>
    </row>
    <row r="56" spans="1:16" ht="15.75">
      <c r="A56" s="40" t="s">
        <v>149</v>
      </c>
      <c r="B56" s="38">
        <v>0</v>
      </c>
      <c r="C56" s="38">
        <v>0</v>
      </c>
      <c r="D56" s="38">
        <v>0</v>
      </c>
      <c r="E56" s="38">
        <v>0</v>
      </c>
      <c r="F56" s="38">
        <v>1185.79</v>
      </c>
      <c r="G56" s="38">
        <v>0</v>
      </c>
      <c r="H56" s="38">
        <v>2972.47</v>
      </c>
      <c r="I56" s="38">
        <v>0</v>
      </c>
      <c r="J56" s="38">
        <v>618.67</v>
      </c>
      <c r="K56" s="38">
        <v>6356.49</v>
      </c>
      <c r="L56" s="38">
        <v>0</v>
      </c>
      <c r="M56" s="38">
        <f>1518.23+2977.78</f>
        <v>4496.01</v>
      </c>
      <c r="N56" s="39">
        <f t="shared" si="0"/>
        <v>15629.43</v>
      </c>
      <c r="P56" s="41">
        <f t="shared" si="1"/>
        <v>14443.64</v>
      </c>
    </row>
    <row r="57" spans="1:16" ht="15.75">
      <c r="A57" s="40" t="s">
        <v>150</v>
      </c>
      <c r="B57" s="38">
        <v>0</v>
      </c>
      <c r="C57" s="38">
        <v>0</v>
      </c>
      <c r="D57" s="38">
        <v>0</v>
      </c>
      <c r="E57" s="38">
        <v>0</v>
      </c>
      <c r="F57" s="38">
        <v>1313.78</v>
      </c>
      <c r="G57" s="38">
        <v>0</v>
      </c>
      <c r="H57" s="38">
        <v>7399.12</v>
      </c>
      <c r="I57" s="38">
        <v>0</v>
      </c>
      <c r="J57" s="38">
        <v>4503.15</v>
      </c>
      <c r="K57" s="38">
        <v>9136</v>
      </c>
      <c r="L57" s="38">
        <v>0</v>
      </c>
      <c r="M57" s="38">
        <f>232+4605.93+265.78+5067.61</f>
        <v>10171.32</v>
      </c>
      <c r="N57" s="39">
        <f t="shared" si="0"/>
        <v>32523.37</v>
      </c>
      <c r="P57" s="41">
        <f t="shared" si="1"/>
        <v>31209.59</v>
      </c>
    </row>
    <row r="58" spans="1:16" ht="15.75">
      <c r="A58" s="40" t="s">
        <v>151</v>
      </c>
      <c r="B58" s="38">
        <v>0</v>
      </c>
      <c r="C58" s="38">
        <v>0</v>
      </c>
      <c r="D58" s="38">
        <v>0</v>
      </c>
      <c r="E58" s="38">
        <v>0</v>
      </c>
      <c r="F58" s="38">
        <v>850.67</v>
      </c>
      <c r="G58" s="38">
        <v>0</v>
      </c>
      <c r="H58" s="38">
        <v>3467.56</v>
      </c>
      <c r="I58" s="38">
        <v>0</v>
      </c>
      <c r="J58" s="38">
        <v>760.88</v>
      </c>
      <c r="K58" s="38">
        <v>9705.77</v>
      </c>
      <c r="L58" s="38">
        <v>195.56</v>
      </c>
      <c r="M58" s="38">
        <f>1822.24+3786.66</f>
        <v>5608.9</v>
      </c>
      <c r="N58" s="39">
        <f t="shared" si="0"/>
        <v>20589.34</v>
      </c>
      <c r="P58" s="41">
        <f t="shared" si="1"/>
        <v>19738.67</v>
      </c>
    </row>
    <row r="59" spans="1:16" ht="15.75">
      <c r="A59" s="40" t="s">
        <v>122</v>
      </c>
      <c r="B59" s="38">
        <v>0</v>
      </c>
      <c r="C59" s="38">
        <v>0</v>
      </c>
      <c r="D59" s="38">
        <v>0</v>
      </c>
      <c r="E59" s="38">
        <v>0</v>
      </c>
      <c r="F59" s="38">
        <v>0</v>
      </c>
      <c r="G59" s="38">
        <v>0</v>
      </c>
      <c r="H59" s="38">
        <v>1016.9</v>
      </c>
      <c r="I59" s="38">
        <v>0</v>
      </c>
      <c r="J59" s="38">
        <v>2122.7</v>
      </c>
      <c r="K59" s="38">
        <v>3792.02</v>
      </c>
      <c r="L59" s="38">
        <v>0</v>
      </c>
      <c r="M59" s="38">
        <f>2748.46+1867.56</f>
        <v>4616.02</v>
      </c>
      <c r="N59" s="39">
        <f>SUM(B59:M59)</f>
        <v>11547.64</v>
      </c>
      <c r="P59" s="41">
        <f t="shared" si="1"/>
        <v>11547.64</v>
      </c>
    </row>
    <row r="60" spans="1:16" ht="15.75">
      <c r="A60" s="40" t="s">
        <v>153</v>
      </c>
      <c r="B60" s="38">
        <v>0</v>
      </c>
      <c r="C60" s="38">
        <v>0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1095.12</v>
      </c>
      <c r="N60" s="39">
        <f t="shared" si="0"/>
        <v>1095.12</v>
      </c>
      <c r="P60" s="41">
        <f t="shared" si="1"/>
        <v>1095.12</v>
      </c>
    </row>
    <row r="61" spans="2:13" ht="15">
      <c r="B61" s="39">
        <f>SUM(B4:B60)</f>
        <v>117218.62</v>
      </c>
      <c r="C61" s="39">
        <f aca="true" t="shared" si="2" ref="C61:M61">SUM(C4:C60)</f>
        <v>96825.42999999998</v>
      </c>
      <c r="D61" s="39">
        <f t="shared" si="2"/>
        <v>130925.12000000001</v>
      </c>
      <c r="E61" s="39">
        <f t="shared" si="2"/>
        <v>132412.38</v>
      </c>
      <c r="F61" s="39">
        <f t="shared" si="2"/>
        <v>77889.03999999996</v>
      </c>
      <c r="G61" s="39">
        <f t="shared" si="2"/>
        <v>546.56</v>
      </c>
      <c r="H61" s="39">
        <f t="shared" si="2"/>
        <v>144797.97</v>
      </c>
      <c r="I61" s="39">
        <f t="shared" si="2"/>
        <v>2294.22</v>
      </c>
      <c r="J61" s="39">
        <f t="shared" si="2"/>
        <v>81731.40999999999</v>
      </c>
      <c r="K61" s="39">
        <f t="shared" si="2"/>
        <v>207370.92999999993</v>
      </c>
      <c r="L61" s="39">
        <f t="shared" si="2"/>
        <v>418.85</v>
      </c>
      <c r="M61" s="39">
        <f t="shared" si="2"/>
        <v>212984.90000000002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P196"/>
  <sheetViews>
    <sheetView workbookViewId="0" topLeftCell="A148">
      <selection activeCell="H193" sqref="H193:N193"/>
    </sheetView>
  </sheetViews>
  <sheetFormatPr defaultColWidth="9.140625" defaultRowHeight="12.75"/>
  <cols>
    <col min="1" max="1" width="20.8515625" style="45" customWidth="1"/>
    <col min="2" max="2" width="9.140625" style="45" customWidth="1"/>
    <col min="3" max="14" width="10.7109375" style="45" customWidth="1"/>
    <col min="15" max="16" width="10.28125" style="45" customWidth="1"/>
    <col min="17" max="16384" width="9.140625" style="45" customWidth="1"/>
  </cols>
  <sheetData>
    <row r="3" spans="1:14" ht="11.25">
      <c r="A3" s="42"/>
      <c r="C3" s="46" t="s">
        <v>156</v>
      </c>
      <c r="D3" s="43" t="s">
        <v>157</v>
      </c>
      <c r="E3" s="43" t="s">
        <v>158</v>
      </c>
      <c r="F3" s="43" t="s">
        <v>159</v>
      </c>
      <c r="G3" s="43" t="s">
        <v>160</v>
      </c>
      <c r="H3" s="43" t="s">
        <v>161</v>
      </c>
      <c r="I3" s="43" t="s">
        <v>162</v>
      </c>
      <c r="J3" s="43" t="s">
        <v>163</v>
      </c>
      <c r="K3" s="43" t="s">
        <v>164</v>
      </c>
      <c r="L3" s="43" t="s">
        <v>165</v>
      </c>
      <c r="M3" s="43" t="s">
        <v>166</v>
      </c>
      <c r="N3" s="63" t="s">
        <v>173</v>
      </c>
    </row>
    <row r="4" spans="1:14" ht="11.25">
      <c r="A4" s="47"/>
      <c r="C4" s="50">
        <v>2508</v>
      </c>
      <c r="D4" s="50">
        <v>2508</v>
      </c>
      <c r="E4" s="50">
        <v>2508</v>
      </c>
      <c r="F4" s="50">
        <v>2508</v>
      </c>
      <c r="G4" s="50">
        <v>2508</v>
      </c>
      <c r="H4" s="50">
        <v>2508</v>
      </c>
      <c r="I4" s="50">
        <v>2508</v>
      </c>
      <c r="J4" s="50">
        <v>2508</v>
      </c>
      <c r="K4" s="50">
        <v>2508</v>
      </c>
      <c r="L4" s="50">
        <v>2508</v>
      </c>
      <c r="M4" s="50">
        <v>2508</v>
      </c>
      <c r="N4" s="49">
        <v>2508</v>
      </c>
    </row>
    <row r="5" spans="1:14" ht="11.25">
      <c r="A5" s="51" t="s">
        <v>167</v>
      </c>
      <c r="C5" s="52">
        <v>0</v>
      </c>
      <c r="D5" s="52">
        <v>0</v>
      </c>
      <c r="E5" s="52">
        <v>0</v>
      </c>
      <c r="F5" s="52">
        <v>0</v>
      </c>
      <c r="G5" s="52">
        <v>0</v>
      </c>
      <c r="H5" s="52">
        <v>0</v>
      </c>
      <c r="I5" s="52">
        <v>0</v>
      </c>
      <c r="J5" s="52">
        <v>0</v>
      </c>
      <c r="K5" s="52">
        <v>0</v>
      </c>
      <c r="L5" s="52">
        <v>0</v>
      </c>
      <c r="M5" s="52">
        <v>0</v>
      </c>
      <c r="N5" s="52">
        <v>0</v>
      </c>
    </row>
    <row r="6" spans="1:14" ht="11.25">
      <c r="A6" s="51" t="s">
        <v>99</v>
      </c>
      <c r="C6" s="52">
        <v>321.58</v>
      </c>
      <c r="D6" s="52">
        <v>769.83</v>
      </c>
      <c r="E6" s="52">
        <v>948.14</v>
      </c>
      <c r="F6" s="52">
        <v>1597.99</v>
      </c>
      <c r="G6" s="52">
        <v>80.8</v>
      </c>
      <c r="H6" s="52">
        <v>3559.82</v>
      </c>
      <c r="I6" s="52">
        <v>0</v>
      </c>
      <c r="J6" s="52">
        <v>168.49</v>
      </c>
      <c r="K6" s="52">
        <v>0</v>
      </c>
      <c r="L6" s="52">
        <v>0</v>
      </c>
      <c r="M6" s="52">
        <v>0</v>
      </c>
      <c r="N6" s="52">
        <v>0</v>
      </c>
    </row>
    <row r="7" spans="1:14" ht="11.25">
      <c r="A7" s="53" t="s">
        <v>100</v>
      </c>
      <c r="C7" s="52">
        <v>157.08</v>
      </c>
      <c r="D7" s="52">
        <v>100.3</v>
      </c>
      <c r="E7" s="52">
        <v>230.12</v>
      </c>
      <c r="F7" s="52">
        <v>0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0</v>
      </c>
      <c r="N7" s="52">
        <v>0</v>
      </c>
    </row>
    <row r="8" spans="1:14" ht="11.25">
      <c r="A8" s="53" t="s">
        <v>101</v>
      </c>
      <c r="C8" s="52">
        <v>78.21</v>
      </c>
      <c r="D8" s="52">
        <v>211.82</v>
      </c>
      <c r="E8" s="52">
        <v>322.18</v>
      </c>
      <c r="F8" s="52">
        <v>232.39</v>
      </c>
      <c r="G8" s="52">
        <v>0</v>
      </c>
      <c r="H8" s="52">
        <v>480.12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</row>
    <row r="9" spans="1:14" ht="11.25">
      <c r="A9" s="53" t="s">
        <v>102</v>
      </c>
      <c r="C9" s="52">
        <v>0</v>
      </c>
      <c r="D9" s="52">
        <v>425.7</v>
      </c>
      <c r="E9" s="52">
        <v>206.69</v>
      </c>
      <c r="F9" s="52">
        <v>532.99</v>
      </c>
      <c r="G9" s="52">
        <v>0</v>
      </c>
      <c r="H9" s="52">
        <v>1100.02</v>
      </c>
      <c r="I9" s="52">
        <v>0</v>
      </c>
      <c r="J9" s="52">
        <v>31.74</v>
      </c>
      <c r="K9" s="52">
        <v>0</v>
      </c>
      <c r="L9" s="52">
        <v>0</v>
      </c>
      <c r="M9" s="52">
        <v>0</v>
      </c>
      <c r="N9" s="52">
        <v>0</v>
      </c>
    </row>
    <row r="10" spans="1:14" ht="11.25">
      <c r="A10" s="53" t="s">
        <v>103</v>
      </c>
      <c r="C10" s="52">
        <v>0</v>
      </c>
      <c r="D10" s="52">
        <v>0</v>
      </c>
      <c r="E10" s="52">
        <v>138.44</v>
      </c>
      <c r="F10" s="52">
        <v>0</v>
      </c>
      <c r="G10" s="52">
        <v>0</v>
      </c>
      <c r="H10" s="52">
        <v>84.75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</row>
    <row r="11" spans="1:14" ht="11.25">
      <c r="A11" s="53" t="s">
        <v>104</v>
      </c>
      <c r="C11" s="52">
        <v>0</v>
      </c>
      <c r="D11" s="52">
        <v>120.05</v>
      </c>
      <c r="E11" s="52">
        <v>256.63</v>
      </c>
      <c r="F11" s="52">
        <v>165.06</v>
      </c>
      <c r="G11" s="52">
        <v>0</v>
      </c>
      <c r="H11" s="52">
        <v>417.22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</row>
    <row r="12" spans="1:14" ht="11.25">
      <c r="A12" s="53" t="s">
        <v>105</v>
      </c>
      <c r="C12" s="52">
        <v>0</v>
      </c>
      <c r="D12" s="52">
        <v>31.64</v>
      </c>
      <c r="E12" s="52">
        <v>35.4</v>
      </c>
      <c r="F12" s="52">
        <f>184.93+56.36</f>
        <v>241.29000000000002</v>
      </c>
      <c r="G12" s="52">
        <v>0</v>
      </c>
      <c r="H12" s="52">
        <v>99.78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</row>
    <row r="13" spans="1:14" ht="11.25">
      <c r="A13" s="53" t="s">
        <v>106</v>
      </c>
      <c r="C13" s="52">
        <v>13.65</v>
      </c>
      <c r="D13" s="52">
        <v>297.85</v>
      </c>
      <c r="E13" s="52">
        <v>98.99</v>
      </c>
      <c r="F13" s="52">
        <v>357.79</v>
      </c>
      <c r="G13" s="52">
        <v>0</v>
      </c>
      <c r="H13" s="52">
        <v>745.55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</row>
    <row r="14" spans="1:14" ht="11.25">
      <c r="A14" s="53" t="s">
        <v>107</v>
      </c>
      <c r="C14" s="52">
        <v>0</v>
      </c>
      <c r="D14" s="52">
        <v>0</v>
      </c>
      <c r="E14" s="52">
        <v>38.57</v>
      </c>
      <c r="F14" s="52">
        <v>216.97</v>
      </c>
      <c r="G14" s="52">
        <v>0</v>
      </c>
      <c r="H14" s="52">
        <v>501.17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</row>
    <row r="15" spans="1:14" ht="11.25">
      <c r="A15" s="53" t="s">
        <v>108</v>
      </c>
      <c r="C15" s="52">
        <v>465.67</v>
      </c>
      <c r="D15" s="52">
        <v>1209.94</v>
      </c>
      <c r="E15" s="52">
        <v>1452.45</v>
      </c>
      <c r="F15" s="52">
        <v>1074.74</v>
      </c>
      <c r="G15" s="52">
        <v>0</v>
      </c>
      <c r="H15" s="52">
        <v>1564.33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</row>
    <row r="16" spans="1:14" ht="11.25">
      <c r="A16" s="53" t="s">
        <v>109</v>
      </c>
      <c r="C16" s="52">
        <v>0</v>
      </c>
      <c r="D16" s="52">
        <v>151.8</v>
      </c>
      <c r="E16" s="52">
        <v>243.67</v>
      </c>
      <c r="F16" s="52">
        <v>35.11</v>
      </c>
      <c r="G16" s="52">
        <f>28.53+145.2</f>
        <v>173.73</v>
      </c>
      <c r="H16" s="52">
        <v>155.55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</row>
    <row r="17" spans="1:14" ht="11.25">
      <c r="A17" s="53" t="s">
        <v>110</v>
      </c>
      <c r="C17" s="52">
        <v>0</v>
      </c>
      <c r="D17" s="52">
        <v>106.7</v>
      </c>
      <c r="E17" s="52">
        <v>216.36</v>
      </c>
      <c r="F17" s="52">
        <v>0</v>
      </c>
      <c r="G17" s="52">
        <v>0</v>
      </c>
      <c r="H17" s="52">
        <v>275.9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</row>
    <row r="18" spans="1:14" ht="11.25">
      <c r="A18" s="53" t="s">
        <v>111</v>
      </c>
      <c r="C18" s="52">
        <v>64.67</v>
      </c>
      <c r="D18" s="52">
        <f>326.35+141.99</f>
        <v>468.34000000000003</v>
      </c>
      <c r="E18" s="52">
        <f>693.87+11.91</f>
        <v>705.78</v>
      </c>
      <c r="F18" s="52">
        <f>281.53+281.75</f>
        <v>563.28</v>
      </c>
      <c r="G18" s="52">
        <v>0</v>
      </c>
      <c r="H18" s="52">
        <v>530.52</v>
      </c>
      <c r="I18" s="52">
        <v>0</v>
      </c>
      <c r="J18" s="52">
        <v>36.09</v>
      </c>
      <c r="K18" s="52">
        <v>0</v>
      </c>
      <c r="L18" s="52">
        <v>0</v>
      </c>
      <c r="M18" s="52">
        <v>0</v>
      </c>
      <c r="N18" s="52">
        <v>0</v>
      </c>
    </row>
    <row r="19" spans="1:14" ht="11.25">
      <c r="A19" s="53" t="s">
        <v>112</v>
      </c>
      <c r="C19" s="52">
        <v>0</v>
      </c>
      <c r="D19" s="52">
        <v>289.16</v>
      </c>
      <c r="E19" s="52">
        <v>453.22</v>
      </c>
      <c r="F19" s="52">
        <v>887.04</v>
      </c>
      <c r="G19" s="52">
        <v>0</v>
      </c>
      <c r="H19" s="52">
        <v>1175.09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</row>
    <row r="20" spans="1:14" ht="11.25">
      <c r="A20" s="53" t="s">
        <v>113</v>
      </c>
      <c r="C20" s="52">
        <v>0</v>
      </c>
      <c r="D20" s="52">
        <v>0</v>
      </c>
      <c r="E20" s="52">
        <v>0</v>
      </c>
      <c r="F20" s="52">
        <v>8.89</v>
      </c>
      <c r="G20" s="52">
        <v>34.84</v>
      </c>
      <c r="H20" s="52">
        <v>29.37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34.13</v>
      </c>
    </row>
    <row r="21" spans="1:14" ht="11.25">
      <c r="A21" s="53" t="s">
        <v>114</v>
      </c>
      <c r="C21" s="52">
        <v>0</v>
      </c>
      <c r="D21" s="52">
        <v>479.51</v>
      </c>
      <c r="E21" s="52">
        <f>1059.1+109.15</f>
        <v>1168.25</v>
      </c>
      <c r="F21" s="52">
        <v>1003.8</v>
      </c>
      <c r="G21" s="52">
        <v>0</v>
      </c>
      <c r="H21" s="52">
        <v>1405.31</v>
      </c>
      <c r="I21" s="52">
        <v>0</v>
      </c>
      <c r="J21" s="52">
        <v>47.37</v>
      </c>
      <c r="K21" s="52">
        <v>0</v>
      </c>
      <c r="L21" s="52">
        <v>0</v>
      </c>
      <c r="M21" s="52">
        <v>0</v>
      </c>
      <c r="N21" s="52">
        <v>0</v>
      </c>
    </row>
    <row r="22" spans="1:14" ht="11.25">
      <c r="A22" s="53" t="s">
        <v>115</v>
      </c>
      <c r="C22" s="52">
        <v>121.04</v>
      </c>
      <c r="D22" s="52">
        <v>298.25</v>
      </c>
      <c r="E22" s="52">
        <v>731.87</v>
      </c>
      <c r="F22" s="52">
        <v>213.01</v>
      </c>
      <c r="G22" s="52">
        <v>0</v>
      </c>
      <c r="H22" s="52">
        <v>428.68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</row>
    <row r="23" spans="1:14" ht="11.25">
      <c r="A23" s="53" t="s">
        <v>116</v>
      </c>
      <c r="C23" s="52">
        <f>199.36+106.67</f>
        <v>306.03000000000003</v>
      </c>
      <c r="D23" s="52">
        <f>265.31-106.67</f>
        <v>158.64</v>
      </c>
      <c r="E23" s="52">
        <f>390.22+114.98</f>
        <v>505.20000000000005</v>
      </c>
      <c r="F23" s="52">
        <f>362.14+40</f>
        <v>402.14</v>
      </c>
      <c r="G23" s="52">
        <v>0</v>
      </c>
      <c r="H23" s="52">
        <f>610.45+119.11</f>
        <v>729.5600000000001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75.33</v>
      </c>
    </row>
    <row r="24" spans="1:14" ht="11.25">
      <c r="A24" s="53" t="s">
        <v>117</v>
      </c>
      <c r="C24" s="52">
        <v>0</v>
      </c>
      <c r="D24" s="52">
        <v>0</v>
      </c>
      <c r="E24" s="52">
        <v>1600</v>
      </c>
      <c r="F24" s="52">
        <v>0</v>
      </c>
      <c r="G24" s="52">
        <v>0</v>
      </c>
      <c r="H24" s="52">
        <v>176.32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</row>
    <row r="25" spans="1:14" ht="11.25">
      <c r="A25" s="53" t="s">
        <v>118</v>
      </c>
      <c r="C25" s="52">
        <v>237.92</v>
      </c>
      <c r="D25" s="52">
        <v>1455.89</v>
      </c>
      <c r="E25" s="52">
        <v>570.89</v>
      </c>
      <c r="F25" s="52">
        <f>743.15+40.71</f>
        <v>783.86</v>
      </c>
      <c r="G25" s="52">
        <v>94.99</v>
      </c>
      <c r="H25" s="52">
        <v>2352.36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</row>
    <row r="26" spans="1:14" ht="11.25">
      <c r="A26" s="53" t="s">
        <v>119</v>
      </c>
      <c r="C26" s="52">
        <v>0</v>
      </c>
      <c r="D26" s="52">
        <v>0</v>
      </c>
      <c r="E26" s="52">
        <v>70.31</v>
      </c>
      <c r="F26" s="52">
        <v>69.92</v>
      </c>
      <c r="G26" s="52">
        <v>0</v>
      </c>
      <c r="H26" s="52">
        <v>48.06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</row>
    <row r="27" spans="1:14" ht="11.25">
      <c r="A27" s="53" t="s">
        <v>120</v>
      </c>
      <c r="C27" s="52">
        <v>0</v>
      </c>
      <c r="D27" s="52">
        <v>69.52</v>
      </c>
      <c r="E27" s="52">
        <v>245.15</v>
      </c>
      <c r="F27" s="52">
        <v>390.5</v>
      </c>
      <c r="G27" s="52">
        <v>0</v>
      </c>
      <c r="H27" s="52">
        <v>197.88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</row>
    <row r="28" spans="1:14" ht="11.25">
      <c r="A28" s="53" t="s">
        <v>121</v>
      </c>
      <c r="C28" s="52">
        <v>32.27</v>
      </c>
      <c r="D28" s="52">
        <v>43.51</v>
      </c>
      <c r="E28" s="52">
        <v>92.56</v>
      </c>
      <c r="F28" s="52">
        <v>0</v>
      </c>
      <c r="G28" s="52">
        <v>0</v>
      </c>
      <c r="H28" s="52">
        <v>52.81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</row>
    <row r="29" spans="1:14" ht="11.25">
      <c r="A29" s="53" t="s">
        <v>122</v>
      </c>
      <c r="C29" s="52">
        <v>160.1</v>
      </c>
      <c r="D29" s="52">
        <v>161.09</v>
      </c>
      <c r="E29" s="52">
        <v>85.04</v>
      </c>
      <c r="F29" s="52">
        <v>0</v>
      </c>
      <c r="G29" s="52">
        <v>0</v>
      </c>
      <c r="H29" s="52">
        <v>207.37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</row>
    <row r="30" spans="1:14" ht="11.25">
      <c r="A30" s="53" t="s">
        <v>123</v>
      </c>
      <c r="C30" s="52">
        <v>98.36</v>
      </c>
      <c r="D30" s="52">
        <v>95.83</v>
      </c>
      <c r="E30" s="52">
        <v>85.34</v>
      </c>
      <c r="F30" s="52">
        <v>300.43</v>
      </c>
      <c r="G30" s="52">
        <v>0</v>
      </c>
      <c r="H30" s="52">
        <v>189.87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</row>
    <row r="31" spans="1:14" ht="11.25">
      <c r="A31" s="53" t="s">
        <v>124</v>
      </c>
      <c r="C31" s="52">
        <v>32.04</v>
      </c>
      <c r="D31" s="52">
        <v>0</v>
      </c>
      <c r="E31" s="52">
        <v>34.22</v>
      </c>
      <c r="F31" s="52">
        <v>132.72</v>
      </c>
      <c r="G31" s="52">
        <v>24.89</v>
      </c>
      <c r="H31" s="52">
        <v>326.71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</row>
    <row r="32" spans="1:14" ht="11.25">
      <c r="A32" s="53" t="s">
        <v>125</v>
      </c>
      <c r="C32" s="52">
        <f>565.68+559.91</f>
        <v>1125.59</v>
      </c>
      <c r="D32" s="52">
        <f>650+289.14</f>
        <v>939.14</v>
      </c>
      <c r="E32" s="52">
        <f>298.75+206.38</f>
        <v>505.13</v>
      </c>
      <c r="F32" s="52">
        <f>718.12+559.72</f>
        <v>1277.8400000000001</v>
      </c>
      <c r="G32" s="52">
        <v>0</v>
      </c>
      <c r="H32" s="52">
        <f>1148.21+202.44</f>
        <v>1350.65</v>
      </c>
      <c r="I32" s="52">
        <v>0</v>
      </c>
      <c r="J32" s="52">
        <v>-122.86</v>
      </c>
      <c r="K32" s="52">
        <v>0</v>
      </c>
      <c r="L32" s="52">
        <v>0</v>
      </c>
      <c r="M32" s="52">
        <v>0</v>
      </c>
      <c r="N32" s="52">
        <v>0</v>
      </c>
    </row>
    <row r="33" spans="1:14" ht="11.25">
      <c r="A33" s="53" t="s">
        <v>126</v>
      </c>
      <c r="C33" s="52">
        <v>0</v>
      </c>
      <c r="D33" s="52">
        <f>164.35+126.29</f>
        <v>290.64</v>
      </c>
      <c r="E33" s="52">
        <v>91.76</v>
      </c>
      <c r="F33" s="52">
        <v>0</v>
      </c>
      <c r="G33" s="52">
        <v>623.11</v>
      </c>
      <c r="H33" s="52">
        <v>165.15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</row>
    <row r="34" spans="1:15" ht="11.25">
      <c r="A34" s="54" t="s">
        <v>168</v>
      </c>
      <c r="C34" s="55">
        <f aca="true" t="shared" si="0" ref="C34:N34">SUM(C5:C33)</f>
        <v>3214.21</v>
      </c>
      <c r="D34" s="55">
        <f t="shared" si="0"/>
        <v>8175.150000000002</v>
      </c>
      <c r="E34" s="55">
        <f t="shared" si="0"/>
        <v>11132.359999999997</v>
      </c>
      <c r="F34" s="55">
        <f t="shared" si="0"/>
        <v>10487.76</v>
      </c>
      <c r="G34" s="55">
        <f t="shared" si="0"/>
        <v>1032.3600000000001</v>
      </c>
      <c r="H34" s="55">
        <f t="shared" si="0"/>
        <v>18349.920000000002</v>
      </c>
      <c r="I34" s="55">
        <f t="shared" si="0"/>
        <v>0</v>
      </c>
      <c r="J34" s="55">
        <f t="shared" si="0"/>
        <v>160.82999999999998</v>
      </c>
      <c r="K34" s="55">
        <f t="shared" si="0"/>
        <v>0</v>
      </c>
      <c r="L34" s="55">
        <f t="shared" si="0"/>
        <v>0</v>
      </c>
      <c r="M34" s="55">
        <f t="shared" si="0"/>
        <v>0</v>
      </c>
      <c r="N34" s="55">
        <f t="shared" si="0"/>
        <v>109.46000000000001</v>
      </c>
      <c r="O34" s="64">
        <f>SUM(C34:N34)</f>
        <v>52662.05000000001</v>
      </c>
    </row>
    <row r="35" spans="1:14" ht="11.25">
      <c r="A35" s="51" t="s">
        <v>169</v>
      </c>
      <c r="C35" s="52">
        <v>0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8000</v>
      </c>
      <c r="M35" s="52">
        <v>0</v>
      </c>
      <c r="N35" s="52">
        <v>-8000</v>
      </c>
    </row>
    <row r="36" spans="1:14" ht="11.25">
      <c r="A36" s="53" t="s">
        <v>127</v>
      </c>
      <c r="C36" s="52">
        <v>0</v>
      </c>
      <c r="D36" s="52">
        <v>0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1369.41</v>
      </c>
      <c r="K36" s="52">
        <v>662.95</v>
      </c>
      <c r="L36" s="52">
        <v>1533.65</v>
      </c>
      <c r="M36" s="52">
        <v>580.27</v>
      </c>
      <c r="N36" s="52">
        <v>847.08</v>
      </c>
    </row>
    <row r="37" spans="1:14" ht="11.25">
      <c r="A37" s="53" t="s">
        <v>128</v>
      </c>
      <c r="C37" s="52">
        <v>0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65.27</v>
      </c>
      <c r="K37" s="52">
        <v>181.07</v>
      </c>
      <c r="L37" s="52">
        <v>246.04</v>
      </c>
      <c r="M37" s="52">
        <v>307.94</v>
      </c>
      <c r="N37" s="52">
        <v>252.86</v>
      </c>
    </row>
    <row r="38" spans="1:14" ht="11.25">
      <c r="A38" s="53" t="s">
        <v>129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374.78</v>
      </c>
      <c r="K38" s="52">
        <v>110.94</v>
      </c>
      <c r="L38" s="52">
        <v>635.57</v>
      </c>
      <c r="M38" s="52">
        <v>127.37</v>
      </c>
      <c r="N38" s="52">
        <v>509.9</v>
      </c>
    </row>
    <row r="39" spans="1:14" ht="11.25">
      <c r="A39" s="53" t="s">
        <v>130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43.12</v>
      </c>
      <c r="L39" s="52">
        <v>0</v>
      </c>
      <c r="M39" s="52">
        <v>136.67</v>
      </c>
      <c r="N39" s="52">
        <v>204.89</v>
      </c>
    </row>
    <row r="40" spans="1:14" ht="11.25">
      <c r="A40" s="53" t="s">
        <v>131</v>
      </c>
      <c r="C40" s="52">
        <v>0</v>
      </c>
      <c r="D40" s="52">
        <v>0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  <c r="J40" s="52">
        <v>34.22</v>
      </c>
      <c r="K40" s="52">
        <v>32.24</v>
      </c>
      <c r="L40" s="52">
        <v>56.17</v>
      </c>
      <c r="M40" s="52">
        <v>111.54</v>
      </c>
      <c r="N40" s="52">
        <v>401.61</v>
      </c>
    </row>
    <row r="41" spans="1:14" ht="11.25">
      <c r="A41" s="53" t="s">
        <v>132</v>
      </c>
      <c r="C41" s="52">
        <v>0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25.12</v>
      </c>
      <c r="K41" s="52">
        <v>0</v>
      </c>
      <c r="L41" s="52">
        <v>141.41</v>
      </c>
      <c r="M41" s="52">
        <f>233.98+210.67</f>
        <v>444.65</v>
      </c>
      <c r="N41" s="52">
        <v>45.42</v>
      </c>
    </row>
    <row r="42" spans="1:14" ht="11.25">
      <c r="A42" s="53" t="s">
        <v>133</v>
      </c>
      <c r="C42" s="52">
        <v>0</v>
      </c>
      <c r="D42" s="52">
        <v>0</v>
      </c>
      <c r="E42" s="52">
        <v>0</v>
      </c>
      <c r="F42" s="52">
        <v>0</v>
      </c>
      <c r="G42" s="52">
        <v>0</v>
      </c>
      <c r="H42" s="52">
        <v>118.22</v>
      </c>
      <c r="I42" s="52">
        <v>0</v>
      </c>
      <c r="J42" s="52">
        <v>1359.32</v>
      </c>
      <c r="K42" s="52">
        <v>1134.74</v>
      </c>
      <c r="L42" s="52">
        <v>1421.93</v>
      </c>
      <c r="M42" s="52">
        <v>474.67</v>
      </c>
      <c r="N42" s="52">
        <v>1126.74</v>
      </c>
    </row>
    <row r="43" spans="1:14" ht="11.25">
      <c r="A43" s="53" t="s">
        <v>134</v>
      </c>
      <c r="C43" s="52">
        <v>0</v>
      </c>
      <c r="D43" s="52">
        <v>0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>
        <v>117.43</v>
      </c>
      <c r="K43" s="52">
        <v>62.8</v>
      </c>
      <c r="L43" s="52">
        <f>49.78+30.85</f>
        <v>80.63</v>
      </c>
      <c r="M43" s="52">
        <v>531.2</v>
      </c>
      <c r="N43" s="52">
        <v>86.13</v>
      </c>
    </row>
    <row r="44" spans="1:14" ht="11.25">
      <c r="A44" s="53" t="s">
        <v>135</v>
      </c>
      <c r="C44" s="52">
        <v>0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23.34</v>
      </c>
      <c r="L44" s="52">
        <v>0</v>
      </c>
      <c r="M44" s="52">
        <v>76.64</v>
      </c>
      <c r="N44" s="52">
        <v>39.56</v>
      </c>
    </row>
    <row r="45" spans="1:14" ht="11.25">
      <c r="A45" s="53" t="s">
        <v>108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165.51</v>
      </c>
      <c r="L45" s="52">
        <f>189.87+316.65</f>
        <v>506.52</v>
      </c>
      <c r="M45" s="52">
        <v>388.72</v>
      </c>
      <c r="N45" s="52">
        <v>834.72</v>
      </c>
    </row>
    <row r="46" spans="1:14" ht="11.25">
      <c r="A46" s="53" t="s">
        <v>136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192.53</v>
      </c>
      <c r="K46" s="52">
        <v>104.82</v>
      </c>
      <c r="L46" s="52">
        <v>446.98</v>
      </c>
      <c r="M46" s="52">
        <v>366.59</v>
      </c>
      <c r="N46" s="52">
        <f>1295.63-182.68</f>
        <v>1112.95</v>
      </c>
    </row>
    <row r="47" spans="1:14" ht="11.25">
      <c r="A47" s="53" t="s">
        <v>137</v>
      </c>
      <c r="C47" s="52">
        <v>0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>
        <v>70.91</v>
      </c>
      <c r="K47" s="52">
        <v>36.98</v>
      </c>
      <c r="L47" s="52">
        <f>17.78+342.95</f>
        <v>360.73</v>
      </c>
      <c r="M47" s="52">
        <v>337.02</v>
      </c>
      <c r="N47" s="52">
        <v>983.96</v>
      </c>
    </row>
    <row r="48" spans="1:14" ht="11.25">
      <c r="A48" s="53" t="s">
        <v>138</v>
      </c>
      <c r="C48" s="52">
        <v>0</v>
      </c>
      <c r="D48" s="52">
        <v>0</v>
      </c>
      <c r="E48" s="52">
        <v>0</v>
      </c>
      <c r="F48" s="52">
        <v>0</v>
      </c>
      <c r="G48" s="52">
        <v>0</v>
      </c>
      <c r="H48" s="52">
        <v>126.67</v>
      </c>
      <c r="I48" s="52">
        <v>0</v>
      </c>
      <c r="J48" s="52">
        <f>1204+466.76</f>
        <v>1670.76</v>
      </c>
      <c r="K48" s="52">
        <f>1875.56+462.81</f>
        <v>2338.37</v>
      </c>
      <c r="L48" s="52">
        <f>2917.6+101.75</f>
        <v>3019.35</v>
      </c>
      <c r="M48" s="52">
        <f>2613.34+182.56</f>
        <v>2795.9</v>
      </c>
      <c r="N48" s="52">
        <f>2468.43+303.28</f>
        <v>2771.71</v>
      </c>
    </row>
    <row r="49" spans="1:14" ht="11.25">
      <c r="A49" s="53" t="s">
        <v>139</v>
      </c>
      <c r="C49" s="52">
        <v>0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J49" s="52">
        <v>560.6</v>
      </c>
      <c r="K49" s="52">
        <v>135.48</v>
      </c>
      <c r="L49" s="52">
        <v>268.39</v>
      </c>
      <c r="M49" s="52">
        <v>283.62</v>
      </c>
      <c r="N49" s="52">
        <v>280.16</v>
      </c>
    </row>
    <row r="50" spans="1:14" ht="11.25">
      <c r="A50" s="53" t="s">
        <v>140</v>
      </c>
      <c r="C50" s="52">
        <v>0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>
        <v>482.16</v>
      </c>
      <c r="K50" s="52">
        <f>278.02+687.67</f>
        <v>965.6899999999999</v>
      </c>
      <c r="L50" s="52">
        <f>213.16+628.43</f>
        <v>841.5899999999999</v>
      </c>
      <c r="M50" s="52">
        <f>52.8+609.42</f>
        <v>662.2199999999999</v>
      </c>
      <c r="N50" s="52">
        <f>214.23+191.16</f>
        <v>405.39</v>
      </c>
    </row>
    <row r="51" spans="1:14" ht="11.25">
      <c r="A51" s="53" t="s">
        <v>141</v>
      </c>
      <c r="C51" s="52">
        <v>0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512.85</v>
      </c>
      <c r="K51" s="52">
        <v>417.21</v>
      </c>
      <c r="L51" s="52">
        <v>735.23</v>
      </c>
      <c r="M51" s="52">
        <v>421.86</v>
      </c>
      <c r="N51" s="52">
        <v>784.89</v>
      </c>
    </row>
    <row r="52" spans="1:14" ht="11.25">
      <c r="A52" s="53" t="s">
        <v>142</v>
      </c>
      <c r="C52" s="52">
        <v>0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37.08</v>
      </c>
      <c r="K52" s="52">
        <f>22.22+22.35</f>
        <v>44.57</v>
      </c>
      <c r="L52" s="52">
        <f>85.93</f>
        <v>85.93</v>
      </c>
      <c r="M52" s="52">
        <f>72.19</f>
        <v>72.19</v>
      </c>
      <c r="N52" s="52">
        <f>148.33</f>
        <v>148.33</v>
      </c>
    </row>
    <row r="53" spans="1:14" ht="11.25">
      <c r="A53" s="53" t="s">
        <v>143</v>
      </c>
      <c r="C53" s="52">
        <v>0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68.43</v>
      </c>
      <c r="L53" s="52">
        <v>332.07</v>
      </c>
      <c r="M53" s="52">
        <v>243.56</v>
      </c>
      <c r="N53" s="52">
        <v>219.33</v>
      </c>
    </row>
    <row r="54" spans="1:14" ht="11.25">
      <c r="A54" s="53" t="s">
        <v>144</v>
      </c>
      <c r="C54" s="52">
        <v>0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795.2</v>
      </c>
      <c r="J54" s="52">
        <v>377.45</v>
      </c>
      <c r="K54" s="52">
        <f>2475.56+337.41</f>
        <v>2812.97</v>
      </c>
      <c r="L54" s="52">
        <f>2967.11+351.72</f>
        <v>3318.83</v>
      </c>
      <c r="M54" s="52">
        <v>222.11</v>
      </c>
      <c r="N54" s="52">
        <v>250.68</v>
      </c>
    </row>
    <row r="55" spans="1:14" ht="11.25">
      <c r="A55" s="53" t="s">
        <v>145</v>
      </c>
      <c r="C55" s="52"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440.93</v>
      </c>
      <c r="K55" s="52">
        <v>120.84</v>
      </c>
      <c r="L55" s="52">
        <v>215.68</v>
      </c>
      <c r="M55" s="52">
        <v>0</v>
      </c>
      <c r="N55" s="52">
        <v>160.69</v>
      </c>
    </row>
    <row r="56" spans="1:14" ht="11.25">
      <c r="A56" s="53" t="s">
        <v>146</v>
      </c>
      <c r="C56" s="52">
        <v>0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318.43</v>
      </c>
      <c r="K56" s="52">
        <v>0</v>
      </c>
      <c r="L56" s="52">
        <v>195.8</v>
      </c>
      <c r="M56" s="52">
        <v>71.79</v>
      </c>
      <c r="N56" s="52">
        <v>0</v>
      </c>
    </row>
    <row r="57" spans="1:14" ht="11.25">
      <c r="A57" s="53" t="s">
        <v>147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f>60.97+77.24</f>
        <v>138.20999999999998</v>
      </c>
      <c r="L57" s="52">
        <v>0</v>
      </c>
      <c r="M57" s="52">
        <v>0</v>
      </c>
      <c r="N57" s="52">
        <v>73.08</v>
      </c>
    </row>
    <row r="58" spans="1:14" ht="11.25">
      <c r="A58" s="53" t="s">
        <v>108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21.33</v>
      </c>
      <c r="K58" s="52">
        <v>0</v>
      </c>
      <c r="L58" s="52">
        <f>32+81.58</f>
        <v>113.58</v>
      </c>
      <c r="M58" s="52">
        <v>87.92</v>
      </c>
      <c r="N58" s="52">
        <f>161.99+21.33</f>
        <v>183.32</v>
      </c>
    </row>
    <row r="59" spans="1:14" ht="11.25">
      <c r="A59" s="53" t="s">
        <v>148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132.91</v>
      </c>
      <c r="K59" s="52">
        <f>62.22+487.51</f>
        <v>549.73</v>
      </c>
      <c r="L59" s="52">
        <f>617.77+736.28</f>
        <v>1354.05</v>
      </c>
      <c r="M59" s="52">
        <f>-130.23+475.94</f>
        <v>345.71000000000004</v>
      </c>
      <c r="N59" s="52">
        <v>541.42</v>
      </c>
    </row>
    <row r="60" spans="1:14" ht="11.25">
      <c r="A60" s="53" t="s">
        <v>149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231.5</v>
      </c>
    </row>
    <row r="61" spans="1:14" ht="11.25">
      <c r="A61" s="53" t="s">
        <v>150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664.34</v>
      </c>
      <c r="K61" s="52">
        <v>529.29</v>
      </c>
      <c r="L61" s="52">
        <v>1347.95</v>
      </c>
      <c r="M61" s="52">
        <v>1445.35</v>
      </c>
      <c r="N61" s="52">
        <v>773.4</v>
      </c>
    </row>
    <row r="62" spans="1:14" ht="11.25">
      <c r="A62" s="53" t="s">
        <v>151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80.1</v>
      </c>
      <c r="K62" s="52">
        <v>355.31</v>
      </c>
      <c r="L62" s="52">
        <v>255.34</v>
      </c>
      <c r="M62" s="52">
        <v>778.45</v>
      </c>
      <c r="N62" s="52">
        <v>1262.81</v>
      </c>
    </row>
    <row r="63" spans="1:14" ht="11.25">
      <c r="A63" s="53" t="s">
        <v>122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65.86</v>
      </c>
      <c r="L63" s="52">
        <v>97.6</v>
      </c>
      <c r="M63" s="52">
        <v>39.95</v>
      </c>
      <c r="N63" s="52">
        <v>0</v>
      </c>
    </row>
    <row r="64" spans="1:14" ht="11.25">
      <c r="A64" s="53" t="s">
        <v>153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</row>
    <row r="65" spans="1:15" ht="11.25">
      <c r="A65" s="56" t="s">
        <v>170</v>
      </c>
      <c r="C65" s="57">
        <f aca="true" t="shared" si="1" ref="C65:N65">SUM(C35:C64)</f>
        <v>0</v>
      </c>
      <c r="D65" s="57">
        <f t="shared" si="1"/>
        <v>0</v>
      </c>
      <c r="E65" s="57">
        <f t="shared" si="1"/>
        <v>0</v>
      </c>
      <c r="F65" s="57">
        <f t="shared" si="1"/>
        <v>0</v>
      </c>
      <c r="G65" s="57">
        <f t="shared" si="1"/>
        <v>0</v>
      </c>
      <c r="H65" s="57">
        <f t="shared" si="1"/>
        <v>244.89</v>
      </c>
      <c r="I65" s="57">
        <f t="shared" si="1"/>
        <v>795.2</v>
      </c>
      <c r="J65" s="57">
        <f t="shared" si="1"/>
        <v>8907.93</v>
      </c>
      <c r="K65" s="57">
        <f t="shared" si="1"/>
        <v>11100.47</v>
      </c>
      <c r="L65" s="57">
        <f t="shared" si="1"/>
        <v>25611.019999999997</v>
      </c>
      <c r="M65" s="57">
        <f t="shared" si="1"/>
        <v>11353.910000000002</v>
      </c>
      <c r="N65" s="57">
        <f t="shared" si="1"/>
        <v>6532.529999999999</v>
      </c>
      <c r="O65" s="64">
        <f>SUM(C65:N65)</f>
        <v>64545.95</v>
      </c>
    </row>
    <row r="66" ht="11.25">
      <c r="O66" s="69">
        <f>O65+O34</f>
        <v>117208</v>
      </c>
    </row>
    <row r="67" spans="1:14" ht="11.25">
      <c r="A67" s="42"/>
      <c r="C67" s="46" t="s">
        <v>156</v>
      </c>
      <c r="D67" s="43" t="s">
        <v>157</v>
      </c>
      <c r="E67" s="43" t="s">
        <v>158</v>
      </c>
      <c r="F67" s="43" t="s">
        <v>159</v>
      </c>
      <c r="G67" s="43" t="s">
        <v>160</v>
      </c>
      <c r="H67" s="43" t="s">
        <v>161</v>
      </c>
      <c r="I67" s="43" t="s">
        <v>162</v>
      </c>
      <c r="J67" s="43" t="s">
        <v>163</v>
      </c>
      <c r="K67" s="43" t="s">
        <v>164</v>
      </c>
      <c r="L67" s="43" t="s">
        <v>165</v>
      </c>
      <c r="M67" s="43" t="s">
        <v>166</v>
      </c>
      <c r="N67" s="63" t="s">
        <v>173</v>
      </c>
    </row>
    <row r="68" spans="1:14" ht="11.25">
      <c r="A68" s="47"/>
      <c r="C68" s="50">
        <v>2509</v>
      </c>
      <c r="D68" s="48">
        <v>2509</v>
      </c>
      <c r="E68" s="48">
        <v>2509</v>
      </c>
      <c r="F68" s="48">
        <v>2509</v>
      </c>
      <c r="G68" s="48">
        <v>2509</v>
      </c>
      <c r="H68" s="48">
        <v>2509</v>
      </c>
      <c r="I68" s="48">
        <v>2509</v>
      </c>
      <c r="J68" s="48">
        <v>2509</v>
      </c>
      <c r="K68" s="48">
        <v>2509</v>
      </c>
      <c r="L68" s="48">
        <v>2509</v>
      </c>
      <c r="M68" s="48">
        <v>2509</v>
      </c>
      <c r="N68" s="49">
        <v>2509</v>
      </c>
    </row>
    <row r="69" spans="1:15" ht="11.25">
      <c r="A69" s="51" t="s">
        <v>167</v>
      </c>
      <c r="C69" s="52">
        <v>222222.22</v>
      </c>
      <c r="D69" s="52">
        <v>0</v>
      </c>
      <c r="E69" s="52">
        <v>222222.22</v>
      </c>
      <c r="F69" s="52">
        <v>309866.22</v>
      </c>
      <c r="G69" s="52">
        <v>51244.9</v>
      </c>
      <c r="H69" s="52">
        <v>319444.43</v>
      </c>
      <c r="I69" s="52">
        <v>0</v>
      </c>
      <c r="J69" s="52">
        <v>221934.01</v>
      </c>
      <c r="K69" s="52">
        <v>0</v>
      </c>
      <c r="L69" s="52">
        <v>0</v>
      </c>
      <c r="M69" s="52">
        <v>250000</v>
      </c>
      <c r="N69" s="52">
        <v>-250000</v>
      </c>
      <c r="O69" s="61">
        <f aca="true" t="shared" si="2" ref="O69:O97">SUM(C69:N69)</f>
        <v>1346934</v>
      </c>
    </row>
    <row r="70" spans="1:15" ht="11.25">
      <c r="A70" s="51" t="s">
        <v>99</v>
      </c>
      <c r="C70" s="52">
        <v>27344.81</v>
      </c>
      <c r="D70" s="52">
        <v>20707.1</v>
      </c>
      <c r="E70" s="52">
        <v>20632.82</v>
      </c>
      <c r="F70" s="52">
        <v>27708.51</v>
      </c>
      <c r="G70" s="52">
        <v>16541.42</v>
      </c>
      <c r="H70" s="52">
        <v>4.400000000001455</v>
      </c>
      <c r="I70" s="52">
        <v>108.33</v>
      </c>
      <c r="J70" s="52">
        <v>-7437.4</v>
      </c>
      <c r="K70" s="52">
        <v>236.28</v>
      </c>
      <c r="L70" s="52">
        <v>469.51</v>
      </c>
      <c r="M70" s="52">
        <v>177.3</v>
      </c>
      <c r="N70" s="52">
        <v>77.8</v>
      </c>
      <c r="O70" s="61">
        <f t="shared" si="2"/>
        <v>106570.88</v>
      </c>
    </row>
    <row r="71" spans="1:15" ht="11.25">
      <c r="A71" s="53" t="s">
        <v>100</v>
      </c>
      <c r="C71" s="52">
        <v>9849.31</v>
      </c>
      <c r="D71" s="52">
        <v>6644.44</v>
      </c>
      <c r="E71" s="52">
        <v>6040.44</v>
      </c>
      <c r="F71" s="52">
        <v>10948.45</v>
      </c>
      <c r="G71" s="52">
        <v>10342.99</v>
      </c>
      <c r="H71" s="52">
        <v>4.399999999999636</v>
      </c>
      <c r="I71" s="52">
        <v>0</v>
      </c>
      <c r="J71" s="52">
        <v>-7775</v>
      </c>
      <c r="K71" s="52">
        <v>0</v>
      </c>
      <c r="L71" s="52">
        <v>0</v>
      </c>
      <c r="M71" s="52">
        <v>0</v>
      </c>
      <c r="N71" s="52">
        <v>0</v>
      </c>
      <c r="O71" s="61">
        <f t="shared" si="2"/>
        <v>36055.03</v>
      </c>
    </row>
    <row r="72" spans="1:15" ht="11.25">
      <c r="A72" s="53" t="s">
        <v>101</v>
      </c>
      <c r="C72" s="52">
        <v>8068.9</v>
      </c>
      <c r="D72" s="52">
        <v>7971.47</v>
      </c>
      <c r="E72" s="52">
        <v>9094.57</v>
      </c>
      <c r="F72" s="52">
        <v>12957.04</v>
      </c>
      <c r="G72" s="52">
        <v>9657.5</v>
      </c>
      <c r="H72" s="52">
        <v>4.399999999999636</v>
      </c>
      <c r="I72" s="52">
        <v>54.6</v>
      </c>
      <c r="J72" s="52">
        <v>-8440.24</v>
      </c>
      <c r="K72" s="52">
        <v>0</v>
      </c>
      <c r="L72" s="52">
        <v>145.6</v>
      </c>
      <c r="M72" s="52">
        <v>0</v>
      </c>
      <c r="N72" s="52">
        <v>0</v>
      </c>
      <c r="O72" s="61">
        <f t="shared" si="2"/>
        <v>39513.84</v>
      </c>
    </row>
    <row r="73" spans="1:15" ht="11.25">
      <c r="A73" s="53" t="s">
        <v>102</v>
      </c>
      <c r="C73" s="52">
        <v>6570.87</v>
      </c>
      <c r="D73" s="52">
        <v>10351.96</v>
      </c>
      <c r="E73" s="52">
        <v>12222.24</v>
      </c>
      <c r="F73" s="52">
        <v>13535.19</v>
      </c>
      <c r="G73" s="52">
        <v>10321.66</v>
      </c>
      <c r="H73" s="52">
        <v>4.399999999999636</v>
      </c>
      <c r="I73" s="52">
        <v>463.86</v>
      </c>
      <c r="J73" s="52">
        <v>-8495.6</v>
      </c>
      <c r="K73" s="52">
        <v>0</v>
      </c>
      <c r="L73" s="52">
        <v>0</v>
      </c>
      <c r="M73" s="52">
        <v>0</v>
      </c>
      <c r="N73" s="52">
        <v>0</v>
      </c>
      <c r="O73" s="61">
        <f t="shared" si="2"/>
        <v>44974.58</v>
      </c>
    </row>
    <row r="74" spans="1:15" ht="11.25">
      <c r="A74" s="53" t="s">
        <v>103</v>
      </c>
      <c r="C74" s="52">
        <v>8051.25</v>
      </c>
      <c r="D74" s="52">
        <v>8843.68</v>
      </c>
      <c r="E74" s="52">
        <v>8927.95</v>
      </c>
      <c r="F74" s="52">
        <v>9990.66</v>
      </c>
      <c r="G74" s="52">
        <v>5686.03</v>
      </c>
      <c r="H74" s="52">
        <v>4.399999999999636</v>
      </c>
      <c r="I74" s="52">
        <v>0</v>
      </c>
      <c r="J74" s="52">
        <v>-8635</v>
      </c>
      <c r="K74" s="52">
        <v>0</v>
      </c>
      <c r="L74" s="52">
        <v>0</v>
      </c>
      <c r="M74" s="52">
        <v>0</v>
      </c>
      <c r="N74" s="52">
        <v>0</v>
      </c>
      <c r="O74" s="61">
        <f t="shared" si="2"/>
        <v>32868.97</v>
      </c>
    </row>
    <row r="75" spans="1:15" ht="11.25">
      <c r="A75" s="53" t="s">
        <v>104</v>
      </c>
      <c r="C75" s="52">
        <v>7430.67</v>
      </c>
      <c r="D75" s="52">
        <v>6051.27</v>
      </c>
      <c r="E75" s="52">
        <v>8133</v>
      </c>
      <c r="F75" s="52">
        <v>7803.88</v>
      </c>
      <c r="G75" s="52">
        <v>5051.73</v>
      </c>
      <c r="H75" s="52">
        <v>145.8</v>
      </c>
      <c r="I75" s="52">
        <v>0</v>
      </c>
      <c r="J75" s="52">
        <v>-7395</v>
      </c>
      <c r="K75" s="52">
        <v>0</v>
      </c>
      <c r="L75" s="52">
        <v>0</v>
      </c>
      <c r="M75" s="52">
        <v>0</v>
      </c>
      <c r="N75" s="52">
        <v>0</v>
      </c>
      <c r="O75" s="61">
        <f t="shared" si="2"/>
        <v>27221.350000000006</v>
      </c>
    </row>
    <row r="76" spans="1:15" ht="11.25">
      <c r="A76" s="53" t="s">
        <v>105</v>
      </c>
      <c r="C76" s="52">
        <v>7503.44</v>
      </c>
      <c r="D76" s="52">
        <v>5182.73</v>
      </c>
      <c r="E76" s="52">
        <v>4784.47</v>
      </c>
      <c r="F76" s="52">
        <v>6556.71</v>
      </c>
      <c r="G76" s="52">
        <v>3434.74</v>
      </c>
      <c r="H76" s="52">
        <v>0</v>
      </c>
      <c r="I76" s="52">
        <v>0</v>
      </c>
      <c r="J76" s="52">
        <v>-4304</v>
      </c>
      <c r="K76" s="52">
        <v>0</v>
      </c>
      <c r="L76" s="52">
        <v>0</v>
      </c>
      <c r="M76" s="52">
        <v>0</v>
      </c>
      <c r="N76" s="52">
        <v>0</v>
      </c>
      <c r="O76" s="61">
        <f t="shared" si="2"/>
        <v>23158.089999999997</v>
      </c>
    </row>
    <row r="77" spans="1:15" ht="11.25">
      <c r="A77" s="53" t="s">
        <v>106</v>
      </c>
      <c r="C77" s="52">
        <v>21597.77</v>
      </c>
      <c r="D77" s="52">
        <v>8398.2</v>
      </c>
      <c r="E77" s="52">
        <v>8683.61</v>
      </c>
      <c r="F77" s="52">
        <v>17048.86</v>
      </c>
      <c r="G77" s="52">
        <v>13969.8</v>
      </c>
      <c r="H77" s="52">
        <v>4.399999999999636</v>
      </c>
      <c r="I77" s="52">
        <v>0</v>
      </c>
      <c r="J77" s="52">
        <v>-7775</v>
      </c>
      <c r="K77" s="52">
        <v>0</v>
      </c>
      <c r="L77" s="52">
        <v>0</v>
      </c>
      <c r="M77" s="52">
        <v>0</v>
      </c>
      <c r="N77" s="52">
        <v>0</v>
      </c>
      <c r="O77" s="61">
        <f t="shared" si="2"/>
        <v>61927.64</v>
      </c>
    </row>
    <row r="78" spans="1:15" ht="11.25">
      <c r="A78" s="53" t="s">
        <v>107</v>
      </c>
      <c r="C78" s="52">
        <v>7984.78</v>
      </c>
      <c r="D78" s="52">
        <v>9697.09</v>
      </c>
      <c r="E78" s="52">
        <v>9538.79</v>
      </c>
      <c r="F78" s="52">
        <v>9020.09</v>
      </c>
      <c r="G78" s="52">
        <v>10968.88</v>
      </c>
      <c r="H78" s="52">
        <v>4.399999999999636</v>
      </c>
      <c r="I78" s="52">
        <v>147.86</v>
      </c>
      <c r="J78" s="52">
        <v>-7560.32</v>
      </c>
      <c r="K78" s="52">
        <v>0</v>
      </c>
      <c r="L78" s="52">
        <v>0</v>
      </c>
      <c r="M78" s="52">
        <v>0</v>
      </c>
      <c r="N78" s="52">
        <v>0</v>
      </c>
      <c r="O78" s="61">
        <f t="shared" si="2"/>
        <v>39801.57</v>
      </c>
    </row>
    <row r="79" spans="1:15" ht="11.25">
      <c r="A79" s="53" t="s">
        <v>108</v>
      </c>
      <c r="C79" s="52">
        <v>14717.19</v>
      </c>
      <c r="D79" s="52">
        <v>20378.63</v>
      </c>
      <c r="E79" s="52">
        <v>14963.92</v>
      </c>
      <c r="F79" s="52">
        <v>18749.29</v>
      </c>
      <c r="G79" s="52">
        <v>12474.07</v>
      </c>
      <c r="H79" s="52">
        <v>4.399999999999636</v>
      </c>
      <c r="I79" s="52">
        <v>0</v>
      </c>
      <c r="J79" s="52">
        <v>-8500</v>
      </c>
      <c r="K79" s="52">
        <v>0</v>
      </c>
      <c r="L79" s="52">
        <v>0</v>
      </c>
      <c r="M79" s="52">
        <v>0</v>
      </c>
      <c r="N79" s="52">
        <v>0</v>
      </c>
      <c r="O79" s="61">
        <f t="shared" si="2"/>
        <v>72787.5</v>
      </c>
    </row>
    <row r="80" spans="1:15" ht="11.25">
      <c r="A80" s="53" t="s">
        <v>109</v>
      </c>
      <c r="C80" s="52">
        <v>9645.97</v>
      </c>
      <c r="D80" s="52">
        <v>12406.84</v>
      </c>
      <c r="E80" s="52">
        <v>9875.39</v>
      </c>
      <c r="F80" s="52">
        <v>8045.77</v>
      </c>
      <c r="G80" s="52">
        <v>7477.32</v>
      </c>
      <c r="H80" s="52">
        <v>4.399999999999636</v>
      </c>
      <c r="I80" s="52">
        <v>0</v>
      </c>
      <c r="J80" s="52">
        <v>-7770.6</v>
      </c>
      <c r="K80" s="52">
        <v>0</v>
      </c>
      <c r="L80" s="52">
        <v>0</v>
      </c>
      <c r="M80" s="52">
        <v>0</v>
      </c>
      <c r="N80" s="52">
        <v>0</v>
      </c>
      <c r="O80" s="61">
        <f t="shared" si="2"/>
        <v>39685.090000000004</v>
      </c>
    </row>
    <row r="81" spans="1:15" ht="11.25">
      <c r="A81" s="53" t="s">
        <v>110</v>
      </c>
      <c r="C81" s="52">
        <v>4830.98</v>
      </c>
      <c r="D81" s="52">
        <v>7165.32</v>
      </c>
      <c r="E81" s="52">
        <v>6707.64</v>
      </c>
      <c r="F81" s="52">
        <v>5862.99</v>
      </c>
      <c r="G81" s="52">
        <v>3756.84</v>
      </c>
      <c r="H81" s="52">
        <v>4.400000000000091</v>
      </c>
      <c r="I81" s="52">
        <v>52.43</v>
      </c>
      <c r="J81" s="52">
        <v>-7775</v>
      </c>
      <c r="K81" s="52">
        <v>0</v>
      </c>
      <c r="L81" s="52">
        <v>0</v>
      </c>
      <c r="M81" s="52">
        <v>0</v>
      </c>
      <c r="N81" s="52">
        <v>0</v>
      </c>
      <c r="O81" s="61">
        <f t="shared" si="2"/>
        <v>20605.600000000002</v>
      </c>
    </row>
    <row r="82" spans="1:15" ht="11.25">
      <c r="A82" s="53" t="s">
        <v>111</v>
      </c>
      <c r="C82" s="52">
        <v>8403.06</v>
      </c>
      <c r="D82" s="52">
        <v>7857.55</v>
      </c>
      <c r="E82" s="52">
        <v>7491.74</v>
      </c>
      <c r="F82" s="52">
        <v>8099.64</v>
      </c>
      <c r="G82" s="52">
        <v>7713.88</v>
      </c>
      <c r="H82" s="52">
        <v>4.399999999999636</v>
      </c>
      <c r="I82" s="52">
        <v>0</v>
      </c>
      <c r="J82" s="52">
        <v>-7775</v>
      </c>
      <c r="K82" s="52">
        <v>0</v>
      </c>
      <c r="L82" s="52">
        <v>0</v>
      </c>
      <c r="M82" s="52">
        <v>0</v>
      </c>
      <c r="N82" s="52">
        <v>0</v>
      </c>
      <c r="O82" s="61">
        <f t="shared" si="2"/>
        <v>31795.269999999997</v>
      </c>
    </row>
    <row r="83" spans="1:15" ht="11.25">
      <c r="A83" s="53" t="s">
        <v>112</v>
      </c>
      <c r="C83" s="52">
        <v>7720.92</v>
      </c>
      <c r="D83" s="52">
        <v>7654.68</v>
      </c>
      <c r="E83" s="52">
        <v>9637.8</v>
      </c>
      <c r="F83" s="52">
        <v>11349.79</v>
      </c>
      <c r="G83" s="52">
        <v>8037.42</v>
      </c>
      <c r="H83" s="52">
        <v>168.15</v>
      </c>
      <c r="I83" s="52">
        <v>270.64</v>
      </c>
      <c r="J83" s="52">
        <v>-8611.36</v>
      </c>
      <c r="K83" s="52">
        <v>0</v>
      </c>
      <c r="L83" s="52">
        <v>0</v>
      </c>
      <c r="M83" s="52">
        <v>0</v>
      </c>
      <c r="N83" s="52">
        <v>0</v>
      </c>
      <c r="O83" s="61">
        <f t="shared" si="2"/>
        <v>36228.04</v>
      </c>
    </row>
    <row r="84" spans="1:15" ht="11.25">
      <c r="A84" s="53" t="s">
        <v>113</v>
      </c>
      <c r="C84" s="52">
        <v>6599.85</v>
      </c>
      <c r="D84" s="52">
        <v>9013.2</v>
      </c>
      <c r="E84" s="52">
        <v>8158.93</v>
      </c>
      <c r="F84" s="52">
        <v>5689</v>
      </c>
      <c r="G84" s="52">
        <v>5102.94</v>
      </c>
      <c r="H84" s="52">
        <v>4.399999999999636</v>
      </c>
      <c r="I84" s="52">
        <v>621.09</v>
      </c>
      <c r="J84" s="52">
        <v>-9086.2</v>
      </c>
      <c r="K84" s="52">
        <v>0</v>
      </c>
      <c r="L84" s="52">
        <v>0</v>
      </c>
      <c r="M84" s="52">
        <v>0</v>
      </c>
      <c r="N84" s="52">
        <v>0</v>
      </c>
      <c r="O84" s="61">
        <f t="shared" si="2"/>
        <v>26103.210000000003</v>
      </c>
    </row>
    <row r="85" spans="1:15" ht="11.25">
      <c r="A85" s="53" t="s">
        <v>114</v>
      </c>
      <c r="C85" s="52">
        <v>11729.57</v>
      </c>
      <c r="D85" s="52">
        <v>8624.73</v>
      </c>
      <c r="E85" s="52">
        <v>9673.35</v>
      </c>
      <c r="F85" s="52">
        <v>9319.83</v>
      </c>
      <c r="G85" s="52">
        <v>8829.4</v>
      </c>
      <c r="H85" s="52">
        <v>4.399999999999636</v>
      </c>
      <c r="I85" s="52">
        <v>0</v>
      </c>
      <c r="J85" s="52">
        <v>-8775</v>
      </c>
      <c r="K85" s="52">
        <v>0</v>
      </c>
      <c r="L85" s="52">
        <v>0</v>
      </c>
      <c r="M85" s="52">
        <v>0</v>
      </c>
      <c r="N85" s="52">
        <v>0</v>
      </c>
      <c r="O85" s="61">
        <f t="shared" si="2"/>
        <v>39406.280000000006</v>
      </c>
    </row>
    <row r="86" spans="1:15" ht="11.25">
      <c r="A86" s="53" t="s">
        <v>115</v>
      </c>
      <c r="C86" s="52">
        <v>12157.42</v>
      </c>
      <c r="D86" s="52">
        <v>8388.96</v>
      </c>
      <c r="E86" s="52">
        <v>11480.6</v>
      </c>
      <c r="F86" s="52">
        <v>6150.32</v>
      </c>
      <c r="G86" s="52">
        <v>7422.69</v>
      </c>
      <c r="H86" s="52">
        <v>0</v>
      </c>
      <c r="I86" s="52">
        <v>0</v>
      </c>
      <c r="J86" s="52">
        <v>-8635</v>
      </c>
      <c r="K86" s="52">
        <v>0</v>
      </c>
      <c r="L86" s="52">
        <v>0</v>
      </c>
      <c r="M86" s="52">
        <v>0</v>
      </c>
      <c r="N86" s="52">
        <v>0</v>
      </c>
      <c r="O86" s="61">
        <f t="shared" si="2"/>
        <v>36964.99</v>
      </c>
    </row>
    <row r="87" spans="1:15" ht="11.25">
      <c r="A87" s="53" t="s">
        <v>116</v>
      </c>
      <c r="C87" s="52">
        <v>7790.73</v>
      </c>
      <c r="D87" s="52">
        <v>8223.26</v>
      </c>
      <c r="E87" s="52">
        <v>9930.22</v>
      </c>
      <c r="F87" s="52">
        <v>7708.63</v>
      </c>
      <c r="G87" s="52">
        <v>5809.83</v>
      </c>
      <c r="H87" s="52">
        <v>4.399999999999636</v>
      </c>
      <c r="I87" s="52">
        <v>0</v>
      </c>
      <c r="J87" s="52">
        <v>-6495</v>
      </c>
      <c r="K87" s="52">
        <v>0</v>
      </c>
      <c r="L87" s="52">
        <v>0</v>
      </c>
      <c r="M87" s="52">
        <v>0</v>
      </c>
      <c r="N87" s="52">
        <v>0</v>
      </c>
      <c r="O87" s="61">
        <f t="shared" si="2"/>
        <v>32972.07</v>
      </c>
    </row>
    <row r="88" spans="1:15" ht="11.25">
      <c r="A88" s="53" t="s">
        <v>117</v>
      </c>
      <c r="C88" s="52">
        <v>4621.44</v>
      </c>
      <c r="D88" s="52">
        <v>12281.53</v>
      </c>
      <c r="E88" s="52">
        <v>8820.93</v>
      </c>
      <c r="F88" s="52">
        <v>5915.73</v>
      </c>
      <c r="G88" s="52">
        <v>5568.3</v>
      </c>
      <c r="H88" s="52">
        <v>4.399999999999636</v>
      </c>
      <c r="I88" s="52">
        <v>246.74</v>
      </c>
      <c r="J88" s="52">
        <v>-8263.14</v>
      </c>
      <c r="K88" s="52">
        <v>0</v>
      </c>
      <c r="L88" s="52">
        <v>0</v>
      </c>
      <c r="M88" s="52">
        <v>0</v>
      </c>
      <c r="N88" s="52">
        <v>0</v>
      </c>
      <c r="O88" s="61">
        <f t="shared" si="2"/>
        <v>29195.93</v>
      </c>
    </row>
    <row r="89" spans="1:15" ht="11.25">
      <c r="A89" s="53" t="s">
        <v>118</v>
      </c>
      <c r="C89" s="52">
        <v>18293.91</v>
      </c>
      <c r="D89" s="52">
        <v>12284.83</v>
      </c>
      <c r="E89" s="52">
        <v>10667.36</v>
      </c>
      <c r="F89" s="52">
        <v>7879.69</v>
      </c>
      <c r="G89" s="52">
        <v>11047.07</v>
      </c>
      <c r="H89" s="52">
        <v>0</v>
      </c>
      <c r="I89" s="52">
        <v>0</v>
      </c>
      <c r="J89" s="52">
        <v>-8775</v>
      </c>
      <c r="K89" s="52">
        <v>0</v>
      </c>
      <c r="L89" s="52">
        <v>0</v>
      </c>
      <c r="M89" s="52">
        <v>0</v>
      </c>
      <c r="N89" s="52">
        <v>0</v>
      </c>
      <c r="O89" s="61">
        <f t="shared" si="2"/>
        <v>51397.86</v>
      </c>
    </row>
    <row r="90" spans="1:15" ht="11.25">
      <c r="A90" s="53" t="s">
        <v>119</v>
      </c>
      <c r="C90" s="52">
        <v>12753.28</v>
      </c>
      <c r="D90" s="52">
        <v>17394.87</v>
      </c>
      <c r="E90" s="52">
        <v>17205.38</v>
      </c>
      <c r="F90" s="52">
        <v>16940.69</v>
      </c>
      <c r="G90" s="52">
        <v>6457.43</v>
      </c>
      <c r="H90" s="52">
        <v>0</v>
      </c>
      <c r="I90" s="52">
        <v>41.78</v>
      </c>
      <c r="J90" s="52">
        <v>-6220</v>
      </c>
      <c r="K90" s="52">
        <v>0</v>
      </c>
      <c r="L90" s="52">
        <v>0</v>
      </c>
      <c r="M90" s="52">
        <v>0</v>
      </c>
      <c r="N90" s="52">
        <v>0</v>
      </c>
      <c r="O90" s="61">
        <f t="shared" si="2"/>
        <v>64573.42999999999</v>
      </c>
    </row>
    <row r="91" spans="1:15" ht="11.25">
      <c r="A91" s="53" t="s">
        <v>120</v>
      </c>
      <c r="C91" s="52">
        <v>9441.43</v>
      </c>
      <c r="D91" s="52">
        <v>9471.09</v>
      </c>
      <c r="E91" s="52">
        <v>8220.7</v>
      </c>
      <c r="F91" s="52">
        <v>14721.21</v>
      </c>
      <c r="G91" s="52">
        <v>8149.45</v>
      </c>
      <c r="H91" s="52">
        <v>0</v>
      </c>
      <c r="I91" s="52">
        <v>0</v>
      </c>
      <c r="J91" s="52">
        <v>-7775</v>
      </c>
      <c r="K91" s="52">
        <v>0</v>
      </c>
      <c r="L91" s="52">
        <v>0</v>
      </c>
      <c r="M91" s="52">
        <v>0</v>
      </c>
      <c r="N91" s="52">
        <v>0</v>
      </c>
      <c r="O91" s="61">
        <f t="shared" si="2"/>
        <v>42228.88</v>
      </c>
    </row>
    <row r="92" spans="1:15" ht="11.25">
      <c r="A92" s="53" t="s">
        <v>121</v>
      </c>
      <c r="C92" s="52">
        <v>8367.41</v>
      </c>
      <c r="D92" s="52">
        <v>8152.57</v>
      </c>
      <c r="E92" s="52">
        <v>9725.44</v>
      </c>
      <c r="F92" s="52">
        <v>12768.66</v>
      </c>
      <c r="G92" s="52">
        <v>16228.46</v>
      </c>
      <c r="H92" s="52">
        <v>4.399999999999636</v>
      </c>
      <c r="I92" s="52">
        <v>218.88</v>
      </c>
      <c r="J92" s="52">
        <v>-7570</v>
      </c>
      <c r="K92" s="52">
        <v>0</v>
      </c>
      <c r="L92" s="52">
        <v>0</v>
      </c>
      <c r="M92" s="52">
        <v>0</v>
      </c>
      <c r="N92" s="52">
        <v>0</v>
      </c>
      <c r="O92" s="61">
        <f t="shared" si="2"/>
        <v>47895.82</v>
      </c>
    </row>
    <row r="93" spans="1:15" ht="11.25">
      <c r="A93" s="53" t="s">
        <v>122</v>
      </c>
      <c r="C93" s="52">
        <v>6707.83</v>
      </c>
      <c r="D93" s="52">
        <v>7885.6</v>
      </c>
      <c r="E93" s="52">
        <v>8684.09</v>
      </c>
      <c r="F93" s="52">
        <v>11971.48</v>
      </c>
      <c r="G93" s="52">
        <v>6950.36</v>
      </c>
      <c r="H93" s="52">
        <v>0</v>
      </c>
      <c r="I93" s="52">
        <v>0</v>
      </c>
      <c r="J93" s="52">
        <v>-7775</v>
      </c>
      <c r="K93" s="52">
        <v>0</v>
      </c>
      <c r="L93" s="52">
        <v>0</v>
      </c>
      <c r="M93" s="52">
        <v>0</v>
      </c>
      <c r="N93" s="52">
        <v>0</v>
      </c>
      <c r="O93" s="61">
        <f t="shared" si="2"/>
        <v>34424.36</v>
      </c>
    </row>
    <row r="94" spans="1:15" ht="11.25">
      <c r="A94" s="53" t="s">
        <v>123</v>
      </c>
      <c r="C94" s="52">
        <v>9160.09</v>
      </c>
      <c r="D94" s="52">
        <v>9316.91</v>
      </c>
      <c r="E94" s="52">
        <v>9704.31</v>
      </c>
      <c r="F94" s="52">
        <v>8717.18</v>
      </c>
      <c r="G94" s="52">
        <v>8417.78</v>
      </c>
      <c r="H94" s="52">
        <v>4.399999999999636</v>
      </c>
      <c r="I94" s="52">
        <v>0</v>
      </c>
      <c r="J94" s="52">
        <v>-9000</v>
      </c>
      <c r="K94" s="52">
        <v>0</v>
      </c>
      <c r="L94" s="52">
        <v>0</v>
      </c>
      <c r="M94" s="52">
        <v>0</v>
      </c>
      <c r="N94" s="52">
        <v>0</v>
      </c>
      <c r="O94" s="61">
        <f t="shared" si="2"/>
        <v>36320.67</v>
      </c>
    </row>
    <row r="95" spans="1:15" ht="11.25">
      <c r="A95" s="53" t="s">
        <v>124</v>
      </c>
      <c r="C95" s="52">
        <v>13171.98</v>
      </c>
      <c r="D95" s="52">
        <v>8894.61</v>
      </c>
      <c r="E95" s="52">
        <v>8552.59</v>
      </c>
      <c r="F95" s="52">
        <v>5231.61</v>
      </c>
      <c r="G95" s="52">
        <v>3999.4</v>
      </c>
      <c r="H95" s="52">
        <v>154.4</v>
      </c>
      <c r="I95" s="52">
        <v>92.33</v>
      </c>
      <c r="J95" s="52">
        <v>-7775</v>
      </c>
      <c r="K95" s="52">
        <v>0</v>
      </c>
      <c r="L95" s="52">
        <v>0</v>
      </c>
      <c r="M95" s="52">
        <v>0</v>
      </c>
      <c r="N95" s="52">
        <v>0</v>
      </c>
      <c r="O95" s="61">
        <f t="shared" si="2"/>
        <v>32321.920000000006</v>
      </c>
    </row>
    <row r="96" spans="1:15" ht="11.25">
      <c r="A96" s="53" t="s">
        <v>125</v>
      </c>
      <c r="C96" s="52">
        <v>10378.65</v>
      </c>
      <c r="D96" s="52">
        <v>7482.75</v>
      </c>
      <c r="E96" s="52">
        <v>10662.36</v>
      </c>
      <c r="F96" s="52">
        <v>7262.92</v>
      </c>
      <c r="G96" s="52">
        <v>5072.91</v>
      </c>
      <c r="H96" s="52">
        <v>307.66</v>
      </c>
      <c r="I96" s="52">
        <v>585.04</v>
      </c>
      <c r="J96" s="52">
        <v>-7770.6</v>
      </c>
      <c r="K96" s="52">
        <v>0</v>
      </c>
      <c r="L96" s="52">
        <v>0</v>
      </c>
      <c r="M96" s="52">
        <v>0</v>
      </c>
      <c r="N96" s="52">
        <v>0</v>
      </c>
      <c r="O96" s="61">
        <f t="shared" si="2"/>
        <v>33981.69</v>
      </c>
    </row>
    <row r="97" spans="1:15" ht="11.25">
      <c r="A97" s="53" t="s">
        <v>126</v>
      </c>
      <c r="C97" s="52">
        <v>9623.23</v>
      </c>
      <c r="D97" s="52">
        <v>8977.56</v>
      </c>
      <c r="E97" s="52">
        <v>10033.15</v>
      </c>
      <c r="F97" s="52">
        <v>7844.14</v>
      </c>
      <c r="G97" s="52">
        <v>6260.94</v>
      </c>
      <c r="H97" s="52">
        <v>4.399999999999636</v>
      </c>
      <c r="I97" s="52">
        <v>0</v>
      </c>
      <c r="J97" s="52">
        <v>-8775</v>
      </c>
      <c r="K97" s="52">
        <v>0</v>
      </c>
      <c r="L97" s="52">
        <v>0</v>
      </c>
      <c r="M97" s="52">
        <v>0</v>
      </c>
      <c r="N97" s="52">
        <v>0</v>
      </c>
      <c r="O97" s="61">
        <f t="shared" si="2"/>
        <v>33968.420000000006</v>
      </c>
    </row>
    <row r="98" spans="1:15" ht="11.25">
      <c r="A98" s="54" t="s">
        <v>168</v>
      </c>
      <c r="C98" s="55">
        <f aca="true" t="shared" si="3" ref="C98:N98">SUM(C69:C97)</f>
        <v>512738.9599999999</v>
      </c>
      <c r="D98" s="55">
        <f t="shared" si="3"/>
        <v>275703.43</v>
      </c>
      <c r="E98" s="55">
        <f t="shared" si="3"/>
        <v>500476.00999999995</v>
      </c>
      <c r="F98" s="55">
        <f t="shared" si="3"/>
        <v>605664.18</v>
      </c>
      <c r="G98" s="55">
        <f t="shared" si="3"/>
        <v>281996.14</v>
      </c>
      <c r="H98" s="55">
        <f t="shared" si="3"/>
        <v>320299.6400000004</v>
      </c>
      <c r="I98" s="55">
        <f t="shared" si="3"/>
        <v>2903.58</v>
      </c>
      <c r="J98" s="55">
        <f t="shared" si="3"/>
        <v>994.5500000000084</v>
      </c>
      <c r="K98" s="55">
        <f t="shared" si="3"/>
        <v>236.28</v>
      </c>
      <c r="L98" s="55">
        <f t="shared" si="3"/>
        <v>615.11</v>
      </c>
      <c r="M98" s="55">
        <f t="shared" si="3"/>
        <v>250177.3</v>
      </c>
      <c r="N98" s="55">
        <f t="shared" si="3"/>
        <v>-249922.2</v>
      </c>
      <c r="O98" s="64">
        <f>SUM(C98:N98)</f>
        <v>2501882.98</v>
      </c>
    </row>
    <row r="99" spans="1:15" ht="11.25">
      <c r="A99" s="51" t="s">
        <v>169</v>
      </c>
      <c r="C99" s="52">
        <v>0</v>
      </c>
      <c r="D99" s="52">
        <v>0</v>
      </c>
      <c r="E99" s="52">
        <v>0</v>
      </c>
      <c r="F99" s="52">
        <v>0</v>
      </c>
      <c r="G99" s="52">
        <v>0</v>
      </c>
      <c r="H99" s="52">
        <v>263888.9</v>
      </c>
      <c r="I99" s="52">
        <v>420177.67</v>
      </c>
      <c r="J99" s="52">
        <v>290040.27</v>
      </c>
      <c r="K99" s="52">
        <v>278664.88</v>
      </c>
      <c r="L99" s="52">
        <v>250000</v>
      </c>
      <c r="M99" s="52">
        <v>0</v>
      </c>
      <c r="N99" s="52">
        <v>587948.54</v>
      </c>
      <c r="O99" s="61">
        <f aca="true" t="shared" si="4" ref="O99:O128">SUM(C99:N99)</f>
        <v>2090720.2600000002</v>
      </c>
    </row>
    <row r="100" spans="1:15" ht="11.25">
      <c r="A100" s="53" t="s">
        <v>127</v>
      </c>
      <c r="C100" s="52">
        <v>0</v>
      </c>
      <c r="D100" s="52">
        <v>0</v>
      </c>
      <c r="E100" s="52">
        <v>0</v>
      </c>
      <c r="F100" s="52">
        <v>0</v>
      </c>
      <c r="G100" s="52">
        <v>1882.74</v>
      </c>
      <c r="H100" s="52">
        <v>17793.08</v>
      </c>
      <c r="I100" s="52">
        <v>18459.2</v>
      </c>
      <c r="J100" s="52">
        <v>37005.23</v>
      </c>
      <c r="K100" s="52">
        <v>26321.41</v>
      </c>
      <c r="L100" s="52">
        <v>23149.78</v>
      </c>
      <c r="M100" s="52">
        <v>38409.39</v>
      </c>
      <c r="N100" s="52">
        <v>24030.78</v>
      </c>
      <c r="O100" s="61">
        <f t="shared" si="4"/>
        <v>187051.61000000002</v>
      </c>
    </row>
    <row r="101" spans="1:15" ht="11.25">
      <c r="A101" s="53" t="s">
        <v>128</v>
      </c>
      <c r="C101" s="52">
        <v>0</v>
      </c>
      <c r="D101" s="52">
        <v>0</v>
      </c>
      <c r="E101" s="52">
        <v>0</v>
      </c>
      <c r="F101" s="52">
        <v>0</v>
      </c>
      <c r="G101" s="52">
        <v>2227.12</v>
      </c>
      <c r="H101" s="52">
        <v>6009.21</v>
      </c>
      <c r="I101" s="52">
        <v>13779.57</v>
      </c>
      <c r="J101" s="52">
        <v>10548.27</v>
      </c>
      <c r="K101" s="52">
        <v>17118</v>
      </c>
      <c r="L101" s="52">
        <v>15750.61</v>
      </c>
      <c r="M101" s="52">
        <v>13376.74</v>
      </c>
      <c r="N101" s="52">
        <v>19419.02</v>
      </c>
      <c r="O101" s="61">
        <f t="shared" si="4"/>
        <v>98228.54000000001</v>
      </c>
    </row>
    <row r="102" spans="1:15" ht="11.25">
      <c r="A102" s="53" t="s">
        <v>129</v>
      </c>
      <c r="C102" s="52">
        <v>0</v>
      </c>
      <c r="D102" s="52">
        <v>0</v>
      </c>
      <c r="E102" s="52">
        <v>0</v>
      </c>
      <c r="F102" s="52">
        <v>0</v>
      </c>
      <c r="G102" s="52">
        <v>4901.11</v>
      </c>
      <c r="H102" s="52">
        <v>3582.39</v>
      </c>
      <c r="I102" s="52">
        <v>7160.22</v>
      </c>
      <c r="J102" s="52">
        <v>3980.91</v>
      </c>
      <c r="K102" s="52">
        <v>8577.15</v>
      </c>
      <c r="L102" s="52">
        <v>5917.63</v>
      </c>
      <c r="M102" s="52">
        <v>5615.33</v>
      </c>
      <c r="N102" s="52">
        <v>8775.17</v>
      </c>
      <c r="O102" s="61">
        <f t="shared" si="4"/>
        <v>48509.909999999996</v>
      </c>
    </row>
    <row r="103" spans="1:15" ht="11.25">
      <c r="A103" s="53" t="s">
        <v>130</v>
      </c>
      <c r="C103" s="52">
        <v>0</v>
      </c>
      <c r="D103" s="52">
        <v>0</v>
      </c>
      <c r="E103" s="52">
        <v>0</v>
      </c>
      <c r="F103" s="52">
        <v>0</v>
      </c>
      <c r="G103" s="52">
        <v>1922.29</v>
      </c>
      <c r="H103" s="52">
        <v>1099.85</v>
      </c>
      <c r="I103" s="52">
        <v>12162.15</v>
      </c>
      <c r="J103" s="52">
        <v>6562.52</v>
      </c>
      <c r="K103" s="52">
        <v>13815.42</v>
      </c>
      <c r="L103" s="52">
        <v>14760.85</v>
      </c>
      <c r="M103" s="52">
        <v>10519.17</v>
      </c>
      <c r="N103" s="52">
        <v>14722.98</v>
      </c>
      <c r="O103" s="61">
        <f t="shared" si="4"/>
        <v>75565.23</v>
      </c>
    </row>
    <row r="104" spans="1:15" ht="11.25">
      <c r="A104" s="53" t="s">
        <v>131</v>
      </c>
      <c r="C104" s="52">
        <v>0</v>
      </c>
      <c r="D104" s="52">
        <v>0</v>
      </c>
      <c r="E104" s="52">
        <v>0</v>
      </c>
      <c r="F104" s="52">
        <v>0</v>
      </c>
      <c r="G104" s="52">
        <v>2449.93</v>
      </c>
      <c r="H104" s="52">
        <v>1577.8</v>
      </c>
      <c r="I104" s="52">
        <v>6533.72</v>
      </c>
      <c r="J104" s="52">
        <v>5739.63</v>
      </c>
      <c r="K104" s="52">
        <v>8209.22</v>
      </c>
      <c r="L104" s="52">
        <v>5698.14</v>
      </c>
      <c r="M104" s="52">
        <v>5837.79</v>
      </c>
      <c r="N104" s="52">
        <v>6066.86</v>
      </c>
      <c r="O104" s="61">
        <f t="shared" si="4"/>
        <v>42113.090000000004</v>
      </c>
    </row>
    <row r="105" spans="1:15" ht="11.25">
      <c r="A105" s="53" t="s">
        <v>132</v>
      </c>
      <c r="C105" s="52">
        <v>0</v>
      </c>
      <c r="D105" s="52">
        <v>0</v>
      </c>
      <c r="E105" s="52">
        <v>0</v>
      </c>
      <c r="F105" s="52">
        <v>0</v>
      </c>
      <c r="G105" s="52">
        <v>1771.32</v>
      </c>
      <c r="H105" s="52">
        <v>1861.36</v>
      </c>
      <c r="I105" s="52">
        <v>2557.09</v>
      </c>
      <c r="J105" s="52">
        <v>4124.26</v>
      </c>
      <c r="K105" s="52">
        <v>2586.65</v>
      </c>
      <c r="L105" s="52">
        <v>3160.04</v>
      </c>
      <c r="M105" s="52">
        <v>4616.26</v>
      </c>
      <c r="N105" s="52">
        <v>6299.61</v>
      </c>
      <c r="O105" s="61">
        <f t="shared" si="4"/>
        <v>26976.590000000004</v>
      </c>
    </row>
    <row r="106" spans="1:15" ht="11.25">
      <c r="A106" s="53" t="s">
        <v>133</v>
      </c>
      <c r="C106" s="52">
        <v>0</v>
      </c>
      <c r="D106" s="52">
        <v>0</v>
      </c>
      <c r="E106" s="52">
        <v>0</v>
      </c>
      <c r="F106" s="52">
        <v>0</v>
      </c>
      <c r="G106" s="52">
        <v>3219.39</v>
      </c>
      <c r="H106" s="52">
        <v>4207.56</v>
      </c>
      <c r="I106" s="52">
        <v>12528.59</v>
      </c>
      <c r="J106" s="52">
        <v>14381.97</v>
      </c>
      <c r="K106" s="52">
        <v>14624.58</v>
      </c>
      <c r="L106" s="52">
        <v>8698.59</v>
      </c>
      <c r="M106" s="52">
        <v>10769.37</v>
      </c>
      <c r="N106" s="52">
        <v>14930.83</v>
      </c>
      <c r="O106" s="61">
        <f t="shared" si="4"/>
        <v>83360.88</v>
      </c>
    </row>
    <row r="107" spans="1:15" ht="11.25">
      <c r="A107" s="53" t="s">
        <v>134</v>
      </c>
      <c r="C107" s="52">
        <v>0</v>
      </c>
      <c r="D107" s="52">
        <v>0</v>
      </c>
      <c r="E107" s="52">
        <v>0</v>
      </c>
      <c r="F107" s="52">
        <v>0</v>
      </c>
      <c r="G107" s="52">
        <v>1687.99</v>
      </c>
      <c r="H107" s="52">
        <v>2888.43</v>
      </c>
      <c r="I107" s="52">
        <v>3097.59</v>
      </c>
      <c r="J107" s="52">
        <v>5297.88</v>
      </c>
      <c r="K107" s="52">
        <v>6047.5</v>
      </c>
      <c r="L107" s="52">
        <v>10568.42</v>
      </c>
      <c r="M107" s="52">
        <v>10994.73</v>
      </c>
      <c r="N107" s="52">
        <v>4509.3</v>
      </c>
      <c r="O107" s="61">
        <f t="shared" si="4"/>
        <v>45091.84</v>
      </c>
    </row>
    <row r="108" spans="1:15" ht="11.25">
      <c r="A108" s="53" t="s">
        <v>135</v>
      </c>
      <c r="C108" s="52">
        <v>0</v>
      </c>
      <c r="D108" s="52">
        <v>0</v>
      </c>
      <c r="E108" s="52">
        <v>0</v>
      </c>
      <c r="F108" s="52">
        <v>0</v>
      </c>
      <c r="G108" s="52">
        <v>1250.49</v>
      </c>
      <c r="H108" s="52">
        <v>1250.51</v>
      </c>
      <c r="I108" s="52">
        <v>11110.74</v>
      </c>
      <c r="J108" s="52">
        <v>5240.76</v>
      </c>
      <c r="K108" s="52">
        <v>7540.47</v>
      </c>
      <c r="L108" s="52">
        <v>6410.58</v>
      </c>
      <c r="M108" s="52">
        <v>9307.25</v>
      </c>
      <c r="N108" s="52">
        <v>9063.98</v>
      </c>
      <c r="O108" s="61">
        <f t="shared" si="4"/>
        <v>51174.78</v>
      </c>
    </row>
    <row r="109" spans="1:15" ht="11.25">
      <c r="A109" s="53" t="s">
        <v>108</v>
      </c>
      <c r="C109" s="52">
        <v>0</v>
      </c>
      <c r="D109" s="52">
        <v>0</v>
      </c>
      <c r="E109" s="52">
        <v>0</v>
      </c>
      <c r="F109" s="52">
        <v>0</v>
      </c>
      <c r="G109" s="52">
        <v>1333.09</v>
      </c>
      <c r="H109" s="52">
        <v>2779.61</v>
      </c>
      <c r="I109" s="52">
        <v>7254.98</v>
      </c>
      <c r="J109" s="52">
        <v>8329.35</v>
      </c>
      <c r="K109" s="52">
        <v>11418.65</v>
      </c>
      <c r="L109" s="52">
        <v>13206.78</v>
      </c>
      <c r="M109" s="52">
        <v>12748.63</v>
      </c>
      <c r="N109" s="52">
        <v>10988.38</v>
      </c>
      <c r="O109" s="61">
        <f t="shared" si="4"/>
        <v>68059.47</v>
      </c>
    </row>
    <row r="110" spans="1:15" ht="11.25">
      <c r="A110" s="53" t="s">
        <v>136</v>
      </c>
      <c r="C110" s="52">
        <v>0</v>
      </c>
      <c r="D110" s="52">
        <v>0</v>
      </c>
      <c r="E110" s="52">
        <v>0</v>
      </c>
      <c r="F110" s="52">
        <v>0</v>
      </c>
      <c r="G110" s="52">
        <v>1049.62</v>
      </c>
      <c r="H110" s="52">
        <v>3726.74</v>
      </c>
      <c r="I110" s="52">
        <v>10067.47</v>
      </c>
      <c r="J110" s="52">
        <v>7812.24</v>
      </c>
      <c r="K110" s="52">
        <v>7818.45</v>
      </c>
      <c r="L110" s="52">
        <v>5173.57</v>
      </c>
      <c r="M110" s="52">
        <v>7143.77</v>
      </c>
      <c r="N110" s="52">
        <v>7265.48</v>
      </c>
      <c r="O110" s="61">
        <f t="shared" si="4"/>
        <v>50057.34</v>
      </c>
    </row>
    <row r="111" spans="1:15" ht="11.25">
      <c r="A111" s="53" t="s">
        <v>137</v>
      </c>
      <c r="C111" s="52">
        <v>0</v>
      </c>
      <c r="D111" s="52">
        <v>0</v>
      </c>
      <c r="E111" s="52">
        <v>0</v>
      </c>
      <c r="F111" s="52">
        <v>0</v>
      </c>
      <c r="G111" s="52">
        <v>1159.43</v>
      </c>
      <c r="H111" s="52">
        <v>1875.73</v>
      </c>
      <c r="I111" s="52">
        <v>7922.2</v>
      </c>
      <c r="J111" s="52">
        <v>4041.17</v>
      </c>
      <c r="K111" s="52">
        <v>14165.17</v>
      </c>
      <c r="L111" s="52">
        <v>9250.26</v>
      </c>
      <c r="M111" s="52">
        <v>7049.77</v>
      </c>
      <c r="N111" s="52">
        <v>5446.45</v>
      </c>
      <c r="O111" s="61">
        <f t="shared" si="4"/>
        <v>50910.17999999999</v>
      </c>
    </row>
    <row r="112" spans="1:15" ht="11.25">
      <c r="A112" s="53" t="s">
        <v>138</v>
      </c>
      <c r="C112" s="52">
        <v>0</v>
      </c>
      <c r="D112" s="52">
        <v>0</v>
      </c>
      <c r="E112" s="52">
        <v>0</v>
      </c>
      <c r="F112" s="52">
        <v>0</v>
      </c>
      <c r="G112" s="52">
        <v>1543.08</v>
      </c>
      <c r="H112" s="52">
        <v>1346.93</v>
      </c>
      <c r="I112" s="52">
        <v>7303.27</v>
      </c>
      <c r="J112" s="52">
        <v>4283.98</v>
      </c>
      <c r="K112" s="52">
        <v>5353.04</v>
      </c>
      <c r="L112" s="52">
        <v>5344.83</v>
      </c>
      <c r="M112" s="52">
        <v>2596.37</v>
      </c>
      <c r="N112" s="52">
        <v>4929.96</v>
      </c>
      <c r="O112" s="61">
        <f t="shared" si="4"/>
        <v>32701.459999999995</v>
      </c>
    </row>
    <row r="113" spans="1:15" ht="11.25">
      <c r="A113" s="53" t="s">
        <v>139</v>
      </c>
      <c r="C113" s="52">
        <v>0</v>
      </c>
      <c r="D113" s="52">
        <v>0</v>
      </c>
      <c r="E113" s="52">
        <v>0</v>
      </c>
      <c r="F113" s="52">
        <v>0</v>
      </c>
      <c r="G113" s="52">
        <v>3979.36</v>
      </c>
      <c r="H113" s="52">
        <v>6093.94</v>
      </c>
      <c r="I113" s="52">
        <v>10942.94</v>
      </c>
      <c r="J113" s="52">
        <v>12395.74</v>
      </c>
      <c r="K113" s="52">
        <v>13993.19</v>
      </c>
      <c r="L113" s="52">
        <v>11139.93</v>
      </c>
      <c r="M113" s="52">
        <v>8489.5</v>
      </c>
      <c r="N113" s="52">
        <v>11266.43</v>
      </c>
      <c r="O113" s="61">
        <f t="shared" si="4"/>
        <v>78301.03</v>
      </c>
    </row>
    <row r="114" spans="1:15" ht="11.25">
      <c r="A114" s="53" t="s">
        <v>140</v>
      </c>
      <c r="C114" s="52">
        <v>0</v>
      </c>
      <c r="D114" s="52">
        <v>0</v>
      </c>
      <c r="E114" s="52">
        <v>0</v>
      </c>
      <c r="F114" s="52">
        <v>0</v>
      </c>
      <c r="G114" s="52">
        <v>3465.68</v>
      </c>
      <c r="H114" s="52">
        <v>5438.44</v>
      </c>
      <c r="I114" s="52">
        <v>6253.99</v>
      </c>
      <c r="J114" s="52">
        <v>13085.2</v>
      </c>
      <c r="K114" s="52">
        <v>8168.45</v>
      </c>
      <c r="L114" s="52">
        <v>9777.99</v>
      </c>
      <c r="M114" s="52">
        <v>7233.58</v>
      </c>
      <c r="N114" s="52">
        <v>11883.3</v>
      </c>
      <c r="O114" s="61">
        <f t="shared" si="4"/>
        <v>65306.62999999999</v>
      </c>
    </row>
    <row r="115" spans="1:15" ht="11.25">
      <c r="A115" s="53" t="s">
        <v>141</v>
      </c>
      <c r="C115" s="52">
        <v>0</v>
      </c>
      <c r="D115" s="52">
        <v>0</v>
      </c>
      <c r="E115" s="52">
        <v>0</v>
      </c>
      <c r="F115" s="52">
        <v>0</v>
      </c>
      <c r="G115" s="52">
        <v>1419.62</v>
      </c>
      <c r="H115" s="52">
        <v>5895.87</v>
      </c>
      <c r="I115" s="52">
        <v>9533.08</v>
      </c>
      <c r="J115" s="52">
        <v>7110.44</v>
      </c>
      <c r="K115" s="52">
        <v>10857.41</v>
      </c>
      <c r="L115" s="52">
        <v>8532.03</v>
      </c>
      <c r="M115" s="52">
        <v>9031.77</v>
      </c>
      <c r="N115" s="52">
        <v>8061.22</v>
      </c>
      <c r="O115" s="61">
        <f t="shared" si="4"/>
        <v>60441.44</v>
      </c>
    </row>
    <row r="116" spans="1:15" ht="11.25">
      <c r="A116" s="53" t="s">
        <v>142</v>
      </c>
      <c r="C116" s="52">
        <v>0</v>
      </c>
      <c r="D116" s="52">
        <v>0</v>
      </c>
      <c r="E116" s="52">
        <v>0</v>
      </c>
      <c r="F116" s="52">
        <v>0</v>
      </c>
      <c r="G116" s="52">
        <v>787.31</v>
      </c>
      <c r="H116" s="52">
        <v>1652.1</v>
      </c>
      <c r="I116" s="52">
        <v>6326.97</v>
      </c>
      <c r="J116" s="52">
        <v>2132</v>
      </c>
      <c r="K116" s="52">
        <v>6547.09</v>
      </c>
      <c r="L116" s="52">
        <v>5093.03</v>
      </c>
      <c r="M116" s="52">
        <v>6355.1</v>
      </c>
      <c r="N116" s="52">
        <v>8518.44</v>
      </c>
      <c r="O116" s="61">
        <f t="shared" si="4"/>
        <v>37412.04</v>
      </c>
    </row>
    <row r="117" spans="1:15" ht="11.25">
      <c r="A117" s="53" t="s">
        <v>143</v>
      </c>
      <c r="C117" s="52">
        <v>0</v>
      </c>
      <c r="D117" s="52">
        <v>0</v>
      </c>
      <c r="E117" s="52">
        <v>0</v>
      </c>
      <c r="F117" s="52">
        <v>0</v>
      </c>
      <c r="G117" s="52">
        <v>3760.63</v>
      </c>
      <c r="H117" s="52">
        <v>5539.75</v>
      </c>
      <c r="I117" s="52">
        <v>8363.76</v>
      </c>
      <c r="J117" s="52">
        <v>11355</v>
      </c>
      <c r="K117" s="52">
        <v>8249.52</v>
      </c>
      <c r="L117" s="52">
        <v>3781.35</v>
      </c>
      <c r="M117" s="52">
        <v>5218.34</v>
      </c>
      <c r="N117" s="52">
        <v>9404.43</v>
      </c>
      <c r="O117" s="61">
        <f t="shared" si="4"/>
        <v>55672.780000000006</v>
      </c>
    </row>
    <row r="118" spans="1:15" ht="11.25">
      <c r="A118" s="53" t="s">
        <v>144</v>
      </c>
      <c r="C118" s="52">
        <v>0</v>
      </c>
      <c r="D118" s="52">
        <v>0</v>
      </c>
      <c r="E118" s="52">
        <v>0</v>
      </c>
      <c r="F118" s="52">
        <v>0</v>
      </c>
      <c r="G118" s="52">
        <v>1405.22</v>
      </c>
      <c r="H118" s="52">
        <v>1630.39</v>
      </c>
      <c r="I118" s="52">
        <v>8014.95</v>
      </c>
      <c r="J118" s="52">
        <v>2750.31</v>
      </c>
      <c r="K118" s="52">
        <v>4072.9</v>
      </c>
      <c r="L118" s="52">
        <v>5254.98</v>
      </c>
      <c r="M118" s="52">
        <v>4131.74</v>
      </c>
      <c r="N118" s="52">
        <v>10784.81</v>
      </c>
      <c r="O118" s="61">
        <f t="shared" si="4"/>
        <v>38045.299999999996</v>
      </c>
    </row>
    <row r="119" spans="1:15" ht="11.25">
      <c r="A119" s="53" t="s">
        <v>145</v>
      </c>
      <c r="C119" s="52">
        <v>0</v>
      </c>
      <c r="D119" s="52">
        <v>0</v>
      </c>
      <c r="E119" s="52">
        <v>0</v>
      </c>
      <c r="F119" s="52">
        <v>0</v>
      </c>
      <c r="G119" s="52">
        <v>919.81</v>
      </c>
      <c r="H119" s="52">
        <v>1798.18</v>
      </c>
      <c r="I119" s="52">
        <v>5008.09</v>
      </c>
      <c r="J119" s="52">
        <v>7685.98</v>
      </c>
      <c r="K119" s="52">
        <v>6846.7</v>
      </c>
      <c r="L119" s="52">
        <v>6445.55</v>
      </c>
      <c r="M119" s="52">
        <v>7787.67</v>
      </c>
      <c r="N119" s="52">
        <v>7955.7</v>
      </c>
      <c r="O119" s="61">
        <f t="shared" si="4"/>
        <v>44447.67999999999</v>
      </c>
    </row>
    <row r="120" spans="1:15" ht="11.25">
      <c r="A120" s="53" t="s">
        <v>146</v>
      </c>
      <c r="C120" s="52">
        <v>0</v>
      </c>
      <c r="D120" s="52">
        <v>0</v>
      </c>
      <c r="E120" s="52">
        <v>0</v>
      </c>
      <c r="F120" s="52">
        <v>0</v>
      </c>
      <c r="G120" s="52">
        <v>498.56</v>
      </c>
      <c r="H120" s="52">
        <v>1593.5</v>
      </c>
      <c r="I120" s="52">
        <v>4276.97</v>
      </c>
      <c r="J120" s="52">
        <v>3938.64</v>
      </c>
      <c r="K120" s="52">
        <v>4356.61</v>
      </c>
      <c r="L120" s="52">
        <v>4211.4</v>
      </c>
      <c r="M120" s="52">
        <v>5385.87</v>
      </c>
      <c r="N120" s="52">
        <v>7171.42</v>
      </c>
      <c r="O120" s="61">
        <f t="shared" si="4"/>
        <v>31432.97</v>
      </c>
    </row>
    <row r="121" spans="1:15" ht="11.25">
      <c r="A121" s="53" t="s">
        <v>147</v>
      </c>
      <c r="C121" s="52">
        <v>0</v>
      </c>
      <c r="D121" s="52">
        <v>0</v>
      </c>
      <c r="E121" s="52">
        <v>0</v>
      </c>
      <c r="F121" s="52">
        <v>0</v>
      </c>
      <c r="G121" s="52">
        <v>1905.49</v>
      </c>
      <c r="H121" s="52">
        <v>3300.5</v>
      </c>
      <c r="I121" s="52">
        <v>9522.28</v>
      </c>
      <c r="J121" s="52">
        <v>10544.91</v>
      </c>
      <c r="K121" s="52">
        <v>13921.7</v>
      </c>
      <c r="L121" s="52">
        <v>8838.58</v>
      </c>
      <c r="M121" s="52">
        <v>3718.11</v>
      </c>
      <c r="N121" s="52">
        <v>1450.18</v>
      </c>
      <c r="O121" s="61">
        <f t="shared" si="4"/>
        <v>53201.75000000001</v>
      </c>
    </row>
    <row r="122" spans="1:15" ht="11.25">
      <c r="A122" s="53" t="s">
        <v>108</v>
      </c>
      <c r="C122" s="52">
        <v>0</v>
      </c>
      <c r="D122" s="52">
        <v>0</v>
      </c>
      <c r="E122" s="52">
        <v>0</v>
      </c>
      <c r="F122" s="52">
        <v>0</v>
      </c>
      <c r="G122" s="52">
        <v>1158.37</v>
      </c>
      <c r="H122" s="52">
        <v>5323.33</v>
      </c>
      <c r="I122" s="52">
        <v>7594.63</v>
      </c>
      <c r="J122" s="52">
        <v>7041.24</v>
      </c>
      <c r="K122" s="52">
        <v>12850.41</v>
      </c>
      <c r="L122" s="52">
        <v>6068.95</v>
      </c>
      <c r="M122" s="52">
        <v>9474.43</v>
      </c>
      <c r="N122" s="52">
        <v>16381.37</v>
      </c>
      <c r="O122" s="61">
        <f t="shared" si="4"/>
        <v>65892.73</v>
      </c>
    </row>
    <row r="123" spans="1:15" ht="11.25">
      <c r="A123" s="53" t="s">
        <v>148</v>
      </c>
      <c r="C123" s="52">
        <v>0</v>
      </c>
      <c r="D123" s="52">
        <v>0</v>
      </c>
      <c r="E123" s="52">
        <v>0</v>
      </c>
      <c r="F123" s="52">
        <v>0</v>
      </c>
      <c r="G123" s="52">
        <v>413.4</v>
      </c>
      <c r="H123" s="52">
        <v>1343.33</v>
      </c>
      <c r="I123" s="52">
        <v>2766.79</v>
      </c>
      <c r="J123" s="52">
        <v>6203.61</v>
      </c>
      <c r="K123" s="52">
        <v>7676.87</v>
      </c>
      <c r="L123" s="52">
        <v>7239.18</v>
      </c>
      <c r="M123" s="52">
        <v>7815.6</v>
      </c>
      <c r="N123" s="52">
        <v>9836.78</v>
      </c>
      <c r="O123" s="61">
        <f t="shared" si="4"/>
        <v>43295.56</v>
      </c>
    </row>
    <row r="124" spans="1:15" ht="11.25">
      <c r="A124" s="53" t="s">
        <v>149</v>
      </c>
      <c r="C124" s="52">
        <v>0</v>
      </c>
      <c r="D124" s="52">
        <v>0</v>
      </c>
      <c r="E124" s="52">
        <v>0</v>
      </c>
      <c r="F124" s="52">
        <v>0</v>
      </c>
      <c r="G124" s="52">
        <v>328.37</v>
      </c>
      <c r="H124" s="52">
        <v>651.93</v>
      </c>
      <c r="I124" s="52">
        <v>2840.22</v>
      </c>
      <c r="J124" s="52">
        <v>6495.31</v>
      </c>
      <c r="K124" s="52">
        <v>4230.8</v>
      </c>
      <c r="L124" s="52">
        <v>3028.1</v>
      </c>
      <c r="M124" s="52">
        <v>8250.87</v>
      </c>
      <c r="N124" s="52">
        <v>6323.48</v>
      </c>
      <c r="O124" s="61">
        <f t="shared" si="4"/>
        <v>32149.079999999998</v>
      </c>
    </row>
    <row r="125" spans="1:15" ht="11.25">
      <c r="A125" s="53" t="s">
        <v>150</v>
      </c>
      <c r="C125" s="52">
        <v>0</v>
      </c>
      <c r="D125" s="52">
        <v>0</v>
      </c>
      <c r="E125" s="52">
        <v>0</v>
      </c>
      <c r="F125" s="52">
        <v>0</v>
      </c>
      <c r="G125" s="52">
        <v>298.56</v>
      </c>
      <c r="H125" s="52">
        <v>3307.84</v>
      </c>
      <c r="I125" s="52">
        <v>10655.74</v>
      </c>
      <c r="J125" s="52">
        <v>9159.59</v>
      </c>
      <c r="K125" s="52">
        <v>8450.54</v>
      </c>
      <c r="L125" s="52">
        <v>9632.61</v>
      </c>
      <c r="M125" s="52">
        <v>9219.3</v>
      </c>
      <c r="N125" s="52">
        <v>12558.26</v>
      </c>
      <c r="O125" s="61">
        <f t="shared" si="4"/>
        <v>63282.44000000001</v>
      </c>
    </row>
    <row r="126" spans="1:15" ht="11.25">
      <c r="A126" s="53" t="s">
        <v>151</v>
      </c>
      <c r="C126" s="52">
        <v>0</v>
      </c>
      <c r="D126" s="52">
        <v>0</v>
      </c>
      <c r="E126" s="52">
        <v>0</v>
      </c>
      <c r="F126" s="52">
        <v>0</v>
      </c>
      <c r="G126" s="52">
        <v>653.56</v>
      </c>
      <c r="H126" s="52">
        <v>5166.71</v>
      </c>
      <c r="I126" s="52">
        <v>11654.67</v>
      </c>
      <c r="J126" s="52">
        <v>11392.81</v>
      </c>
      <c r="K126" s="52">
        <v>11451.24</v>
      </c>
      <c r="L126" s="52">
        <v>10457.64</v>
      </c>
      <c r="M126" s="52">
        <v>8540.79</v>
      </c>
      <c r="N126" s="52">
        <v>12027.03</v>
      </c>
      <c r="O126" s="61">
        <f t="shared" si="4"/>
        <v>71344.45</v>
      </c>
    </row>
    <row r="127" spans="1:15" ht="11.25">
      <c r="A127" s="53" t="s">
        <v>122</v>
      </c>
      <c r="C127" s="52">
        <v>0</v>
      </c>
      <c r="D127" s="52">
        <v>0</v>
      </c>
      <c r="E127" s="52">
        <v>0</v>
      </c>
      <c r="F127" s="52">
        <v>0</v>
      </c>
      <c r="G127" s="52">
        <v>935.87</v>
      </c>
      <c r="H127" s="52">
        <v>1140.65</v>
      </c>
      <c r="I127" s="52">
        <v>3477.76</v>
      </c>
      <c r="J127" s="52">
        <v>4281.31</v>
      </c>
      <c r="K127" s="52">
        <v>3903.99</v>
      </c>
      <c r="L127" s="52">
        <v>4033.31</v>
      </c>
      <c r="M127" s="52">
        <v>4614.75</v>
      </c>
      <c r="N127" s="52">
        <v>5648.59</v>
      </c>
      <c r="O127" s="61">
        <f t="shared" si="4"/>
        <v>28036.23</v>
      </c>
    </row>
    <row r="128" spans="1:15" ht="11.25">
      <c r="A128" s="53" t="s">
        <v>153</v>
      </c>
      <c r="C128" s="52">
        <v>0</v>
      </c>
      <c r="D128" s="52">
        <v>0</v>
      </c>
      <c r="E128" s="52">
        <v>0</v>
      </c>
      <c r="F128" s="52">
        <v>0</v>
      </c>
      <c r="G128" s="52">
        <v>0</v>
      </c>
      <c r="H128" s="52">
        <v>0</v>
      </c>
      <c r="I128" s="52">
        <v>0</v>
      </c>
      <c r="J128" s="52">
        <v>0</v>
      </c>
      <c r="K128" s="52">
        <v>0</v>
      </c>
      <c r="L128" s="52">
        <v>0</v>
      </c>
      <c r="M128" s="52">
        <v>0</v>
      </c>
      <c r="N128" s="52">
        <v>2751.32</v>
      </c>
      <c r="O128" s="61">
        <f t="shared" si="4"/>
        <v>2751.32</v>
      </c>
    </row>
    <row r="129" spans="1:15" ht="11.25">
      <c r="A129" s="56" t="s">
        <v>170</v>
      </c>
      <c r="C129" s="57">
        <f aca="true" t="shared" si="5" ref="C129:N129">SUM(C99:C128)</f>
        <v>0</v>
      </c>
      <c r="D129" s="57">
        <f t="shared" si="5"/>
        <v>0</v>
      </c>
      <c r="E129" s="57">
        <f t="shared" si="5"/>
        <v>0</v>
      </c>
      <c r="F129" s="57">
        <f t="shared" si="5"/>
        <v>0</v>
      </c>
      <c r="G129" s="57">
        <f t="shared" si="5"/>
        <v>48327.409999999996</v>
      </c>
      <c r="H129" s="57">
        <f t="shared" si="5"/>
        <v>363764.56000000006</v>
      </c>
      <c r="I129" s="57">
        <f t="shared" si="5"/>
        <v>647347.2999999998</v>
      </c>
      <c r="J129" s="57">
        <f t="shared" si="5"/>
        <v>522960.5299999999</v>
      </c>
      <c r="K129" s="57">
        <f t="shared" si="5"/>
        <v>547838.01</v>
      </c>
      <c r="L129" s="57">
        <f t="shared" si="5"/>
        <v>480624.7100000001</v>
      </c>
      <c r="M129" s="57">
        <f t="shared" si="5"/>
        <v>244251.98999999993</v>
      </c>
      <c r="N129" s="57">
        <f t="shared" si="5"/>
        <v>866420.1000000001</v>
      </c>
      <c r="O129" s="64">
        <f>SUM(C129:N129)</f>
        <v>3721534.6099999994</v>
      </c>
    </row>
    <row r="130" ht="11.25">
      <c r="O130" s="69">
        <f>O129+O98</f>
        <v>6223417.59</v>
      </c>
    </row>
    <row r="131" spans="1:14" ht="11.25">
      <c r="A131" s="42"/>
      <c r="C131" s="46" t="s">
        <v>156</v>
      </c>
      <c r="D131" s="43" t="s">
        <v>157</v>
      </c>
      <c r="E131" s="43" t="s">
        <v>158</v>
      </c>
      <c r="F131" s="43" t="s">
        <v>159</v>
      </c>
      <c r="G131" s="43" t="s">
        <v>160</v>
      </c>
      <c r="H131" s="43" t="s">
        <v>161</v>
      </c>
      <c r="I131" s="43" t="s">
        <v>162</v>
      </c>
      <c r="J131" s="43" t="s">
        <v>163</v>
      </c>
      <c r="K131" s="43" t="s">
        <v>164</v>
      </c>
      <c r="L131" s="43" t="s">
        <v>165</v>
      </c>
      <c r="M131" s="43" t="s">
        <v>166</v>
      </c>
      <c r="N131" s="63" t="s">
        <v>173</v>
      </c>
    </row>
    <row r="132" spans="1:14" ht="11.25">
      <c r="A132" s="47"/>
      <c r="C132" s="60" t="s">
        <v>171</v>
      </c>
      <c r="D132" s="58" t="s">
        <v>171</v>
      </c>
      <c r="E132" s="58" t="s">
        <v>171</v>
      </c>
      <c r="F132" s="58" t="s">
        <v>171</v>
      </c>
      <c r="G132" s="58" t="s">
        <v>171</v>
      </c>
      <c r="H132" s="58" t="s">
        <v>171</v>
      </c>
      <c r="I132" s="58" t="s">
        <v>171</v>
      </c>
      <c r="J132" s="58" t="s">
        <v>171</v>
      </c>
      <c r="K132" s="58" t="s">
        <v>171</v>
      </c>
      <c r="L132" s="58" t="s">
        <v>171</v>
      </c>
      <c r="M132" s="58" t="s">
        <v>171</v>
      </c>
      <c r="N132" s="59" t="s">
        <v>171</v>
      </c>
    </row>
    <row r="133" spans="1:16" ht="11.25">
      <c r="A133" s="51" t="s">
        <v>167</v>
      </c>
      <c r="C133" s="52">
        <f>C5+C69</f>
        <v>222222.22</v>
      </c>
      <c r="D133" s="52">
        <f aca="true" t="shared" si="6" ref="D133:N133">D5+D69</f>
        <v>0</v>
      </c>
      <c r="E133" s="52">
        <f t="shared" si="6"/>
        <v>222222.22</v>
      </c>
      <c r="F133" s="52">
        <f t="shared" si="6"/>
        <v>309866.22</v>
      </c>
      <c r="G133" s="52">
        <f t="shared" si="6"/>
        <v>51244.9</v>
      </c>
      <c r="H133" s="52">
        <f t="shared" si="6"/>
        <v>319444.43</v>
      </c>
      <c r="I133" s="52">
        <f t="shared" si="6"/>
        <v>0</v>
      </c>
      <c r="J133" s="52">
        <f t="shared" si="6"/>
        <v>221934.01</v>
      </c>
      <c r="K133" s="52">
        <f t="shared" si="6"/>
        <v>0</v>
      </c>
      <c r="L133" s="52">
        <f t="shared" si="6"/>
        <v>0</v>
      </c>
      <c r="M133" s="52">
        <f t="shared" si="6"/>
        <v>250000</v>
      </c>
      <c r="N133" s="52">
        <f t="shared" si="6"/>
        <v>-250000</v>
      </c>
      <c r="P133" s="61">
        <f aca="true" t="shared" si="7" ref="P133:P161">SUM(I133:N133)</f>
        <v>221934.01</v>
      </c>
    </row>
    <row r="134" spans="1:16" ht="11.25">
      <c r="A134" s="51" t="s">
        <v>99</v>
      </c>
      <c r="C134" s="52">
        <f aca="true" t="shared" si="8" ref="C134:N134">C6+C70</f>
        <v>27666.390000000003</v>
      </c>
      <c r="D134" s="52">
        <f t="shared" si="8"/>
        <v>21476.93</v>
      </c>
      <c r="E134" s="52">
        <f t="shared" si="8"/>
        <v>21580.96</v>
      </c>
      <c r="F134" s="52">
        <f t="shared" si="8"/>
        <v>29306.5</v>
      </c>
      <c r="G134" s="52">
        <f t="shared" si="8"/>
        <v>16622.219999999998</v>
      </c>
      <c r="H134" s="52">
        <f t="shared" si="8"/>
        <v>3564.2200000000016</v>
      </c>
      <c r="I134" s="52">
        <f t="shared" si="8"/>
        <v>108.33</v>
      </c>
      <c r="J134" s="52">
        <f t="shared" si="8"/>
        <v>-7268.91</v>
      </c>
      <c r="K134" s="52">
        <f t="shared" si="8"/>
        <v>236.28</v>
      </c>
      <c r="L134" s="52">
        <f t="shared" si="8"/>
        <v>469.51</v>
      </c>
      <c r="M134" s="52">
        <f t="shared" si="8"/>
        <v>177.3</v>
      </c>
      <c r="N134" s="52">
        <f t="shared" si="8"/>
        <v>77.8</v>
      </c>
      <c r="P134" s="61">
        <f t="shared" si="7"/>
        <v>-6199.69</v>
      </c>
    </row>
    <row r="135" spans="1:16" ht="11.25">
      <c r="A135" s="53" t="s">
        <v>100</v>
      </c>
      <c r="C135" s="52">
        <f aca="true" t="shared" si="9" ref="C135:N135">C7+C71</f>
        <v>10006.39</v>
      </c>
      <c r="D135" s="52">
        <f t="shared" si="9"/>
        <v>6744.74</v>
      </c>
      <c r="E135" s="52">
        <f t="shared" si="9"/>
        <v>6270.5599999999995</v>
      </c>
      <c r="F135" s="52">
        <f t="shared" si="9"/>
        <v>10948.45</v>
      </c>
      <c r="G135" s="52">
        <f t="shared" si="9"/>
        <v>10342.99</v>
      </c>
      <c r="H135" s="52">
        <f t="shared" si="9"/>
        <v>4.399999999999636</v>
      </c>
      <c r="I135" s="52">
        <f t="shared" si="9"/>
        <v>0</v>
      </c>
      <c r="J135" s="52">
        <f t="shared" si="9"/>
        <v>-7775</v>
      </c>
      <c r="K135" s="52">
        <f t="shared" si="9"/>
        <v>0</v>
      </c>
      <c r="L135" s="52">
        <f t="shared" si="9"/>
        <v>0</v>
      </c>
      <c r="M135" s="52">
        <f t="shared" si="9"/>
        <v>0</v>
      </c>
      <c r="N135" s="52">
        <f t="shared" si="9"/>
        <v>0</v>
      </c>
      <c r="P135" s="61">
        <f t="shared" si="7"/>
        <v>-7775</v>
      </c>
    </row>
    <row r="136" spans="1:16" ht="11.25">
      <c r="A136" s="53" t="s">
        <v>101</v>
      </c>
      <c r="C136" s="52">
        <f aca="true" t="shared" si="10" ref="C136:N136">C8+C72</f>
        <v>8147.11</v>
      </c>
      <c r="D136" s="52">
        <f t="shared" si="10"/>
        <v>8183.29</v>
      </c>
      <c r="E136" s="52">
        <f t="shared" si="10"/>
        <v>9416.75</v>
      </c>
      <c r="F136" s="52">
        <f t="shared" si="10"/>
        <v>13189.43</v>
      </c>
      <c r="G136" s="52">
        <f t="shared" si="10"/>
        <v>9657.5</v>
      </c>
      <c r="H136" s="52">
        <f t="shared" si="10"/>
        <v>484.51999999999964</v>
      </c>
      <c r="I136" s="52">
        <f t="shared" si="10"/>
        <v>54.6</v>
      </c>
      <c r="J136" s="52">
        <f t="shared" si="10"/>
        <v>-8440.24</v>
      </c>
      <c r="K136" s="52">
        <f t="shared" si="10"/>
        <v>0</v>
      </c>
      <c r="L136" s="52">
        <f t="shared" si="10"/>
        <v>145.6</v>
      </c>
      <c r="M136" s="52">
        <f t="shared" si="10"/>
        <v>0</v>
      </c>
      <c r="N136" s="52">
        <f t="shared" si="10"/>
        <v>0</v>
      </c>
      <c r="P136" s="61">
        <f t="shared" si="7"/>
        <v>-8240.039999999999</v>
      </c>
    </row>
    <row r="137" spans="1:16" ht="11.25">
      <c r="A137" s="53" t="s">
        <v>102</v>
      </c>
      <c r="C137" s="52">
        <f aca="true" t="shared" si="11" ref="C137:N137">C9+C73</f>
        <v>6570.87</v>
      </c>
      <c r="D137" s="52">
        <f t="shared" si="11"/>
        <v>10777.66</v>
      </c>
      <c r="E137" s="52">
        <f t="shared" si="11"/>
        <v>12428.93</v>
      </c>
      <c r="F137" s="52">
        <f t="shared" si="11"/>
        <v>14068.18</v>
      </c>
      <c r="G137" s="52">
        <f t="shared" si="11"/>
        <v>10321.66</v>
      </c>
      <c r="H137" s="52">
        <f t="shared" si="11"/>
        <v>1104.4199999999996</v>
      </c>
      <c r="I137" s="52">
        <f t="shared" si="11"/>
        <v>463.86</v>
      </c>
      <c r="J137" s="52">
        <f t="shared" si="11"/>
        <v>-8463.86</v>
      </c>
      <c r="K137" s="52">
        <f t="shared" si="11"/>
        <v>0</v>
      </c>
      <c r="L137" s="52">
        <f t="shared" si="11"/>
        <v>0</v>
      </c>
      <c r="M137" s="52">
        <f t="shared" si="11"/>
        <v>0</v>
      </c>
      <c r="N137" s="52">
        <f t="shared" si="11"/>
        <v>0</v>
      </c>
      <c r="P137" s="61">
        <f t="shared" si="7"/>
        <v>-8000.000000000001</v>
      </c>
    </row>
    <row r="138" spans="1:16" ht="11.25">
      <c r="A138" s="53" t="s">
        <v>103</v>
      </c>
      <c r="C138" s="52">
        <f aca="true" t="shared" si="12" ref="C138:N138">C10+C74</f>
        <v>8051.25</v>
      </c>
      <c r="D138" s="52">
        <f t="shared" si="12"/>
        <v>8843.68</v>
      </c>
      <c r="E138" s="52">
        <f t="shared" si="12"/>
        <v>9066.390000000001</v>
      </c>
      <c r="F138" s="52">
        <f t="shared" si="12"/>
        <v>9990.66</v>
      </c>
      <c r="G138" s="52">
        <f t="shared" si="12"/>
        <v>5686.03</v>
      </c>
      <c r="H138" s="52">
        <f t="shared" si="12"/>
        <v>89.14999999999964</v>
      </c>
      <c r="I138" s="52">
        <f t="shared" si="12"/>
        <v>0</v>
      </c>
      <c r="J138" s="52">
        <f t="shared" si="12"/>
        <v>-8635</v>
      </c>
      <c r="K138" s="52">
        <f t="shared" si="12"/>
        <v>0</v>
      </c>
      <c r="L138" s="52">
        <f t="shared" si="12"/>
        <v>0</v>
      </c>
      <c r="M138" s="52">
        <f t="shared" si="12"/>
        <v>0</v>
      </c>
      <c r="N138" s="52">
        <f t="shared" si="12"/>
        <v>0</v>
      </c>
      <c r="P138" s="61">
        <f t="shared" si="7"/>
        <v>-8635</v>
      </c>
    </row>
    <row r="139" spans="1:16" ht="11.25">
      <c r="A139" s="53" t="s">
        <v>104</v>
      </c>
      <c r="C139" s="52">
        <f aca="true" t="shared" si="13" ref="C139:N139">C11+C75</f>
        <v>7430.67</v>
      </c>
      <c r="D139" s="52">
        <f t="shared" si="13"/>
        <v>6171.320000000001</v>
      </c>
      <c r="E139" s="52">
        <f t="shared" si="13"/>
        <v>8389.63</v>
      </c>
      <c r="F139" s="52">
        <f t="shared" si="13"/>
        <v>7968.9400000000005</v>
      </c>
      <c r="G139" s="52">
        <f t="shared" si="13"/>
        <v>5051.73</v>
      </c>
      <c r="H139" s="52">
        <f t="shared" si="13"/>
        <v>563.02</v>
      </c>
      <c r="I139" s="52">
        <f t="shared" si="13"/>
        <v>0</v>
      </c>
      <c r="J139" s="52">
        <f t="shared" si="13"/>
        <v>-7395</v>
      </c>
      <c r="K139" s="52">
        <f t="shared" si="13"/>
        <v>0</v>
      </c>
      <c r="L139" s="52">
        <f t="shared" si="13"/>
        <v>0</v>
      </c>
      <c r="M139" s="52">
        <f t="shared" si="13"/>
        <v>0</v>
      </c>
      <c r="N139" s="52">
        <f t="shared" si="13"/>
        <v>0</v>
      </c>
      <c r="P139" s="61">
        <f t="shared" si="7"/>
        <v>-7395</v>
      </c>
    </row>
    <row r="140" spans="1:16" ht="11.25">
      <c r="A140" s="53" t="s">
        <v>105</v>
      </c>
      <c r="C140" s="52">
        <f aca="true" t="shared" si="14" ref="C140:N140">C12+C76</f>
        <v>7503.44</v>
      </c>
      <c r="D140" s="52">
        <f t="shared" si="14"/>
        <v>5214.37</v>
      </c>
      <c r="E140" s="52">
        <f t="shared" si="14"/>
        <v>4819.87</v>
      </c>
      <c r="F140" s="52">
        <f t="shared" si="14"/>
        <v>6798</v>
      </c>
      <c r="G140" s="52">
        <f t="shared" si="14"/>
        <v>3434.74</v>
      </c>
      <c r="H140" s="52">
        <f t="shared" si="14"/>
        <v>99.78</v>
      </c>
      <c r="I140" s="52">
        <f t="shared" si="14"/>
        <v>0</v>
      </c>
      <c r="J140" s="52">
        <f t="shared" si="14"/>
        <v>-4304</v>
      </c>
      <c r="K140" s="52">
        <f t="shared" si="14"/>
        <v>0</v>
      </c>
      <c r="L140" s="52">
        <f t="shared" si="14"/>
        <v>0</v>
      </c>
      <c r="M140" s="52">
        <f t="shared" si="14"/>
        <v>0</v>
      </c>
      <c r="N140" s="52">
        <f t="shared" si="14"/>
        <v>0</v>
      </c>
      <c r="P140" s="61">
        <f t="shared" si="7"/>
        <v>-4304</v>
      </c>
    </row>
    <row r="141" spans="1:16" ht="11.25">
      <c r="A141" s="53" t="s">
        <v>106</v>
      </c>
      <c r="C141" s="52">
        <f aca="true" t="shared" si="15" ref="C141:N141">C13+C77</f>
        <v>21611.420000000002</v>
      </c>
      <c r="D141" s="52">
        <f t="shared" si="15"/>
        <v>8696.050000000001</v>
      </c>
      <c r="E141" s="52">
        <f t="shared" si="15"/>
        <v>8782.6</v>
      </c>
      <c r="F141" s="52">
        <f t="shared" si="15"/>
        <v>17406.65</v>
      </c>
      <c r="G141" s="52">
        <f t="shared" si="15"/>
        <v>13969.8</v>
      </c>
      <c r="H141" s="52">
        <f t="shared" si="15"/>
        <v>749.9499999999996</v>
      </c>
      <c r="I141" s="52">
        <f t="shared" si="15"/>
        <v>0</v>
      </c>
      <c r="J141" s="52">
        <f t="shared" si="15"/>
        <v>-7775</v>
      </c>
      <c r="K141" s="52">
        <f t="shared" si="15"/>
        <v>0</v>
      </c>
      <c r="L141" s="52">
        <f t="shared" si="15"/>
        <v>0</v>
      </c>
      <c r="M141" s="52">
        <f t="shared" si="15"/>
        <v>0</v>
      </c>
      <c r="N141" s="52">
        <f t="shared" si="15"/>
        <v>0</v>
      </c>
      <c r="P141" s="61">
        <f t="shared" si="7"/>
        <v>-7775</v>
      </c>
    </row>
    <row r="142" spans="1:16" ht="11.25">
      <c r="A142" s="53" t="s">
        <v>107</v>
      </c>
      <c r="C142" s="52">
        <f aca="true" t="shared" si="16" ref="C142:N142">C14+C78</f>
        <v>7984.78</v>
      </c>
      <c r="D142" s="52">
        <f t="shared" si="16"/>
        <v>9697.09</v>
      </c>
      <c r="E142" s="52">
        <f t="shared" si="16"/>
        <v>9577.36</v>
      </c>
      <c r="F142" s="52">
        <f t="shared" si="16"/>
        <v>9237.06</v>
      </c>
      <c r="G142" s="52">
        <f t="shared" si="16"/>
        <v>10968.88</v>
      </c>
      <c r="H142" s="52">
        <f t="shared" si="16"/>
        <v>505.56999999999965</v>
      </c>
      <c r="I142" s="52">
        <f t="shared" si="16"/>
        <v>147.86</v>
      </c>
      <c r="J142" s="52">
        <f t="shared" si="16"/>
        <v>-7560.32</v>
      </c>
      <c r="K142" s="52">
        <f t="shared" si="16"/>
        <v>0</v>
      </c>
      <c r="L142" s="52">
        <f t="shared" si="16"/>
        <v>0</v>
      </c>
      <c r="M142" s="52">
        <f t="shared" si="16"/>
        <v>0</v>
      </c>
      <c r="N142" s="52">
        <f t="shared" si="16"/>
        <v>0</v>
      </c>
      <c r="P142" s="61">
        <f t="shared" si="7"/>
        <v>-7412.46</v>
      </c>
    </row>
    <row r="143" spans="1:16" ht="11.25">
      <c r="A143" s="53" t="s">
        <v>108</v>
      </c>
      <c r="C143" s="52">
        <f aca="true" t="shared" si="17" ref="C143:N143">C15+C79</f>
        <v>15182.86</v>
      </c>
      <c r="D143" s="52">
        <f t="shared" si="17"/>
        <v>21588.57</v>
      </c>
      <c r="E143" s="52">
        <f t="shared" si="17"/>
        <v>16416.37</v>
      </c>
      <c r="F143" s="52">
        <f t="shared" si="17"/>
        <v>19824.030000000002</v>
      </c>
      <c r="G143" s="52">
        <f t="shared" si="17"/>
        <v>12474.07</v>
      </c>
      <c r="H143" s="52">
        <f t="shared" si="17"/>
        <v>1568.7299999999996</v>
      </c>
      <c r="I143" s="52">
        <f t="shared" si="17"/>
        <v>0</v>
      </c>
      <c r="J143" s="52">
        <f t="shared" si="17"/>
        <v>-8500</v>
      </c>
      <c r="K143" s="52">
        <f t="shared" si="17"/>
        <v>0</v>
      </c>
      <c r="L143" s="52">
        <f t="shared" si="17"/>
        <v>0</v>
      </c>
      <c r="M143" s="52">
        <f t="shared" si="17"/>
        <v>0</v>
      </c>
      <c r="N143" s="52">
        <f t="shared" si="17"/>
        <v>0</v>
      </c>
      <c r="P143" s="61">
        <f t="shared" si="7"/>
        <v>-8500</v>
      </c>
    </row>
    <row r="144" spans="1:16" ht="11.25">
      <c r="A144" s="53" t="s">
        <v>109</v>
      </c>
      <c r="C144" s="52">
        <f aca="true" t="shared" si="18" ref="C144:N144">C16+C80</f>
        <v>9645.97</v>
      </c>
      <c r="D144" s="52">
        <f t="shared" si="18"/>
        <v>12558.64</v>
      </c>
      <c r="E144" s="52">
        <f t="shared" si="18"/>
        <v>10119.06</v>
      </c>
      <c r="F144" s="52">
        <f t="shared" si="18"/>
        <v>8080.88</v>
      </c>
      <c r="G144" s="52">
        <f t="shared" si="18"/>
        <v>7651.049999999999</v>
      </c>
      <c r="H144" s="52">
        <f t="shared" si="18"/>
        <v>159.94999999999965</v>
      </c>
      <c r="I144" s="52">
        <f t="shared" si="18"/>
        <v>0</v>
      </c>
      <c r="J144" s="52">
        <f t="shared" si="18"/>
        <v>-7770.6</v>
      </c>
      <c r="K144" s="52">
        <f t="shared" si="18"/>
        <v>0</v>
      </c>
      <c r="L144" s="52">
        <f t="shared" si="18"/>
        <v>0</v>
      </c>
      <c r="M144" s="52">
        <f t="shared" si="18"/>
        <v>0</v>
      </c>
      <c r="N144" s="52">
        <f t="shared" si="18"/>
        <v>0</v>
      </c>
      <c r="P144" s="61">
        <f t="shared" si="7"/>
        <v>-7770.6</v>
      </c>
    </row>
    <row r="145" spans="1:16" ht="11.25">
      <c r="A145" s="53" t="s">
        <v>110</v>
      </c>
      <c r="C145" s="52">
        <f aca="true" t="shared" si="19" ref="C145:N145">C17+C81</f>
        <v>4830.98</v>
      </c>
      <c r="D145" s="52">
        <f t="shared" si="19"/>
        <v>7272.0199999999995</v>
      </c>
      <c r="E145" s="52">
        <f t="shared" si="19"/>
        <v>6924</v>
      </c>
      <c r="F145" s="52">
        <f t="shared" si="19"/>
        <v>5862.99</v>
      </c>
      <c r="G145" s="52">
        <f t="shared" si="19"/>
        <v>3756.84</v>
      </c>
      <c r="H145" s="52">
        <f t="shared" si="19"/>
        <v>280.30000000000007</v>
      </c>
      <c r="I145" s="52">
        <f t="shared" si="19"/>
        <v>52.43</v>
      </c>
      <c r="J145" s="52">
        <f t="shared" si="19"/>
        <v>-7775</v>
      </c>
      <c r="K145" s="52">
        <f t="shared" si="19"/>
        <v>0</v>
      </c>
      <c r="L145" s="52">
        <f t="shared" si="19"/>
        <v>0</v>
      </c>
      <c r="M145" s="52">
        <f t="shared" si="19"/>
        <v>0</v>
      </c>
      <c r="N145" s="52">
        <f t="shared" si="19"/>
        <v>0</v>
      </c>
      <c r="P145" s="61">
        <f t="shared" si="7"/>
        <v>-7722.57</v>
      </c>
    </row>
    <row r="146" spans="1:16" ht="11.25">
      <c r="A146" s="53" t="s">
        <v>111</v>
      </c>
      <c r="C146" s="52">
        <f aca="true" t="shared" si="20" ref="C146:N146">C18+C82</f>
        <v>8467.73</v>
      </c>
      <c r="D146" s="52">
        <f t="shared" si="20"/>
        <v>8325.89</v>
      </c>
      <c r="E146" s="52">
        <f t="shared" si="20"/>
        <v>8197.52</v>
      </c>
      <c r="F146" s="52">
        <f t="shared" si="20"/>
        <v>8662.92</v>
      </c>
      <c r="G146" s="52">
        <f t="shared" si="20"/>
        <v>7713.88</v>
      </c>
      <c r="H146" s="52">
        <f t="shared" si="20"/>
        <v>534.9199999999996</v>
      </c>
      <c r="I146" s="52">
        <f t="shared" si="20"/>
        <v>0</v>
      </c>
      <c r="J146" s="52">
        <f t="shared" si="20"/>
        <v>-7738.91</v>
      </c>
      <c r="K146" s="52">
        <f t="shared" si="20"/>
        <v>0</v>
      </c>
      <c r="L146" s="52">
        <f t="shared" si="20"/>
        <v>0</v>
      </c>
      <c r="M146" s="52">
        <f t="shared" si="20"/>
        <v>0</v>
      </c>
      <c r="N146" s="52">
        <f t="shared" si="20"/>
        <v>0</v>
      </c>
      <c r="P146" s="61">
        <f t="shared" si="7"/>
        <v>-7738.91</v>
      </c>
    </row>
    <row r="147" spans="1:16" ht="11.25">
      <c r="A147" s="53" t="s">
        <v>112</v>
      </c>
      <c r="C147" s="52">
        <f aca="true" t="shared" si="21" ref="C147:N147">C19+C83</f>
        <v>7720.92</v>
      </c>
      <c r="D147" s="52">
        <f t="shared" si="21"/>
        <v>7943.84</v>
      </c>
      <c r="E147" s="52">
        <f t="shared" si="21"/>
        <v>10091.019999999999</v>
      </c>
      <c r="F147" s="52">
        <f t="shared" si="21"/>
        <v>12236.830000000002</v>
      </c>
      <c r="G147" s="52">
        <f t="shared" si="21"/>
        <v>8037.42</v>
      </c>
      <c r="H147" s="52">
        <f t="shared" si="21"/>
        <v>1343.24</v>
      </c>
      <c r="I147" s="52">
        <f t="shared" si="21"/>
        <v>270.64</v>
      </c>
      <c r="J147" s="52">
        <f t="shared" si="21"/>
        <v>-8611.36</v>
      </c>
      <c r="K147" s="52">
        <f t="shared" si="21"/>
        <v>0</v>
      </c>
      <c r="L147" s="52">
        <f t="shared" si="21"/>
        <v>0</v>
      </c>
      <c r="M147" s="52">
        <f t="shared" si="21"/>
        <v>0</v>
      </c>
      <c r="N147" s="52">
        <f t="shared" si="21"/>
        <v>0</v>
      </c>
      <c r="P147" s="61">
        <f t="shared" si="7"/>
        <v>-8340.720000000001</v>
      </c>
    </row>
    <row r="148" spans="1:16" ht="11.25">
      <c r="A148" s="53" t="s">
        <v>113</v>
      </c>
      <c r="C148" s="52">
        <f aca="true" t="shared" si="22" ref="C148:N148">C20+C84</f>
        <v>6599.85</v>
      </c>
      <c r="D148" s="52">
        <f t="shared" si="22"/>
        <v>9013.2</v>
      </c>
      <c r="E148" s="52">
        <f t="shared" si="22"/>
        <v>8158.93</v>
      </c>
      <c r="F148" s="52">
        <f t="shared" si="22"/>
        <v>5697.89</v>
      </c>
      <c r="G148" s="52">
        <f t="shared" si="22"/>
        <v>5137.78</v>
      </c>
      <c r="H148" s="52">
        <f t="shared" si="22"/>
        <v>33.76999999999964</v>
      </c>
      <c r="I148" s="52">
        <f t="shared" si="22"/>
        <v>621.09</v>
      </c>
      <c r="J148" s="52">
        <f t="shared" si="22"/>
        <v>-9086.2</v>
      </c>
      <c r="K148" s="52">
        <f t="shared" si="22"/>
        <v>0</v>
      </c>
      <c r="L148" s="52">
        <f t="shared" si="22"/>
        <v>0</v>
      </c>
      <c r="M148" s="52">
        <f t="shared" si="22"/>
        <v>0</v>
      </c>
      <c r="N148" s="52">
        <f t="shared" si="22"/>
        <v>34.13</v>
      </c>
      <c r="P148" s="61">
        <f t="shared" si="7"/>
        <v>-8430.980000000001</v>
      </c>
    </row>
    <row r="149" spans="1:16" ht="11.25">
      <c r="A149" s="53" t="s">
        <v>114</v>
      </c>
      <c r="C149" s="52">
        <f aca="true" t="shared" si="23" ref="C149:N149">C21+C85</f>
        <v>11729.57</v>
      </c>
      <c r="D149" s="52">
        <f t="shared" si="23"/>
        <v>9104.24</v>
      </c>
      <c r="E149" s="52">
        <f t="shared" si="23"/>
        <v>10841.6</v>
      </c>
      <c r="F149" s="52">
        <f t="shared" si="23"/>
        <v>10323.63</v>
      </c>
      <c r="G149" s="52">
        <f t="shared" si="23"/>
        <v>8829.4</v>
      </c>
      <c r="H149" s="52">
        <f t="shared" si="23"/>
        <v>1409.7099999999996</v>
      </c>
      <c r="I149" s="52">
        <f t="shared" si="23"/>
        <v>0</v>
      </c>
      <c r="J149" s="52">
        <f t="shared" si="23"/>
        <v>-8727.63</v>
      </c>
      <c r="K149" s="52">
        <f t="shared" si="23"/>
        <v>0</v>
      </c>
      <c r="L149" s="52">
        <f t="shared" si="23"/>
        <v>0</v>
      </c>
      <c r="M149" s="52">
        <f t="shared" si="23"/>
        <v>0</v>
      </c>
      <c r="N149" s="52">
        <f t="shared" si="23"/>
        <v>0</v>
      </c>
      <c r="P149" s="61">
        <f t="shared" si="7"/>
        <v>-8727.63</v>
      </c>
    </row>
    <row r="150" spans="1:16" ht="11.25">
      <c r="A150" s="53" t="s">
        <v>115</v>
      </c>
      <c r="C150" s="52">
        <f aca="true" t="shared" si="24" ref="C150:N150">C22+C86</f>
        <v>12278.460000000001</v>
      </c>
      <c r="D150" s="52">
        <f t="shared" si="24"/>
        <v>8687.21</v>
      </c>
      <c r="E150" s="52">
        <f t="shared" si="24"/>
        <v>12212.470000000001</v>
      </c>
      <c r="F150" s="52">
        <f t="shared" si="24"/>
        <v>6363.33</v>
      </c>
      <c r="G150" s="52">
        <f t="shared" si="24"/>
        <v>7422.69</v>
      </c>
      <c r="H150" s="52">
        <f t="shared" si="24"/>
        <v>428.68</v>
      </c>
      <c r="I150" s="52">
        <f t="shared" si="24"/>
        <v>0</v>
      </c>
      <c r="J150" s="52">
        <f t="shared" si="24"/>
        <v>-8635</v>
      </c>
      <c r="K150" s="52">
        <f t="shared" si="24"/>
        <v>0</v>
      </c>
      <c r="L150" s="52">
        <f t="shared" si="24"/>
        <v>0</v>
      </c>
      <c r="M150" s="52">
        <f t="shared" si="24"/>
        <v>0</v>
      </c>
      <c r="N150" s="52">
        <f t="shared" si="24"/>
        <v>0</v>
      </c>
      <c r="P150" s="61">
        <f t="shared" si="7"/>
        <v>-8635</v>
      </c>
    </row>
    <row r="151" spans="1:16" ht="11.25">
      <c r="A151" s="53" t="s">
        <v>116</v>
      </c>
      <c r="C151" s="52">
        <f aca="true" t="shared" si="25" ref="C151:N151">C23+C87</f>
        <v>8096.759999999999</v>
      </c>
      <c r="D151" s="52">
        <f t="shared" si="25"/>
        <v>8381.9</v>
      </c>
      <c r="E151" s="52">
        <f t="shared" si="25"/>
        <v>10435.42</v>
      </c>
      <c r="F151" s="52">
        <f t="shared" si="25"/>
        <v>8110.77</v>
      </c>
      <c r="G151" s="52">
        <f t="shared" si="25"/>
        <v>5809.83</v>
      </c>
      <c r="H151" s="52">
        <f t="shared" si="25"/>
        <v>733.9599999999997</v>
      </c>
      <c r="I151" s="52">
        <f t="shared" si="25"/>
        <v>0</v>
      </c>
      <c r="J151" s="52">
        <f t="shared" si="25"/>
        <v>-6495</v>
      </c>
      <c r="K151" s="52">
        <f t="shared" si="25"/>
        <v>0</v>
      </c>
      <c r="L151" s="52">
        <f t="shared" si="25"/>
        <v>0</v>
      </c>
      <c r="M151" s="52">
        <f t="shared" si="25"/>
        <v>0</v>
      </c>
      <c r="N151" s="52">
        <f t="shared" si="25"/>
        <v>75.33</v>
      </c>
      <c r="P151" s="61">
        <f t="shared" si="7"/>
        <v>-6419.67</v>
      </c>
    </row>
    <row r="152" spans="1:16" ht="11.25">
      <c r="A152" s="53" t="s">
        <v>117</v>
      </c>
      <c r="C152" s="52">
        <f aca="true" t="shared" si="26" ref="C152:N152">C24+C88</f>
        <v>4621.44</v>
      </c>
      <c r="D152" s="52">
        <f t="shared" si="26"/>
        <v>12281.53</v>
      </c>
      <c r="E152" s="52">
        <f t="shared" si="26"/>
        <v>10420.93</v>
      </c>
      <c r="F152" s="52">
        <f t="shared" si="26"/>
        <v>5915.73</v>
      </c>
      <c r="G152" s="52">
        <f t="shared" si="26"/>
        <v>5568.3</v>
      </c>
      <c r="H152" s="52">
        <f t="shared" si="26"/>
        <v>180.71999999999963</v>
      </c>
      <c r="I152" s="52">
        <f t="shared" si="26"/>
        <v>246.74</v>
      </c>
      <c r="J152" s="52">
        <f t="shared" si="26"/>
        <v>-8263.14</v>
      </c>
      <c r="K152" s="52">
        <f t="shared" si="26"/>
        <v>0</v>
      </c>
      <c r="L152" s="52">
        <f t="shared" si="26"/>
        <v>0</v>
      </c>
      <c r="M152" s="52">
        <f t="shared" si="26"/>
        <v>0</v>
      </c>
      <c r="N152" s="52">
        <f t="shared" si="26"/>
        <v>0</v>
      </c>
      <c r="P152" s="61">
        <f t="shared" si="7"/>
        <v>-8016.4</v>
      </c>
    </row>
    <row r="153" spans="1:16" ht="11.25">
      <c r="A153" s="53" t="s">
        <v>118</v>
      </c>
      <c r="C153" s="52">
        <f aca="true" t="shared" si="27" ref="C153:N153">C25+C89</f>
        <v>18531.829999999998</v>
      </c>
      <c r="D153" s="52">
        <f t="shared" si="27"/>
        <v>13740.72</v>
      </c>
      <c r="E153" s="52">
        <f t="shared" si="27"/>
        <v>11238.25</v>
      </c>
      <c r="F153" s="52">
        <f t="shared" si="27"/>
        <v>8663.55</v>
      </c>
      <c r="G153" s="52">
        <f t="shared" si="27"/>
        <v>11142.06</v>
      </c>
      <c r="H153" s="52">
        <f t="shared" si="27"/>
        <v>2352.36</v>
      </c>
      <c r="I153" s="52">
        <f t="shared" si="27"/>
        <v>0</v>
      </c>
      <c r="J153" s="52">
        <f t="shared" si="27"/>
        <v>-8775</v>
      </c>
      <c r="K153" s="52">
        <f t="shared" si="27"/>
        <v>0</v>
      </c>
      <c r="L153" s="52">
        <f t="shared" si="27"/>
        <v>0</v>
      </c>
      <c r="M153" s="52">
        <f t="shared" si="27"/>
        <v>0</v>
      </c>
      <c r="N153" s="52">
        <f t="shared" si="27"/>
        <v>0</v>
      </c>
      <c r="P153" s="61">
        <f t="shared" si="7"/>
        <v>-8775</v>
      </c>
    </row>
    <row r="154" spans="1:16" ht="11.25">
      <c r="A154" s="53" t="s">
        <v>119</v>
      </c>
      <c r="C154" s="52">
        <f aca="true" t="shared" si="28" ref="C154:N154">C26+C90</f>
        <v>12753.28</v>
      </c>
      <c r="D154" s="52">
        <f t="shared" si="28"/>
        <v>17394.87</v>
      </c>
      <c r="E154" s="52">
        <f t="shared" si="28"/>
        <v>17275.690000000002</v>
      </c>
      <c r="F154" s="52">
        <f t="shared" si="28"/>
        <v>17010.609999999997</v>
      </c>
      <c r="G154" s="52">
        <f t="shared" si="28"/>
        <v>6457.43</v>
      </c>
      <c r="H154" s="52">
        <f t="shared" si="28"/>
        <v>48.06</v>
      </c>
      <c r="I154" s="52">
        <f t="shared" si="28"/>
        <v>41.78</v>
      </c>
      <c r="J154" s="52">
        <f t="shared" si="28"/>
        <v>-6220</v>
      </c>
      <c r="K154" s="52">
        <f t="shared" si="28"/>
        <v>0</v>
      </c>
      <c r="L154" s="52">
        <f t="shared" si="28"/>
        <v>0</v>
      </c>
      <c r="M154" s="52">
        <f t="shared" si="28"/>
        <v>0</v>
      </c>
      <c r="N154" s="52">
        <f t="shared" si="28"/>
        <v>0</v>
      </c>
      <c r="P154" s="61">
        <f t="shared" si="7"/>
        <v>-6178.22</v>
      </c>
    </row>
    <row r="155" spans="1:16" ht="11.25">
      <c r="A155" s="53" t="s">
        <v>120</v>
      </c>
      <c r="C155" s="52">
        <f aca="true" t="shared" si="29" ref="C155:N155">C27+C91</f>
        <v>9441.43</v>
      </c>
      <c r="D155" s="52">
        <f t="shared" si="29"/>
        <v>9540.61</v>
      </c>
      <c r="E155" s="52">
        <f t="shared" si="29"/>
        <v>8465.85</v>
      </c>
      <c r="F155" s="52">
        <f t="shared" si="29"/>
        <v>15111.71</v>
      </c>
      <c r="G155" s="52">
        <f t="shared" si="29"/>
        <v>8149.45</v>
      </c>
      <c r="H155" s="52">
        <f t="shared" si="29"/>
        <v>197.88</v>
      </c>
      <c r="I155" s="52">
        <f t="shared" si="29"/>
        <v>0</v>
      </c>
      <c r="J155" s="52">
        <f t="shared" si="29"/>
        <v>-7775</v>
      </c>
      <c r="K155" s="52">
        <f t="shared" si="29"/>
        <v>0</v>
      </c>
      <c r="L155" s="52">
        <f t="shared" si="29"/>
        <v>0</v>
      </c>
      <c r="M155" s="52">
        <f t="shared" si="29"/>
        <v>0</v>
      </c>
      <c r="N155" s="52">
        <f t="shared" si="29"/>
        <v>0</v>
      </c>
      <c r="P155" s="61">
        <f t="shared" si="7"/>
        <v>-7775</v>
      </c>
    </row>
    <row r="156" spans="1:16" ht="11.25">
      <c r="A156" s="53" t="s">
        <v>121</v>
      </c>
      <c r="C156" s="52">
        <f aca="true" t="shared" si="30" ref="C156:N156">C28+C92</f>
        <v>8399.68</v>
      </c>
      <c r="D156" s="52">
        <f t="shared" si="30"/>
        <v>8196.08</v>
      </c>
      <c r="E156" s="52">
        <f t="shared" si="30"/>
        <v>9818</v>
      </c>
      <c r="F156" s="52">
        <f t="shared" si="30"/>
        <v>12768.66</v>
      </c>
      <c r="G156" s="52">
        <f t="shared" si="30"/>
        <v>16228.46</v>
      </c>
      <c r="H156" s="52">
        <f t="shared" si="30"/>
        <v>57.20999999999964</v>
      </c>
      <c r="I156" s="52">
        <f t="shared" si="30"/>
        <v>218.88</v>
      </c>
      <c r="J156" s="52">
        <f t="shared" si="30"/>
        <v>-7570</v>
      </c>
      <c r="K156" s="52">
        <f t="shared" si="30"/>
        <v>0</v>
      </c>
      <c r="L156" s="52">
        <f t="shared" si="30"/>
        <v>0</v>
      </c>
      <c r="M156" s="52">
        <f t="shared" si="30"/>
        <v>0</v>
      </c>
      <c r="N156" s="52">
        <f t="shared" si="30"/>
        <v>0</v>
      </c>
      <c r="P156" s="61">
        <f t="shared" si="7"/>
        <v>-7351.12</v>
      </c>
    </row>
    <row r="157" spans="1:16" ht="11.25">
      <c r="A157" s="53" t="s">
        <v>122</v>
      </c>
      <c r="C157" s="52">
        <f aca="true" t="shared" si="31" ref="C157:N157">C29+C93</f>
        <v>6867.93</v>
      </c>
      <c r="D157" s="52">
        <f t="shared" si="31"/>
        <v>8046.6900000000005</v>
      </c>
      <c r="E157" s="52">
        <f t="shared" si="31"/>
        <v>8769.130000000001</v>
      </c>
      <c r="F157" s="52">
        <f t="shared" si="31"/>
        <v>11971.48</v>
      </c>
      <c r="G157" s="52">
        <f t="shared" si="31"/>
        <v>6950.36</v>
      </c>
      <c r="H157" s="52">
        <f t="shared" si="31"/>
        <v>207.37</v>
      </c>
      <c r="I157" s="52">
        <f t="shared" si="31"/>
        <v>0</v>
      </c>
      <c r="J157" s="52">
        <f t="shared" si="31"/>
        <v>-7775</v>
      </c>
      <c r="K157" s="52">
        <f t="shared" si="31"/>
        <v>0</v>
      </c>
      <c r="L157" s="52">
        <f t="shared" si="31"/>
        <v>0</v>
      </c>
      <c r="M157" s="52">
        <f t="shared" si="31"/>
        <v>0</v>
      </c>
      <c r="N157" s="52">
        <f t="shared" si="31"/>
        <v>0</v>
      </c>
      <c r="P157" s="61">
        <f t="shared" si="7"/>
        <v>-7775</v>
      </c>
    </row>
    <row r="158" spans="1:16" ht="11.25">
      <c r="A158" s="53" t="s">
        <v>123</v>
      </c>
      <c r="C158" s="52">
        <f aca="true" t="shared" si="32" ref="C158:N158">C30+C94</f>
        <v>9258.45</v>
      </c>
      <c r="D158" s="52">
        <f t="shared" si="32"/>
        <v>9412.74</v>
      </c>
      <c r="E158" s="52">
        <f t="shared" si="32"/>
        <v>9789.65</v>
      </c>
      <c r="F158" s="52">
        <f t="shared" si="32"/>
        <v>9017.61</v>
      </c>
      <c r="G158" s="52">
        <f t="shared" si="32"/>
        <v>8417.78</v>
      </c>
      <c r="H158" s="52">
        <f t="shared" si="32"/>
        <v>194.26999999999964</v>
      </c>
      <c r="I158" s="52">
        <f t="shared" si="32"/>
        <v>0</v>
      </c>
      <c r="J158" s="52">
        <f t="shared" si="32"/>
        <v>-9000</v>
      </c>
      <c r="K158" s="52">
        <f t="shared" si="32"/>
        <v>0</v>
      </c>
      <c r="L158" s="52">
        <f t="shared" si="32"/>
        <v>0</v>
      </c>
      <c r="M158" s="52">
        <f t="shared" si="32"/>
        <v>0</v>
      </c>
      <c r="N158" s="52">
        <f t="shared" si="32"/>
        <v>0</v>
      </c>
      <c r="P158" s="61">
        <f t="shared" si="7"/>
        <v>-9000</v>
      </c>
    </row>
    <row r="159" spans="1:16" ht="11.25">
      <c r="A159" s="53" t="s">
        <v>124</v>
      </c>
      <c r="C159" s="52">
        <f aca="true" t="shared" si="33" ref="C159:N159">C31+C95</f>
        <v>13204.02</v>
      </c>
      <c r="D159" s="52">
        <f t="shared" si="33"/>
        <v>8894.61</v>
      </c>
      <c r="E159" s="52">
        <f t="shared" si="33"/>
        <v>8586.81</v>
      </c>
      <c r="F159" s="52">
        <f t="shared" si="33"/>
        <v>5364.33</v>
      </c>
      <c r="G159" s="52">
        <f t="shared" si="33"/>
        <v>4024.29</v>
      </c>
      <c r="H159" s="52">
        <f t="shared" si="33"/>
        <v>481.11</v>
      </c>
      <c r="I159" s="52">
        <f t="shared" si="33"/>
        <v>92.33</v>
      </c>
      <c r="J159" s="52">
        <f t="shared" si="33"/>
        <v>-7775</v>
      </c>
      <c r="K159" s="52">
        <f t="shared" si="33"/>
        <v>0</v>
      </c>
      <c r="L159" s="52">
        <f t="shared" si="33"/>
        <v>0</v>
      </c>
      <c r="M159" s="52">
        <f t="shared" si="33"/>
        <v>0</v>
      </c>
      <c r="N159" s="52">
        <f t="shared" si="33"/>
        <v>0</v>
      </c>
      <c r="P159" s="61">
        <f t="shared" si="7"/>
        <v>-7682.67</v>
      </c>
    </row>
    <row r="160" spans="1:16" ht="11.25">
      <c r="A160" s="53" t="s">
        <v>125</v>
      </c>
      <c r="C160" s="52">
        <f aca="true" t="shared" si="34" ref="C160:N160">C32+C96</f>
        <v>11504.24</v>
      </c>
      <c r="D160" s="52">
        <f t="shared" si="34"/>
        <v>8421.89</v>
      </c>
      <c r="E160" s="52">
        <f t="shared" si="34"/>
        <v>11167.49</v>
      </c>
      <c r="F160" s="52">
        <f t="shared" si="34"/>
        <v>8540.76</v>
      </c>
      <c r="G160" s="52">
        <f t="shared" si="34"/>
        <v>5072.91</v>
      </c>
      <c r="H160" s="52">
        <f t="shared" si="34"/>
        <v>1658.3100000000002</v>
      </c>
      <c r="I160" s="52">
        <f t="shared" si="34"/>
        <v>585.04</v>
      </c>
      <c r="J160" s="52">
        <f t="shared" si="34"/>
        <v>-7893.46</v>
      </c>
      <c r="K160" s="52">
        <f t="shared" si="34"/>
        <v>0</v>
      </c>
      <c r="L160" s="52">
        <f t="shared" si="34"/>
        <v>0</v>
      </c>
      <c r="M160" s="52">
        <f t="shared" si="34"/>
        <v>0</v>
      </c>
      <c r="N160" s="52">
        <f t="shared" si="34"/>
        <v>0</v>
      </c>
      <c r="P160" s="61">
        <f t="shared" si="7"/>
        <v>-7308.42</v>
      </c>
    </row>
    <row r="161" spans="1:16" ht="11.25">
      <c r="A161" s="53" t="s">
        <v>126</v>
      </c>
      <c r="C161" s="52">
        <f aca="true" t="shared" si="35" ref="C161:N161">C33+C97</f>
        <v>9623.23</v>
      </c>
      <c r="D161" s="52">
        <f t="shared" si="35"/>
        <v>9268.199999999999</v>
      </c>
      <c r="E161" s="52">
        <f t="shared" si="35"/>
        <v>10124.91</v>
      </c>
      <c r="F161" s="52">
        <f t="shared" si="35"/>
        <v>7844.14</v>
      </c>
      <c r="G161" s="52">
        <f t="shared" si="35"/>
        <v>6884.049999999999</v>
      </c>
      <c r="H161" s="52">
        <f t="shared" si="35"/>
        <v>169.54999999999964</v>
      </c>
      <c r="I161" s="52">
        <f t="shared" si="35"/>
        <v>0</v>
      </c>
      <c r="J161" s="52">
        <f t="shared" si="35"/>
        <v>-8775</v>
      </c>
      <c r="K161" s="52">
        <f t="shared" si="35"/>
        <v>0</v>
      </c>
      <c r="L161" s="52">
        <f t="shared" si="35"/>
        <v>0</v>
      </c>
      <c r="M161" s="52">
        <f t="shared" si="35"/>
        <v>0</v>
      </c>
      <c r="N161" s="52">
        <f t="shared" si="35"/>
        <v>0</v>
      </c>
      <c r="P161" s="61">
        <f t="shared" si="7"/>
        <v>-8775</v>
      </c>
    </row>
    <row r="162" spans="1:15" ht="11.25">
      <c r="A162" s="54" t="s">
        <v>168</v>
      </c>
      <c r="C162" s="55">
        <f aca="true" t="shared" si="36" ref="C162:N162">SUM(C133:C161)</f>
        <v>515953.1699999999</v>
      </c>
      <c r="D162" s="55">
        <f t="shared" si="36"/>
        <v>283878.58</v>
      </c>
      <c r="E162" s="55">
        <f t="shared" si="36"/>
        <v>511608.36999999994</v>
      </c>
      <c r="F162" s="55">
        <f t="shared" si="36"/>
        <v>616151.94</v>
      </c>
      <c r="G162" s="55">
        <f t="shared" si="36"/>
        <v>283028.49999999994</v>
      </c>
      <c r="H162" s="55">
        <f t="shared" si="36"/>
        <v>338649.5600000001</v>
      </c>
      <c r="I162" s="55">
        <f t="shared" si="36"/>
        <v>2903.58</v>
      </c>
      <c r="J162" s="55">
        <f t="shared" si="36"/>
        <v>1155.3799999999828</v>
      </c>
      <c r="K162" s="55">
        <f t="shared" si="36"/>
        <v>236.28</v>
      </c>
      <c r="L162" s="55">
        <f t="shared" si="36"/>
        <v>615.11</v>
      </c>
      <c r="M162" s="55">
        <f t="shared" si="36"/>
        <v>250177.3</v>
      </c>
      <c r="N162" s="55">
        <f t="shared" si="36"/>
        <v>-249812.74000000002</v>
      </c>
      <c r="O162" s="64">
        <f>SUM(C162:N162)</f>
        <v>2554545.029999999</v>
      </c>
    </row>
    <row r="163" spans="1:14" ht="11.25">
      <c r="A163" s="42"/>
      <c r="C163" s="46" t="s">
        <v>156</v>
      </c>
      <c r="D163" s="43" t="s">
        <v>157</v>
      </c>
      <c r="E163" s="43" t="s">
        <v>158</v>
      </c>
      <c r="F163" s="43" t="s">
        <v>159</v>
      </c>
      <c r="G163" s="43" t="s">
        <v>160</v>
      </c>
      <c r="H163" s="43" t="s">
        <v>161</v>
      </c>
      <c r="I163" s="43" t="s">
        <v>162</v>
      </c>
      <c r="J163" s="43" t="s">
        <v>163</v>
      </c>
      <c r="K163" s="43" t="s">
        <v>164</v>
      </c>
      <c r="L163" s="43" t="s">
        <v>165</v>
      </c>
      <c r="M163" s="43" t="s">
        <v>166</v>
      </c>
      <c r="N163" s="63" t="s">
        <v>173</v>
      </c>
    </row>
    <row r="164" spans="1:14" ht="11.25">
      <c r="A164" s="47"/>
      <c r="C164" s="60" t="s">
        <v>171</v>
      </c>
      <c r="D164" s="58" t="s">
        <v>171</v>
      </c>
      <c r="E164" s="58" t="s">
        <v>171</v>
      </c>
      <c r="F164" s="58" t="s">
        <v>171</v>
      </c>
      <c r="G164" s="58" t="s">
        <v>171</v>
      </c>
      <c r="H164" s="58" t="s">
        <v>171</v>
      </c>
      <c r="I164" s="58" t="s">
        <v>171</v>
      </c>
      <c r="J164" s="58" t="s">
        <v>171</v>
      </c>
      <c r="K164" s="58" t="s">
        <v>171</v>
      </c>
      <c r="L164" s="58" t="s">
        <v>171</v>
      </c>
      <c r="M164" s="58" t="s">
        <v>171</v>
      </c>
      <c r="N164" s="59" t="s">
        <v>171</v>
      </c>
    </row>
    <row r="165" spans="1:16" ht="11.25">
      <c r="A165" s="51" t="s">
        <v>169</v>
      </c>
      <c r="C165" s="52">
        <f>C35+C99</f>
        <v>0</v>
      </c>
      <c r="D165" s="52">
        <f aca="true" t="shared" si="37" ref="D165:N165">D35+D99</f>
        <v>0</v>
      </c>
      <c r="E165" s="52">
        <f t="shared" si="37"/>
        <v>0</v>
      </c>
      <c r="F165" s="52">
        <f t="shared" si="37"/>
        <v>0</v>
      </c>
      <c r="G165" s="52">
        <f t="shared" si="37"/>
        <v>0</v>
      </c>
      <c r="H165" s="52">
        <f t="shared" si="37"/>
        <v>263888.9</v>
      </c>
      <c r="I165" s="52">
        <f t="shared" si="37"/>
        <v>420177.67</v>
      </c>
      <c r="J165" s="52">
        <f t="shared" si="37"/>
        <v>290040.27</v>
      </c>
      <c r="K165" s="52">
        <f t="shared" si="37"/>
        <v>278664.88</v>
      </c>
      <c r="L165" s="52">
        <f t="shared" si="37"/>
        <v>258000</v>
      </c>
      <c r="M165" s="52">
        <f t="shared" si="37"/>
        <v>0</v>
      </c>
      <c r="N165" s="52">
        <f t="shared" si="37"/>
        <v>579948.54</v>
      </c>
      <c r="P165" s="61">
        <f aca="true" t="shared" si="38" ref="P165:P194">SUM(I165:N165)</f>
        <v>1826831.3599999999</v>
      </c>
    </row>
    <row r="166" spans="1:16" ht="11.25">
      <c r="A166" s="53" t="s">
        <v>127</v>
      </c>
      <c r="C166" s="52">
        <f aca="true" t="shared" si="39" ref="C166:N166">C36+C100</f>
        <v>0</v>
      </c>
      <c r="D166" s="52">
        <f t="shared" si="39"/>
        <v>0</v>
      </c>
      <c r="E166" s="52">
        <f t="shared" si="39"/>
        <v>0</v>
      </c>
      <c r="F166" s="52">
        <f t="shared" si="39"/>
        <v>0</v>
      </c>
      <c r="G166" s="52">
        <f t="shared" si="39"/>
        <v>1882.74</v>
      </c>
      <c r="H166" s="52">
        <f t="shared" si="39"/>
        <v>17793.08</v>
      </c>
      <c r="I166" s="52">
        <f t="shared" si="39"/>
        <v>18459.2</v>
      </c>
      <c r="J166" s="52">
        <f t="shared" si="39"/>
        <v>38374.64000000001</v>
      </c>
      <c r="K166" s="52">
        <f t="shared" si="39"/>
        <v>26984.36</v>
      </c>
      <c r="L166" s="52">
        <f t="shared" si="39"/>
        <v>24683.43</v>
      </c>
      <c r="M166" s="52">
        <f t="shared" si="39"/>
        <v>38989.659999999996</v>
      </c>
      <c r="N166" s="52">
        <f t="shared" si="39"/>
        <v>24877.86</v>
      </c>
      <c r="P166" s="61">
        <f t="shared" si="38"/>
        <v>172369.15000000002</v>
      </c>
    </row>
    <row r="167" spans="1:16" ht="11.25">
      <c r="A167" s="53" t="s">
        <v>128</v>
      </c>
      <c r="C167" s="52">
        <f aca="true" t="shared" si="40" ref="C167:N167">C37+C101</f>
        <v>0</v>
      </c>
      <c r="D167" s="52">
        <f t="shared" si="40"/>
        <v>0</v>
      </c>
      <c r="E167" s="52">
        <f t="shared" si="40"/>
        <v>0</v>
      </c>
      <c r="F167" s="52">
        <f t="shared" si="40"/>
        <v>0</v>
      </c>
      <c r="G167" s="52">
        <f t="shared" si="40"/>
        <v>2227.12</v>
      </c>
      <c r="H167" s="52">
        <f t="shared" si="40"/>
        <v>6009.21</v>
      </c>
      <c r="I167" s="52">
        <f t="shared" si="40"/>
        <v>13779.57</v>
      </c>
      <c r="J167" s="52">
        <f t="shared" si="40"/>
        <v>10613.54</v>
      </c>
      <c r="K167" s="52">
        <f t="shared" si="40"/>
        <v>17299.07</v>
      </c>
      <c r="L167" s="52">
        <f t="shared" si="40"/>
        <v>15996.650000000001</v>
      </c>
      <c r="M167" s="52">
        <f t="shared" si="40"/>
        <v>13684.68</v>
      </c>
      <c r="N167" s="52">
        <f t="shared" si="40"/>
        <v>19671.88</v>
      </c>
      <c r="P167" s="61">
        <f t="shared" si="38"/>
        <v>91045.39000000001</v>
      </c>
    </row>
    <row r="168" spans="1:16" ht="11.25">
      <c r="A168" s="53" t="s">
        <v>129</v>
      </c>
      <c r="C168" s="52">
        <f aca="true" t="shared" si="41" ref="C168:N168">C38+C102</f>
        <v>0</v>
      </c>
      <c r="D168" s="52">
        <f t="shared" si="41"/>
        <v>0</v>
      </c>
      <c r="E168" s="52">
        <f t="shared" si="41"/>
        <v>0</v>
      </c>
      <c r="F168" s="52">
        <f t="shared" si="41"/>
        <v>0</v>
      </c>
      <c r="G168" s="52">
        <f t="shared" si="41"/>
        <v>4901.11</v>
      </c>
      <c r="H168" s="52">
        <f t="shared" si="41"/>
        <v>3582.39</v>
      </c>
      <c r="I168" s="52">
        <f t="shared" si="41"/>
        <v>7160.22</v>
      </c>
      <c r="J168" s="52">
        <f t="shared" si="41"/>
        <v>4355.69</v>
      </c>
      <c r="K168" s="52">
        <f t="shared" si="41"/>
        <v>8688.09</v>
      </c>
      <c r="L168" s="52">
        <f t="shared" si="41"/>
        <v>6553.2</v>
      </c>
      <c r="M168" s="52">
        <f t="shared" si="41"/>
        <v>5742.7</v>
      </c>
      <c r="N168" s="52">
        <f t="shared" si="41"/>
        <v>9285.07</v>
      </c>
      <c r="P168" s="61">
        <f t="shared" si="38"/>
        <v>41784.97</v>
      </c>
    </row>
    <row r="169" spans="1:16" ht="11.25">
      <c r="A169" s="53" t="s">
        <v>130</v>
      </c>
      <c r="C169" s="52">
        <f aca="true" t="shared" si="42" ref="C169:N169">C39+C103</f>
        <v>0</v>
      </c>
      <c r="D169" s="52">
        <f t="shared" si="42"/>
        <v>0</v>
      </c>
      <c r="E169" s="52">
        <f t="shared" si="42"/>
        <v>0</v>
      </c>
      <c r="F169" s="52">
        <f t="shared" si="42"/>
        <v>0</v>
      </c>
      <c r="G169" s="52">
        <f t="shared" si="42"/>
        <v>1922.29</v>
      </c>
      <c r="H169" s="52">
        <f t="shared" si="42"/>
        <v>1099.85</v>
      </c>
      <c r="I169" s="52">
        <f t="shared" si="42"/>
        <v>12162.15</v>
      </c>
      <c r="J169" s="52">
        <f t="shared" si="42"/>
        <v>6562.52</v>
      </c>
      <c r="K169" s="52">
        <f t="shared" si="42"/>
        <v>13858.54</v>
      </c>
      <c r="L169" s="52">
        <f t="shared" si="42"/>
        <v>14760.85</v>
      </c>
      <c r="M169" s="52">
        <f t="shared" si="42"/>
        <v>10655.84</v>
      </c>
      <c r="N169" s="52">
        <f t="shared" si="42"/>
        <v>14927.869999999999</v>
      </c>
      <c r="P169" s="61">
        <f t="shared" si="38"/>
        <v>72927.76999999999</v>
      </c>
    </row>
    <row r="170" spans="1:16" ht="11.25">
      <c r="A170" s="53" t="s">
        <v>131</v>
      </c>
      <c r="C170" s="52">
        <f aca="true" t="shared" si="43" ref="C170:N170">C40+C104</f>
        <v>0</v>
      </c>
      <c r="D170" s="52">
        <f t="shared" si="43"/>
        <v>0</v>
      </c>
      <c r="E170" s="52">
        <f t="shared" si="43"/>
        <v>0</v>
      </c>
      <c r="F170" s="52">
        <f t="shared" si="43"/>
        <v>0</v>
      </c>
      <c r="G170" s="52">
        <f t="shared" si="43"/>
        <v>2449.93</v>
      </c>
      <c r="H170" s="52">
        <f t="shared" si="43"/>
        <v>1577.8</v>
      </c>
      <c r="I170" s="52">
        <f t="shared" si="43"/>
        <v>6533.72</v>
      </c>
      <c r="J170" s="52">
        <f t="shared" si="43"/>
        <v>5773.85</v>
      </c>
      <c r="K170" s="52">
        <f t="shared" si="43"/>
        <v>8241.46</v>
      </c>
      <c r="L170" s="52">
        <f t="shared" si="43"/>
        <v>5754.31</v>
      </c>
      <c r="M170" s="52">
        <f t="shared" si="43"/>
        <v>5949.33</v>
      </c>
      <c r="N170" s="52">
        <f t="shared" si="43"/>
        <v>6468.469999999999</v>
      </c>
      <c r="P170" s="61">
        <f t="shared" si="38"/>
        <v>38721.14</v>
      </c>
    </row>
    <row r="171" spans="1:16" ht="11.25">
      <c r="A171" s="53" t="s">
        <v>132</v>
      </c>
      <c r="C171" s="52">
        <f aca="true" t="shared" si="44" ref="C171:N171">C41+C105</f>
        <v>0</v>
      </c>
      <c r="D171" s="52">
        <f t="shared" si="44"/>
        <v>0</v>
      </c>
      <c r="E171" s="52">
        <f t="shared" si="44"/>
        <v>0</v>
      </c>
      <c r="F171" s="52">
        <f t="shared" si="44"/>
        <v>0</v>
      </c>
      <c r="G171" s="52">
        <f t="shared" si="44"/>
        <v>1771.32</v>
      </c>
      <c r="H171" s="52">
        <f t="shared" si="44"/>
        <v>1861.36</v>
      </c>
      <c r="I171" s="52">
        <f t="shared" si="44"/>
        <v>2557.09</v>
      </c>
      <c r="J171" s="52">
        <f t="shared" si="44"/>
        <v>4149.38</v>
      </c>
      <c r="K171" s="52">
        <f t="shared" si="44"/>
        <v>2586.65</v>
      </c>
      <c r="L171" s="52">
        <f t="shared" si="44"/>
        <v>3301.45</v>
      </c>
      <c r="M171" s="52">
        <f t="shared" si="44"/>
        <v>5060.91</v>
      </c>
      <c r="N171" s="52">
        <f t="shared" si="44"/>
        <v>6345.03</v>
      </c>
      <c r="P171" s="61">
        <f t="shared" si="38"/>
        <v>24000.51</v>
      </c>
    </row>
    <row r="172" spans="1:16" ht="11.25">
      <c r="A172" s="53" t="s">
        <v>133</v>
      </c>
      <c r="C172" s="52">
        <f aca="true" t="shared" si="45" ref="C172:N172">C42+C106</f>
        <v>0</v>
      </c>
      <c r="D172" s="52">
        <f t="shared" si="45"/>
        <v>0</v>
      </c>
      <c r="E172" s="52">
        <f t="shared" si="45"/>
        <v>0</v>
      </c>
      <c r="F172" s="52">
        <f t="shared" si="45"/>
        <v>0</v>
      </c>
      <c r="G172" s="52">
        <f t="shared" si="45"/>
        <v>3219.39</v>
      </c>
      <c r="H172" s="52">
        <f t="shared" si="45"/>
        <v>4325.780000000001</v>
      </c>
      <c r="I172" s="52">
        <f t="shared" si="45"/>
        <v>12528.59</v>
      </c>
      <c r="J172" s="52">
        <f t="shared" si="45"/>
        <v>15741.289999999999</v>
      </c>
      <c r="K172" s="52">
        <f t="shared" si="45"/>
        <v>15759.32</v>
      </c>
      <c r="L172" s="52">
        <f t="shared" si="45"/>
        <v>10120.52</v>
      </c>
      <c r="M172" s="52">
        <f t="shared" si="45"/>
        <v>11244.04</v>
      </c>
      <c r="N172" s="52">
        <f t="shared" si="45"/>
        <v>16057.57</v>
      </c>
      <c r="P172" s="61">
        <f t="shared" si="38"/>
        <v>81451.33</v>
      </c>
    </row>
    <row r="173" spans="1:16" ht="11.25">
      <c r="A173" s="53" t="s">
        <v>134</v>
      </c>
      <c r="C173" s="52">
        <f aca="true" t="shared" si="46" ref="C173:N173">C43+C107</f>
        <v>0</v>
      </c>
      <c r="D173" s="52">
        <f t="shared" si="46"/>
        <v>0</v>
      </c>
      <c r="E173" s="52">
        <f t="shared" si="46"/>
        <v>0</v>
      </c>
      <c r="F173" s="52">
        <f t="shared" si="46"/>
        <v>0</v>
      </c>
      <c r="G173" s="52">
        <f t="shared" si="46"/>
        <v>1687.99</v>
      </c>
      <c r="H173" s="52">
        <f t="shared" si="46"/>
        <v>2888.43</v>
      </c>
      <c r="I173" s="52">
        <f t="shared" si="46"/>
        <v>3097.59</v>
      </c>
      <c r="J173" s="52">
        <f t="shared" si="46"/>
        <v>5415.31</v>
      </c>
      <c r="K173" s="52">
        <f t="shared" si="46"/>
        <v>6110.3</v>
      </c>
      <c r="L173" s="52">
        <f t="shared" si="46"/>
        <v>10649.05</v>
      </c>
      <c r="M173" s="52">
        <f t="shared" si="46"/>
        <v>11525.93</v>
      </c>
      <c r="N173" s="52">
        <f t="shared" si="46"/>
        <v>4595.43</v>
      </c>
      <c r="P173" s="61">
        <f t="shared" si="38"/>
        <v>41393.61</v>
      </c>
    </row>
    <row r="174" spans="1:16" ht="11.25">
      <c r="A174" s="53" t="s">
        <v>135</v>
      </c>
      <c r="C174" s="52">
        <f aca="true" t="shared" si="47" ref="C174:N174">C44+C108</f>
        <v>0</v>
      </c>
      <c r="D174" s="52">
        <f t="shared" si="47"/>
        <v>0</v>
      </c>
      <c r="E174" s="52">
        <f t="shared" si="47"/>
        <v>0</v>
      </c>
      <c r="F174" s="52">
        <f t="shared" si="47"/>
        <v>0</v>
      </c>
      <c r="G174" s="52">
        <f t="shared" si="47"/>
        <v>1250.49</v>
      </c>
      <c r="H174" s="52">
        <f t="shared" si="47"/>
        <v>1250.51</v>
      </c>
      <c r="I174" s="52">
        <f t="shared" si="47"/>
        <v>11110.74</v>
      </c>
      <c r="J174" s="52">
        <f t="shared" si="47"/>
        <v>5240.76</v>
      </c>
      <c r="K174" s="52">
        <f t="shared" si="47"/>
        <v>7563.81</v>
      </c>
      <c r="L174" s="52">
        <f t="shared" si="47"/>
        <v>6410.58</v>
      </c>
      <c r="M174" s="52">
        <f t="shared" si="47"/>
        <v>9383.89</v>
      </c>
      <c r="N174" s="52">
        <f t="shared" si="47"/>
        <v>9103.539999999999</v>
      </c>
      <c r="P174" s="61">
        <f t="shared" si="38"/>
        <v>48813.32</v>
      </c>
    </row>
    <row r="175" spans="1:16" ht="11.25">
      <c r="A175" s="53" t="s">
        <v>108</v>
      </c>
      <c r="C175" s="52">
        <f aca="true" t="shared" si="48" ref="C175:N175">C45+C109</f>
        <v>0</v>
      </c>
      <c r="D175" s="52">
        <f t="shared" si="48"/>
        <v>0</v>
      </c>
      <c r="E175" s="52">
        <f t="shared" si="48"/>
        <v>0</v>
      </c>
      <c r="F175" s="52">
        <f t="shared" si="48"/>
        <v>0</v>
      </c>
      <c r="G175" s="52">
        <f t="shared" si="48"/>
        <v>1333.09</v>
      </c>
      <c r="H175" s="52">
        <f t="shared" si="48"/>
        <v>2779.61</v>
      </c>
      <c r="I175" s="52">
        <f t="shared" si="48"/>
        <v>7254.98</v>
      </c>
      <c r="J175" s="52">
        <f t="shared" si="48"/>
        <v>8329.35</v>
      </c>
      <c r="K175" s="52">
        <f t="shared" si="48"/>
        <v>11584.16</v>
      </c>
      <c r="L175" s="52">
        <f t="shared" si="48"/>
        <v>13713.300000000001</v>
      </c>
      <c r="M175" s="52">
        <f t="shared" si="48"/>
        <v>13137.349999999999</v>
      </c>
      <c r="N175" s="52">
        <f t="shared" si="48"/>
        <v>11823.099999999999</v>
      </c>
      <c r="P175" s="61">
        <f t="shared" si="38"/>
        <v>65842.23999999999</v>
      </c>
    </row>
    <row r="176" spans="1:16" ht="11.25">
      <c r="A176" s="53" t="s">
        <v>136</v>
      </c>
      <c r="C176" s="52">
        <f aca="true" t="shared" si="49" ref="C176:N176">C46+C110</f>
        <v>0</v>
      </c>
      <c r="D176" s="52">
        <f t="shared" si="49"/>
        <v>0</v>
      </c>
      <c r="E176" s="52">
        <f t="shared" si="49"/>
        <v>0</v>
      </c>
      <c r="F176" s="52">
        <f t="shared" si="49"/>
        <v>0</v>
      </c>
      <c r="G176" s="52">
        <f t="shared" si="49"/>
        <v>1049.62</v>
      </c>
      <c r="H176" s="52">
        <f t="shared" si="49"/>
        <v>3726.74</v>
      </c>
      <c r="I176" s="52">
        <f t="shared" si="49"/>
        <v>10067.47</v>
      </c>
      <c r="J176" s="52">
        <f t="shared" si="49"/>
        <v>8004.7699999999995</v>
      </c>
      <c r="K176" s="52">
        <f t="shared" si="49"/>
        <v>7923.2699999999995</v>
      </c>
      <c r="L176" s="52">
        <f t="shared" si="49"/>
        <v>5620.549999999999</v>
      </c>
      <c r="M176" s="52">
        <f t="shared" si="49"/>
        <v>7510.360000000001</v>
      </c>
      <c r="N176" s="52">
        <f t="shared" si="49"/>
        <v>8378.43</v>
      </c>
      <c r="P176" s="61">
        <f t="shared" si="38"/>
        <v>47504.85</v>
      </c>
    </row>
    <row r="177" spans="1:16" ht="11.25">
      <c r="A177" s="53" t="s">
        <v>137</v>
      </c>
      <c r="C177" s="52">
        <f aca="true" t="shared" si="50" ref="C177:N177">C47+C111</f>
        <v>0</v>
      </c>
      <c r="D177" s="52">
        <f t="shared" si="50"/>
        <v>0</v>
      </c>
      <c r="E177" s="52">
        <f t="shared" si="50"/>
        <v>0</v>
      </c>
      <c r="F177" s="52">
        <f t="shared" si="50"/>
        <v>0</v>
      </c>
      <c r="G177" s="52">
        <f t="shared" si="50"/>
        <v>1159.43</v>
      </c>
      <c r="H177" s="52">
        <f t="shared" si="50"/>
        <v>1875.73</v>
      </c>
      <c r="I177" s="52">
        <f t="shared" si="50"/>
        <v>7922.2</v>
      </c>
      <c r="J177" s="52">
        <f t="shared" si="50"/>
        <v>4112.08</v>
      </c>
      <c r="K177" s="52">
        <f t="shared" si="50"/>
        <v>14202.15</v>
      </c>
      <c r="L177" s="52">
        <f t="shared" si="50"/>
        <v>9610.99</v>
      </c>
      <c r="M177" s="52">
        <f t="shared" si="50"/>
        <v>7386.790000000001</v>
      </c>
      <c r="N177" s="52">
        <f t="shared" si="50"/>
        <v>6430.41</v>
      </c>
      <c r="P177" s="61">
        <f t="shared" si="38"/>
        <v>49664.619999999995</v>
      </c>
    </row>
    <row r="178" spans="1:16" ht="11.25">
      <c r="A178" s="53" t="s">
        <v>138</v>
      </c>
      <c r="C178" s="52">
        <f aca="true" t="shared" si="51" ref="C178:N178">C48+C112</f>
        <v>0</v>
      </c>
      <c r="D178" s="52">
        <f t="shared" si="51"/>
        <v>0</v>
      </c>
      <c r="E178" s="52">
        <f t="shared" si="51"/>
        <v>0</v>
      </c>
      <c r="F178" s="52">
        <f t="shared" si="51"/>
        <v>0</v>
      </c>
      <c r="G178" s="52">
        <f t="shared" si="51"/>
        <v>1543.08</v>
      </c>
      <c r="H178" s="52">
        <f t="shared" si="51"/>
        <v>1473.6000000000001</v>
      </c>
      <c r="I178" s="52">
        <f t="shared" si="51"/>
        <v>7303.27</v>
      </c>
      <c r="J178" s="52">
        <f t="shared" si="51"/>
        <v>5954.74</v>
      </c>
      <c r="K178" s="52">
        <f t="shared" si="51"/>
        <v>7691.41</v>
      </c>
      <c r="L178" s="52">
        <f t="shared" si="51"/>
        <v>8364.18</v>
      </c>
      <c r="M178" s="52">
        <f t="shared" si="51"/>
        <v>5392.27</v>
      </c>
      <c r="N178" s="52">
        <f t="shared" si="51"/>
        <v>7701.67</v>
      </c>
      <c r="P178" s="61">
        <f t="shared" si="38"/>
        <v>42407.53999999999</v>
      </c>
    </row>
    <row r="179" spans="1:16" ht="11.25">
      <c r="A179" s="53" t="s">
        <v>139</v>
      </c>
      <c r="C179" s="52">
        <f aca="true" t="shared" si="52" ref="C179:N179">C49+C113</f>
        <v>0</v>
      </c>
      <c r="D179" s="52">
        <f t="shared" si="52"/>
        <v>0</v>
      </c>
      <c r="E179" s="52">
        <f t="shared" si="52"/>
        <v>0</v>
      </c>
      <c r="F179" s="52">
        <f t="shared" si="52"/>
        <v>0</v>
      </c>
      <c r="G179" s="52">
        <f t="shared" si="52"/>
        <v>3979.36</v>
      </c>
      <c r="H179" s="52">
        <f t="shared" si="52"/>
        <v>6093.94</v>
      </c>
      <c r="I179" s="52">
        <f t="shared" si="52"/>
        <v>10942.94</v>
      </c>
      <c r="J179" s="52">
        <f t="shared" si="52"/>
        <v>12956.34</v>
      </c>
      <c r="K179" s="52">
        <f t="shared" si="52"/>
        <v>14128.67</v>
      </c>
      <c r="L179" s="52">
        <f t="shared" si="52"/>
        <v>11408.32</v>
      </c>
      <c r="M179" s="52">
        <f t="shared" si="52"/>
        <v>8773.12</v>
      </c>
      <c r="N179" s="52">
        <f t="shared" si="52"/>
        <v>11546.59</v>
      </c>
      <c r="P179" s="61">
        <f t="shared" si="38"/>
        <v>69755.98</v>
      </c>
    </row>
    <row r="180" spans="1:16" ht="11.25">
      <c r="A180" s="53" t="s">
        <v>140</v>
      </c>
      <c r="C180" s="52">
        <f aca="true" t="shared" si="53" ref="C180:N180">C50+C114</f>
        <v>0</v>
      </c>
      <c r="D180" s="52">
        <f t="shared" si="53"/>
        <v>0</v>
      </c>
      <c r="E180" s="52">
        <f t="shared" si="53"/>
        <v>0</v>
      </c>
      <c r="F180" s="52">
        <f t="shared" si="53"/>
        <v>0</v>
      </c>
      <c r="G180" s="52">
        <f t="shared" si="53"/>
        <v>3465.68</v>
      </c>
      <c r="H180" s="52">
        <f t="shared" si="53"/>
        <v>5438.44</v>
      </c>
      <c r="I180" s="52">
        <f t="shared" si="53"/>
        <v>6253.99</v>
      </c>
      <c r="J180" s="52">
        <f t="shared" si="53"/>
        <v>13567.36</v>
      </c>
      <c r="K180" s="52">
        <f t="shared" si="53"/>
        <v>9134.14</v>
      </c>
      <c r="L180" s="52">
        <f t="shared" si="53"/>
        <v>10619.58</v>
      </c>
      <c r="M180" s="52">
        <f t="shared" si="53"/>
        <v>7895.8</v>
      </c>
      <c r="N180" s="52">
        <f t="shared" si="53"/>
        <v>12288.689999999999</v>
      </c>
      <c r="P180" s="61">
        <f t="shared" si="38"/>
        <v>59759.56</v>
      </c>
    </row>
    <row r="181" spans="1:16" ht="11.25">
      <c r="A181" s="53" t="s">
        <v>141</v>
      </c>
      <c r="C181" s="52">
        <f aca="true" t="shared" si="54" ref="C181:N181">C51+C115</f>
        <v>0</v>
      </c>
      <c r="D181" s="52">
        <f t="shared" si="54"/>
        <v>0</v>
      </c>
      <c r="E181" s="52">
        <f t="shared" si="54"/>
        <v>0</v>
      </c>
      <c r="F181" s="52">
        <f t="shared" si="54"/>
        <v>0</v>
      </c>
      <c r="G181" s="52">
        <f t="shared" si="54"/>
        <v>1419.62</v>
      </c>
      <c r="H181" s="52">
        <f t="shared" si="54"/>
        <v>5895.87</v>
      </c>
      <c r="I181" s="52">
        <f t="shared" si="54"/>
        <v>9533.08</v>
      </c>
      <c r="J181" s="52">
        <f t="shared" si="54"/>
        <v>7623.29</v>
      </c>
      <c r="K181" s="52">
        <f t="shared" si="54"/>
        <v>11274.619999999999</v>
      </c>
      <c r="L181" s="52">
        <f t="shared" si="54"/>
        <v>9267.26</v>
      </c>
      <c r="M181" s="52">
        <f t="shared" si="54"/>
        <v>9453.630000000001</v>
      </c>
      <c r="N181" s="52">
        <f t="shared" si="54"/>
        <v>8846.11</v>
      </c>
      <c r="P181" s="61">
        <f t="shared" si="38"/>
        <v>55997.990000000005</v>
      </c>
    </row>
    <row r="182" spans="1:16" ht="11.25">
      <c r="A182" s="53" t="s">
        <v>142</v>
      </c>
      <c r="C182" s="52">
        <f aca="true" t="shared" si="55" ref="C182:N182">C52+C116</f>
        <v>0</v>
      </c>
      <c r="D182" s="52">
        <f t="shared" si="55"/>
        <v>0</v>
      </c>
      <c r="E182" s="52">
        <f t="shared" si="55"/>
        <v>0</v>
      </c>
      <c r="F182" s="52">
        <f t="shared" si="55"/>
        <v>0</v>
      </c>
      <c r="G182" s="52">
        <f t="shared" si="55"/>
        <v>787.31</v>
      </c>
      <c r="H182" s="52">
        <f t="shared" si="55"/>
        <v>1652.1</v>
      </c>
      <c r="I182" s="52">
        <f t="shared" si="55"/>
        <v>6326.97</v>
      </c>
      <c r="J182" s="52">
        <f t="shared" si="55"/>
        <v>2169.08</v>
      </c>
      <c r="K182" s="52">
        <f t="shared" si="55"/>
        <v>6591.66</v>
      </c>
      <c r="L182" s="52">
        <f t="shared" si="55"/>
        <v>5178.96</v>
      </c>
      <c r="M182" s="52">
        <f t="shared" si="55"/>
        <v>6427.29</v>
      </c>
      <c r="N182" s="52">
        <f t="shared" si="55"/>
        <v>8666.77</v>
      </c>
      <c r="P182" s="61">
        <f t="shared" si="38"/>
        <v>35360.729999999996</v>
      </c>
    </row>
    <row r="183" spans="1:16" ht="11.25">
      <c r="A183" s="53" t="s">
        <v>143</v>
      </c>
      <c r="C183" s="52">
        <f aca="true" t="shared" si="56" ref="C183:N183">C53+C117</f>
        <v>0</v>
      </c>
      <c r="D183" s="52">
        <f t="shared" si="56"/>
        <v>0</v>
      </c>
      <c r="E183" s="52">
        <f t="shared" si="56"/>
        <v>0</v>
      </c>
      <c r="F183" s="52">
        <f t="shared" si="56"/>
        <v>0</v>
      </c>
      <c r="G183" s="52">
        <f t="shared" si="56"/>
        <v>3760.63</v>
      </c>
      <c r="H183" s="52">
        <f t="shared" si="56"/>
        <v>5539.75</v>
      </c>
      <c r="I183" s="52">
        <f t="shared" si="56"/>
        <v>8363.76</v>
      </c>
      <c r="J183" s="52">
        <f t="shared" si="56"/>
        <v>11355</v>
      </c>
      <c r="K183" s="52">
        <f t="shared" si="56"/>
        <v>8317.95</v>
      </c>
      <c r="L183" s="52">
        <f t="shared" si="56"/>
        <v>4113.42</v>
      </c>
      <c r="M183" s="52">
        <f t="shared" si="56"/>
        <v>5461.900000000001</v>
      </c>
      <c r="N183" s="52">
        <f t="shared" si="56"/>
        <v>9623.76</v>
      </c>
      <c r="P183" s="61">
        <f t="shared" si="38"/>
        <v>47235.79000000001</v>
      </c>
    </row>
    <row r="184" spans="1:16" ht="11.25">
      <c r="A184" s="53" t="s">
        <v>144</v>
      </c>
      <c r="C184" s="52">
        <f aca="true" t="shared" si="57" ref="C184:N184">C54+C118</f>
        <v>0</v>
      </c>
      <c r="D184" s="52">
        <f t="shared" si="57"/>
        <v>0</v>
      </c>
      <c r="E184" s="52">
        <f t="shared" si="57"/>
        <v>0</v>
      </c>
      <c r="F184" s="52">
        <f t="shared" si="57"/>
        <v>0</v>
      </c>
      <c r="G184" s="52">
        <f t="shared" si="57"/>
        <v>1405.22</v>
      </c>
      <c r="H184" s="52">
        <f t="shared" si="57"/>
        <v>1630.39</v>
      </c>
      <c r="I184" s="52">
        <f t="shared" si="57"/>
        <v>8810.15</v>
      </c>
      <c r="J184" s="52">
        <f t="shared" si="57"/>
        <v>3127.7599999999998</v>
      </c>
      <c r="K184" s="52">
        <f t="shared" si="57"/>
        <v>6885.87</v>
      </c>
      <c r="L184" s="52">
        <f t="shared" si="57"/>
        <v>8573.81</v>
      </c>
      <c r="M184" s="52">
        <f t="shared" si="57"/>
        <v>4353.849999999999</v>
      </c>
      <c r="N184" s="52">
        <f t="shared" si="57"/>
        <v>11035.49</v>
      </c>
      <c r="P184" s="61">
        <f t="shared" si="38"/>
        <v>42786.92999999999</v>
      </c>
    </row>
    <row r="185" spans="1:16" ht="11.25">
      <c r="A185" s="53" t="s">
        <v>145</v>
      </c>
      <c r="C185" s="52">
        <f aca="true" t="shared" si="58" ref="C185:N185">C55+C119</f>
        <v>0</v>
      </c>
      <c r="D185" s="52">
        <f t="shared" si="58"/>
        <v>0</v>
      </c>
      <c r="E185" s="52">
        <f t="shared" si="58"/>
        <v>0</v>
      </c>
      <c r="F185" s="52">
        <f t="shared" si="58"/>
        <v>0</v>
      </c>
      <c r="G185" s="52">
        <f t="shared" si="58"/>
        <v>919.81</v>
      </c>
      <c r="H185" s="52">
        <f t="shared" si="58"/>
        <v>1798.18</v>
      </c>
      <c r="I185" s="52">
        <f t="shared" si="58"/>
        <v>5008.09</v>
      </c>
      <c r="J185" s="52">
        <f t="shared" si="58"/>
        <v>8126.91</v>
      </c>
      <c r="K185" s="52">
        <f t="shared" si="58"/>
        <v>6967.54</v>
      </c>
      <c r="L185" s="52">
        <f t="shared" si="58"/>
        <v>6661.2300000000005</v>
      </c>
      <c r="M185" s="52">
        <f t="shared" si="58"/>
        <v>7787.67</v>
      </c>
      <c r="N185" s="52">
        <f t="shared" si="58"/>
        <v>8116.389999999999</v>
      </c>
      <c r="P185" s="61">
        <f t="shared" si="38"/>
        <v>42667.83</v>
      </c>
    </row>
    <row r="186" spans="1:16" ht="11.25">
      <c r="A186" s="53" t="s">
        <v>146</v>
      </c>
      <c r="C186" s="52">
        <f aca="true" t="shared" si="59" ref="C186:N186">C56+C120</f>
        <v>0</v>
      </c>
      <c r="D186" s="52">
        <f t="shared" si="59"/>
        <v>0</v>
      </c>
      <c r="E186" s="52">
        <f t="shared" si="59"/>
        <v>0</v>
      </c>
      <c r="F186" s="52">
        <f t="shared" si="59"/>
        <v>0</v>
      </c>
      <c r="G186" s="52">
        <f t="shared" si="59"/>
        <v>498.56</v>
      </c>
      <c r="H186" s="52">
        <f t="shared" si="59"/>
        <v>1593.5</v>
      </c>
      <c r="I186" s="52">
        <f t="shared" si="59"/>
        <v>4276.97</v>
      </c>
      <c r="J186" s="52">
        <f t="shared" si="59"/>
        <v>4257.07</v>
      </c>
      <c r="K186" s="52">
        <f t="shared" si="59"/>
        <v>4356.61</v>
      </c>
      <c r="L186" s="52">
        <f t="shared" si="59"/>
        <v>4407.2</v>
      </c>
      <c r="M186" s="52">
        <f t="shared" si="59"/>
        <v>5457.66</v>
      </c>
      <c r="N186" s="52">
        <f t="shared" si="59"/>
        <v>7171.42</v>
      </c>
      <c r="P186" s="61">
        <f t="shared" si="38"/>
        <v>29926.93</v>
      </c>
    </row>
    <row r="187" spans="1:16" ht="11.25">
      <c r="A187" s="53" t="s">
        <v>147</v>
      </c>
      <c r="C187" s="52">
        <f aca="true" t="shared" si="60" ref="C187:N187">C57+C121</f>
        <v>0</v>
      </c>
      <c r="D187" s="52">
        <f t="shared" si="60"/>
        <v>0</v>
      </c>
      <c r="E187" s="52">
        <f t="shared" si="60"/>
        <v>0</v>
      </c>
      <c r="F187" s="52">
        <f t="shared" si="60"/>
        <v>0</v>
      </c>
      <c r="G187" s="52">
        <f t="shared" si="60"/>
        <v>1905.49</v>
      </c>
      <c r="H187" s="52">
        <f t="shared" si="60"/>
        <v>3300.5</v>
      </c>
      <c r="I187" s="52">
        <f t="shared" si="60"/>
        <v>9522.28</v>
      </c>
      <c r="J187" s="52">
        <f t="shared" si="60"/>
        <v>10544.91</v>
      </c>
      <c r="K187" s="52">
        <f t="shared" si="60"/>
        <v>14059.91</v>
      </c>
      <c r="L187" s="52">
        <f t="shared" si="60"/>
        <v>8838.58</v>
      </c>
      <c r="M187" s="52">
        <f t="shared" si="60"/>
        <v>3718.11</v>
      </c>
      <c r="N187" s="52">
        <f t="shared" si="60"/>
        <v>1523.26</v>
      </c>
      <c r="P187" s="61">
        <f t="shared" si="38"/>
        <v>48207.05000000001</v>
      </c>
    </row>
    <row r="188" spans="1:16" ht="11.25">
      <c r="A188" s="53" t="s">
        <v>108</v>
      </c>
      <c r="C188" s="52">
        <f aca="true" t="shared" si="61" ref="C188:N188">C58+C122</f>
        <v>0</v>
      </c>
      <c r="D188" s="52">
        <f t="shared" si="61"/>
        <v>0</v>
      </c>
      <c r="E188" s="52">
        <f t="shared" si="61"/>
        <v>0</v>
      </c>
      <c r="F188" s="52">
        <f t="shared" si="61"/>
        <v>0</v>
      </c>
      <c r="G188" s="52">
        <f t="shared" si="61"/>
        <v>1158.37</v>
      </c>
      <c r="H188" s="52">
        <f t="shared" si="61"/>
        <v>5323.33</v>
      </c>
      <c r="I188" s="52">
        <f t="shared" si="61"/>
        <v>7594.63</v>
      </c>
      <c r="J188" s="52">
        <f t="shared" si="61"/>
        <v>7062.57</v>
      </c>
      <c r="K188" s="52">
        <f t="shared" si="61"/>
        <v>12850.41</v>
      </c>
      <c r="L188" s="52">
        <f t="shared" si="61"/>
        <v>6182.53</v>
      </c>
      <c r="M188" s="52">
        <f t="shared" si="61"/>
        <v>9562.35</v>
      </c>
      <c r="N188" s="52">
        <f t="shared" si="61"/>
        <v>16564.690000000002</v>
      </c>
      <c r="P188" s="61">
        <f t="shared" si="38"/>
        <v>59817.18</v>
      </c>
    </row>
    <row r="189" spans="1:16" ht="11.25">
      <c r="A189" s="53" t="s">
        <v>148</v>
      </c>
      <c r="C189" s="52">
        <f aca="true" t="shared" si="62" ref="C189:N189">C59+C123</f>
        <v>0</v>
      </c>
      <c r="D189" s="52">
        <f t="shared" si="62"/>
        <v>0</v>
      </c>
      <c r="E189" s="52">
        <f t="shared" si="62"/>
        <v>0</v>
      </c>
      <c r="F189" s="52">
        <f t="shared" si="62"/>
        <v>0</v>
      </c>
      <c r="G189" s="52">
        <f t="shared" si="62"/>
        <v>413.4</v>
      </c>
      <c r="H189" s="52">
        <f t="shared" si="62"/>
        <v>1343.33</v>
      </c>
      <c r="I189" s="52">
        <f t="shared" si="62"/>
        <v>2766.79</v>
      </c>
      <c r="J189" s="52">
        <f t="shared" si="62"/>
        <v>6336.5199999999995</v>
      </c>
      <c r="K189" s="52">
        <f t="shared" si="62"/>
        <v>8226.6</v>
      </c>
      <c r="L189" s="52">
        <f t="shared" si="62"/>
        <v>8593.23</v>
      </c>
      <c r="M189" s="52">
        <f t="shared" si="62"/>
        <v>8161.31</v>
      </c>
      <c r="N189" s="52">
        <f t="shared" si="62"/>
        <v>10378.2</v>
      </c>
      <c r="P189" s="61">
        <f t="shared" si="38"/>
        <v>44462.649999999994</v>
      </c>
    </row>
    <row r="190" spans="1:16" ht="11.25">
      <c r="A190" s="53" t="s">
        <v>149</v>
      </c>
      <c r="C190" s="52">
        <f aca="true" t="shared" si="63" ref="C190:N190">C60+C124</f>
        <v>0</v>
      </c>
      <c r="D190" s="52">
        <f t="shared" si="63"/>
        <v>0</v>
      </c>
      <c r="E190" s="52">
        <f t="shared" si="63"/>
        <v>0</v>
      </c>
      <c r="F190" s="52">
        <f t="shared" si="63"/>
        <v>0</v>
      </c>
      <c r="G190" s="52">
        <f t="shared" si="63"/>
        <v>328.37</v>
      </c>
      <c r="H190" s="52">
        <f t="shared" si="63"/>
        <v>651.93</v>
      </c>
      <c r="I190" s="52">
        <f t="shared" si="63"/>
        <v>2840.22</v>
      </c>
      <c r="J190" s="52">
        <f t="shared" si="63"/>
        <v>6495.31</v>
      </c>
      <c r="K190" s="52">
        <f t="shared" si="63"/>
        <v>4230.8</v>
      </c>
      <c r="L190" s="52">
        <f t="shared" si="63"/>
        <v>3028.1</v>
      </c>
      <c r="M190" s="52">
        <f t="shared" si="63"/>
        <v>8250.87</v>
      </c>
      <c r="N190" s="52">
        <f t="shared" si="63"/>
        <v>6554.98</v>
      </c>
      <c r="P190" s="61">
        <f t="shared" si="38"/>
        <v>31400.280000000002</v>
      </c>
    </row>
    <row r="191" spans="1:16" ht="11.25">
      <c r="A191" s="53" t="s">
        <v>150</v>
      </c>
      <c r="C191" s="52">
        <f aca="true" t="shared" si="64" ref="C191:N191">C61+C125</f>
        <v>0</v>
      </c>
      <c r="D191" s="52">
        <f t="shared" si="64"/>
        <v>0</v>
      </c>
      <c r="E191" s="52">
        <f t="shared" si="64"/>
        <v>0</v>
      </c>
      <c r="F191" s="52">
        <f t="shared" si="64"/>
        <v>0</v>
      </c>
      <c r="G191" s="52">
        <f t="shared" si="64"/>
        <v>298.56</v>
      </c>
      <c r="H191" s="52">
        <f t="shared" si="64"/>
        <v>3307.84</v>
      </c>
      <c r="I191" s="52">
        <f t="shared" si="64"/>
        <v>10655.74</v>
      </c>
      <c r="J191" s="52">
        <f t="shared" si="64"/>
        <v>9823.93</v>
      </c>
      <c r="K191" s="52">
        <f t="shared" si="64"/>
        <v>8979.830000000002</v>
      </c>
      <c r="L191" s="52">
        <f t="shared" si="64"/>
        <v>10980.560000000001</v>
      </c>
      <c r="M191" s="52">
        <f t="shared" si="64"/>
        <v>10664.65</v>
      </c>
      <c r="N191" s="52">
        <f t="shared" si="64"/>
        <v>13331.66</v>
      </c>
      <c r="P191" s="61">
        <f t="shared" si="38"/>
        <v>64436.369999999995</v>
      </c>
    </row>
    <row r="192" spans="1:16" ht="11.25">
      <c r="A192" s="53" t="s">
        <v>151</v>
      </c>
      <c r="C192" s="52">
        <f aca="true" t="shared" si="65" ref="C192:N192">C62+C126</f>
        <v>0</v>
      </c>
      <c r="D192" s="52">
        <f t="shared" si="65"/>
        <v>0</v>
      </c>
      <c r="E192" s="52">
        <f t="shared" si="65"/>
        <v>0</v>
      </c>
      <c r="F192" s="52">
        <f t="shared" si="65"/>
        <v>0</v>
      </c>
      <c r="G192" s="52">
        <f t="shared" si="65"/>
        <v>653.56</v>
      </c>
      <c r="H192" s="52">
        <f t="shared" si="65"/>
        <v>5166.71</v>
      </c>
      <c r="I192" s="52">
        <f t="shared" si="65"/>
        <v>11654.67</v>
      </c>
      <c r="J192" s="52">
        <f t="shared" si="65"/>
        <v>11472.91</v>
      </c>
      <c r="K192" s="52">
        <f t="shared" si="65"/>
        <v>11806.55</v>
      </c>
      <c r="L192" s="52">
        <f t="shared" si="65"/>
        <v>10712.98</v>
      </c>
      <c r="M192" s="52">
        <f t="shared" si="65"/>
        <v>9319.240000000002</v>
      </c>
      <c r="N192" s="52">
        <f t="shared" si="65"/>
        <v>13289.84</v>
      </c>
      <c r="P192" s="61">
        <f t="shared" si="38"/>
        <v>68256.19</v>
      </c>
    </row>
    <row r="193" spans="1:16" ht="11.25">
      <c r="A193" s="53" t="s">
        <v>122</v>
      </c>
      <c r="C193" s="52">
        <f aca="true" t="shared" si="66" ref="C193:N193">C63+C127</f>
        <v>0</v>
      </c>
      <c r="D193" s="52">
        <f t="shared" si="66"/>
        <v>0</v>
      </c>
      <c r="E193" s="52">
        <f t="shared" si="66"/>
        <v>0</v>
      </c>
      <c r="F193" s="52">
        <f t="shared" si="66"/>
        <v>0</v>
      </c>
      <c r="G193" s="52">
        <f t="shared" si="66"/>
        <v>935.87</v>
      </c>
      <c r="H193" s="52">
        <f t="shared" si="66"/>
        <v>1140.65</v>
      </c>
      <c r="I193" s="52">
        <f t="shared" si="66"/>
        <v>3477.76</v>
      </c>
      <c r="J193" s="52">
        <f t="shared" si="66"/>
        <v>4281.31</v>
      </c>
      <c r="K193" s="52">
        <f t="shared" si="66"/>
        <v>3969.85</v>
      </c>
      <c r="L193" s="52">
        <f t="shared" si="66"/>
        <v>4130.91</v>
      </c>
      <c r="M193" s="52">
        <f t="shared" si="66"/>
        <v>4654.7</v>
      </c>
      <c r="N193" s="52">
        <f t="shared" si="66"/>
        <v>5648.59</v>
      </c>
      <c r="P193" s="61">
        <f t="shared" si="38"/>
        <v>26163.12</v>
      </c>
    </row>
    <row r="194" spans="1:16" ht="11.25">
      <c r="A194" s="53" t="s">
        <v>153</v>
      </c>
      <c r="C194" s="52">
        <f aca="true" t="shared" si="67" ref="C194:N194">C64+C128</f>
        <v>0</v>
      </c>
      <c r="D194" s="52">
        <f t="shared" si="67"/>
        <v>0</v>
      </c>
      <c r="E194" s="52">
        <f t="shared" si="67"/>
        <v>0</v>
      </c>
      <c r="F194" s="52">
        <f t="shared" si="67"/>
        <v>0</v>
      </c>
      <c r="G194" s="52">
        <f t="shared" si="67"/>
        <v>0</v>
      </c>
      <c r="H194" s="52">
        <f t="shared" si="67"/>
        <v>0</v>
      </c>
      <c r="I194" s="52">
        <f t="shared" si="67"/>
        <v>0</v>
      </c>
      <c r="J194" s="52">
        <f t="shared" si="67"/>
        <v>0</v>
      </c>
      <c r="K194" s="52">
        <f t="shared" si="67"/>
        <v>0</v>
      </c>
      <c r="L194" s="52">
        <f t="shared" si="67"/>
        <v>0</v>
      </c>
      <c r="M194" s="52">
        <f t="shared" si="67"/>
        <v>0</v>
      </c>
      <c r="N194" s="52">
        <f t="shared" si="67"/>
        <v>2751.32</v>
      </c>
      <c r="P194" s="61">
        <f t="shared" si="38"/>
        <v>2751.32</v>
      </c>
    </row>
    <row r="195" spans="1:15" ht="11.25">
      <c r="A195" s="56" t="s">
        <v>170</v>
      </c>
      <c r="C195" s="57">
        <f aca="true" t="shared" si="68" ref="C195:N195">SUM(C165:C194)</f>
        <v>0</v>
      </c>
      <c r="D195" s="57">
        <f t="shared" si="68"/>
        <v>0</v>
      </c>
      <c r="E195" s="57">
        <f t="shared" si="68"/>
        <v>0</v>
      </c>
      <c r="F195" s="57">
        <f t="shared" si="68"/>
        <v>0</v>
      </c>
      <c r="G195" s="57">
        <f t="shared" si="68"/>
        <v>48327.409999999996</v>
      </c>
      <c r="H195" s="57">
        <f t="shared" si="68"/>
        <v>364009.45000000007</v>
      </c>
      <c r="I195" s="57">
        <f t="shared" si="68"/>
        <v>648142.4999999999</v>
      </c>
      <c r="J195" s="57">
        <f t="shared" si="68"/>
        <v>531868.4600000001</v>
      </c>
      <c r="K195" s="57">
        <f t="shared" si="68"/>
        <v>558938.48</v>
      </c>
      <c r="L195" s="57">
        <f t="shared" si="68"/>
        <v>506235.73</v>
      </c>
      <c r="M195" s="57">
        <f t="shared" si="68"/>
        <v>255605.9</v>
      </c>
      <c r="N195" s="57">
        <f t="shared" si="68"/>
        <v>872952.6299999999</v>
      </c>
      <c r="O195" s="64">
        <f>SUM(C195:N195)</f>
        <v>3786080.5599999996</v>
      </c>
    </row>
    <row r="196" ht="11.25">
      <c r="O196" s="69">
        <f>O195+O162</f>
        <v>6340625.589999998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AB197"/>
  <sheetViews>
    <sheetView workbookViewId="0" topLeftCell="A1">
      <selection activeCell="A1" sqref="A1"/>
    </sheetView>
  </sheetViews>
  <sheetFormatPr defaultColWidth="9.140625" defaultRowHeight="12.75"/>
  <cols>
    <col min="1" max="1" width="20.8515625" style="45" customWidth="1"/>
    <col min="2" max="13" width="10.7109375" style="45" customWidth="1"/>
    <col min="14" max="14" width="9.140625" style="45" customWidth="1"/>
    <col min="15" max="26" width="10.7109375" style="45" customWidth="1"/>
    <col min="27" max="27" width="9.140625" style="45" customWidth="1"/>
    <col min="28" max="28" width="10.28125" style="45" customWidth="1"/>
    <col min="29" max="16384" width="9.140625" style="45" customWidth="1"/>
  </cols>
  <sheetData>
    <row r="3" spans="1:26" ht="11.25">
      <c r="A3" s="42"/>
      <c r="B3" s="43" t="s">
        <v>156</v>
      </c>
      <c r="C3" s="43" t="s">
        <v>157</v>
      </c>
      <c r="D3" s="43" t="s">
        <v>158</v>
      </c>
      <c r="E3" s="43" t="s">
        <v>159</v>
      </c>
      <c r="F3" s="43" t="s">
        <v>160</v>
      </c>
      <c r="G3" s="43" t="s">
        <v>161</v>
      </c>
      <c r="H3" s="43" t="s">
        <v>162</v>
      </c>
      <c r="I3" s="43" t="s">
        <v>163</v>
      </c>
      <c r="J3" s="43" t="s">
        <v>164</v>
      </c>
      <c r="K3" s="43" t="s">
        <v>165</v>
      </c>
      <c r="L3" s="43" t="s">
        <v>166</v>
      </c>
      <c r="M3" s="63" t="s">
        <v>173</v>
      </c>
      <c r="O3" s="46" t="s">
        <v>156</v>
      </c>
      <c r="P3" s="43" t="s">
        <v>157</v>
      </c>
      <c r="Q3" s="43" t="s">
        <v>158</v>
      </c>
      <c r="R3" s="43" t="s">
        <v>159</v>
      </c>
      <c r="S3" s="43" t="s">
        <v>160</v>
      </c>
      <c r="T3" s="43" t="s">
        <v>161</v>
      </c>
      <c r="U3" s="43" t="s">
        <v>162</v>
      </c>
      <c r="V3" s="43" t="s">
        <v>163</v>
      </c>
      <c r="W3" s="43" t="s">
        <v>164</v>
      </c>
      <c r="X3" s="43" t="s">
        <v>165</v>
      </c>
      <c r="Y3" s="43" t="s">
        <v>166</v>
      </c>
      <c r="Z3" s="63" t="s">
        <v>173</v>
      </c>
    </row>
    <row r="4" spans="1:26" ht="11.25">
      <c r="A4" s="47"/>
      <c r="B4" s="48">
        <v>2510</v>
      </c>
      <c r="C4" s="48">
        <v>2510</v>
      </c>
      <c r="D4" s="48">
        <v>2510</v>
      </c>
      <c r="E4" s="48">
        <v>2510</v>
      </c>
      <c r="F4" s="48">
        <v>2510</v>
      </c>
      <c r="G4" s="48">
        <v>2510</v>
      </c>
      <c r="H4" s="48">
        <v>2510</v>
      </c>
      <c r="I4" s="48">
        <v>2510</v>
      </c>
      <c r="J4" s="48">
        <v>2510</v>
      </c>
      <c r="K4" s="48">
        <v>2510</v>
      </c>
      <c r="L4" s="48">
        <v>2510</v>
      </c>
      <c r="M4" s="49">
        <v>2510</v>
      </c>
      <c r="O4" s="50">
        <v>2510</v>
      </c>
      <c r="P4" s="48">
        <v>2510</v>
      </c>
      <c r="Q4" s="48">
        <v>2510</v>
      </c>
      <c r="R4" s="48">
        <v>2510</v>
      </c>
      <c r="S4" s="48">
        <v>2510</v>
      </c>
      <c r="T4" s="48">
        <v>2510</v>
      </c>
      <c r="U4" s="48">
        <v>2510</v>
      </c>
      <c r="V4" s="48">
        <v>2510</v>
      </c>
      <c r="W4" s="48">
        <v>2510</v>
      </c>
      <c r="X4" s="48">
        <v>2510</v>
      </c>
      <c r="Y4" s="48">
        <v>2510</v>
      </c>
      <c r="Z4" s="49">
        <v>2510</v>
      </c>
    </row>
    <row r="5" spans="1:26" ht="11.25">
      <c r="A5" s="51" t="s">
        <v>167</v>
      </c>
      <c r="B5" s="52">
        <v>0</v>
      </c>
      <c r="C5" s="52">
        <v>0</v>
      </c>
      <c r="D5" s="52">
        <v>40000</v>
      </c>
      <c r="E5" s="52">
        <v>40000</v>
      </c>
      <c r="F5" s="52">
        <v>0</v>
      </c>
      <c r="G5" s="52">
        <v>0</v>
      </c>
      <c r="H5" s="52">
        <v>0</v>
      </c>
      <c r="I5" s="52">
        <v>0</v>
      </c>
      <c r="J5" s="52">
        <v>0</v>
      </c>
      <c r="K5" s="52">
        <v>0</v>
      </c>
      <c r="L5" s="52">
        <v>0</v>
      </c>
      <c r="M5" s="52">
        <v>0</v>
      </c>
      <c r="O5" s="52">
        <f>B5</f>
        <v>0</v>
      </c>
      <c r="P5" s="52">
        <f aca="true" t="shared" si="0" ref="P5:X5">C5-B5</f>
        <v>0</v>
      </c>
      <c r="Q5" s="52">
        <f t="shared" si="0"/>
        <v>40000</v>
      </c>
      <c r="R5" s="52">
        <f t="shared" si="0"/>
        <v>0</v>
      </c>
      <c r="S5" s="52">
        <f t="shared" si="0"/>
        <v>-40000</v>
      </c>
      <c r="T5" s="52">
        <f t="shared" si="0"/>
        <v>0</v>
      </c>
      <c r="U5" s="52">
        <f t="shared" si="0"/>
        <v>0</v>
      </c>
      <c r="V5" s="52">
        <f t="shared" si="0"/>
        <v>0</v>
      </c>
      <c r="W5" s="52">
        <f t="shared" si="0"/>
        <v>0</v>
      </c>
      <c r="X5" s="52">
        <f t="shared" si="0"/>
        <v>0</v>
      </c>
      <c r="Y5" s="52">
        <f aca="true" t="shared" si="1" ref="Y5:Z20">L5-K5</f>
        <v>0</v>
      </c>
      <c r="Z5" s="52">
        <f t="shared" si="1"/>
        <v>0</v>
      </c>
    </row>
    <row r="6" spans="1:26" ht="11.25">
      <c r="A6" s="51" t="s">
        <v>99</v>
      </c>
      <c r="B6" s="52">
        <v>0</v>
      </c>
      <c r="C6" s="52">
        <v>25397</v>
      </c>
      <c r="D6" s="52">
        <v>25397</v>
      </c>
      <c r="E6" s="52">
        <v>27915</v>
      </c>
      <c r="F6" s="52">
        <v>27915</v>
      </c>
      <c r="G6" s="52">
        <v>27915</v>
      </c>
      <c r="H6" s="52">
        <v>27915</v>
      </c>
      <c r="I6" s="52">
        <v>27915</v>
      </c>
      <c r="J6" s="52">
        <v>27915</v>
      </c>
      <c r="K6" s="52">
        <v>27915</v>
      </c>
      <c r="L6" s="52">
        <v>27915</v>
      </c>
      <c r="M6" s="52">
        <v>27915</v>
      </c>
      <c r="O6" s="52">
        <f>B6</f>
        <v>0</v>
      </c>
      <c r="P6" s="52">
        <f aca="true" t="shared" si="2" ref="P6:P33">C6-B6</f>
        <v>25397</v>
      </c>
      <c r="Q6" s="52">
        <f aca="true" t="shared" si="3" ref="Q6:Q20">D6-C6</f>
        <v>0</v>
      </c>
      <c r="R6" s="52">
        <f aca="true" t="shared" si="4" ref="R6:R20">E6-D6</f>
        <v>2518</v>
      </c>
      <c r="S6" s="52">
        <f aca="true" t="shared" si="5" ref="S6:S20">F6-E6</f>
        <v>0</v>
      </c>
      <c r="T6" s="52">
        <f aca="true" t="shared" si="6" ref="T6:T20">G6-F6</f>
        <v>0</v>
      </c>
      <c r="U6" s="52">
        <f aca="true" t="shared" si="7" ref="U6:U20">H6-G6</f>
        <v>0</v>
      </c>
      <c r="V6" s="52">
        <f aca="true" t="shared" si="8" ref="V6:V20">I6-H6</f>
        <v>0</v>
      </c>
      <c r="W6" s="52">
        <f aca="true" t="shared" si="9" ref="W6:W20">J6-I6</f>
        <v>0</v>
      </c>
      <c r="X6" s="52">
        <f aca="true" t="shared" si="10" ref="X6:X20">K6-J6</f>
        <v>0</v>
      </c>
      <c r="Y6" s="52">
        <f t="shared" si="1"/>
        <v>0</v>
      </c>
      <c r="Z6" s="52">
        <f t="shared" si="1"/>
        <v>0</v>
      </c>
    </row>
    <row r="7" spans="1:26" ht="11.25">
      <c r="A7" s="53" t="s">
        <v>100</v>
      </c>
      <c r="B7" s="52">
        <v>0</v>
      </c>
      <c r="C7" s="52">
        <v>0</v>
      </c>
      <c r="D7" s="52">
        <v>0</v>
      </c>
      <c r="E7" s="52">
        <v>0</v>
      </c>
      <c r="F7" s="52">
        <v>0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0</v>
      </c>
      <c r="O7" s="52">
        <f aca="true" t="shared" si="11" ref="O7:O64">B7</f>
        <v>0</v>
      </c>
      <c r="P7" s="52">
        <f t="shared" si="2"/>
        <v>0</v>
      </c>
      <c r="Q7" s="52">
        <f t="shared" si="3"/>
        <v>0</v>
      </c>
      <c r="R7" s="52">
        <f t="shared" si="4"/>
        <v>0</v>
      </c>
      <c r="S7" s="52">
        <f t="shared" si="5"/>
        <v>0</v>
      </c>
      <c r="T7" s="52">
        <f t="shared" si="6"/>
        <v>0</v>
      </c>
      <c r="U7" s="52">
        <f t="shared" si="7"/>
        <v>0</v>
      </c>
      <c r="V7" s="52">
        <f t="shared" si="8"/>
        <v>0</v>
      </c>
      <c r="W7" s="52">
        <f t="shared" si="9"/>
        <v>0</v>
      </c>
      <c r="X7" s="52">
        <f t="shared" si="10"/>
        <v>0</v>
      </c>
      <c r="Y7" s="52">
        <f t="shared" si="1"/>
        <v>0</v>
      </c>
      <c r="Z7" s="52">
        <f t="shared" si="1"/>
        <v>0</v>
      </c>
    </row>
    <row r="8" spans="1:26" ht="11.25">
      <c r="A8" s="53" t="s">
        <v>101</v>
      </c>
      <c r="B8" s="52">
        <v>0</v>
      </c>
      <c r="C8" s="52">
        <v>59458</v>
      </c>
      <c r="D8" s="52">
        <v>59480.22</v>
      </c>
      <c r="E8" s="52">
        <v>59480.22</v>
      </c>
      <c r="F8" s="52">
        <v>59480.22</v>
      </c>
      <c r="G8" s="52">
        <v>59480.22</v>
      </c>
      <c r="H8" s="52">
        <v>59480.22</v>
      </c>
      <c r="I8" s="52">
        <v>59480.22</v>
      </c>
      <c r="J8" s="52">
        <v>59480.22</v>
      </c>
      <c r="K8" s="52">
        <v>59480.22</v>
      </c>
      <c r="L8" s="52">
        <v>59480.22</v>
      </c>
      <c r="M8" s="52">
        <v>59480.22</v>
      </c>
      <c r="O8" s="52">
        <f t="shared" si="11"/>
        <v>0</v>
      </c>
      <c r="P8" s="52">
        <f t="shared" si="2"/>
        <v>59458</v>
      </c>
      <c r="Q8" s="52">
        <f t="shared" si="3"/>
        <v>22.220000000001164</v>
      </c>
      <c r="R8" s="52">
        <f t="shared" si="4"/>
        <v>0</v>
      </c>
      <c r="S8" s="52">
        <f t="shared" si="5"/>
        <v>0</v>
      </c>
      <c r="T8" s="52">
        <f t="shared" si="6"/>
        <v>0</v>
      </c>
      <c r="U8" s="52">
        <f t="shared" si="7"/>
        <v>0</v>
      </c>
      <c r="V8" s="52">
        <f t="shared" si="8"/>
        <v>0</v>
      </c>
      <c r="W8" s="52">
        <f t="shared" si="9"/>
        <v>0</v>
      </c>
      <c r="X8" s="52">
        <f t="shared" si="10"/>
        <v>0</v>
      </c>
      <c r="Y8" s="52">
        <f t="shared" si="1"/>
        <v>0</v>
      </c>
      <c r="Z8" s="52">
        <f t="shared" si="1"/>
        <v>0</v>
      </c>
    </row>
    <row r="9" spans="1:26" ht="11.25">
      <c r="A9" s="53" t="s">
        <v>102</v>
      </c>
      <c r="B9" s="52">
        <v>2283</v>
      </c>
      <c r="C9" s="52">
        <v>36702</v>
      </c>
      <c r="D9" s="52">
        <v>94722</v>
      </c>
      <c r="E9" s="52">
        <v>146577</v>
      </c>
      <c r="F9" s="52">
        <v>146577</v>
      </c>
      <c r="G9" s="52">
        <v>146577</v>
      </c>
      <c r="H9" s="52">
        <v>146577</v>
      </c>
      <c r="I9" s="52">
        <v>146577</v>
      </c>
      <c r="J9" s="52">
        <v>146577</v>
      </c>
      <c r="K9" s="52">
        <v>146577</v>
      </c>
      <c r="L9" s="52">
        <v>146577</v>
      </c>
      <c r="M9" s="52">
        <v>146577</v>
      </c>
      <c r="O9" s="52">
        <f t="shared" si="11"/>
        <v>2283</v>
      </c>
      <c r="P9" s="52">
        <f t="shared" si="2"/>
        <v>34419</v>
      </c>
      <c r="Q9" s="52">
        <f t="shared" si="3"/>
        <v>58020</v>
      </c>
      <c r="R9" s="52">
        <f t="shared" si="4"/>
        <v>51855</v>
      </c>
      <c r="S9" s="52">
        <f t="shared" si="5"/>
        <v>0</v>
      </c>
      <c r="T9" s="52">
        <f t="shared" si="6"/>
        <v>0</v>
      </c>
      <c r="U9" s="52">
        <f t="shared" si="7"/>
        <v>0</v>
      </c>
      <c r="V9" s="52">
        <f t="shared" si="8"/>
        <v>0</v>
      </c>
      <c r="W9" s="52">
        <f t="shared" si="9"/>
        <v>0</v>
      </c>
      <c r="X9" s="52">
        <f t="shared" si="10"/>
        <v>0</v>
      </c>
      <c r="Y9" s="52">
        <f t="shared" si="1"/>
        <v>0</v>
      </c>
      <c r="Z9" s="52">
        <f t="shared" si="1"/>
        <v>0</v>
      </c>
    </row>
    <row r="10" spans="1:26" ht="11.25">
      <c r="A10" s="53" t="s">
        <v>103</v>
      </c>
      <c r="B10" s="52">
        <v>9235.8</v>
      </c>
      <c r="C10" s="52">
        <v>9235.8</v>
      </c>
      <c r="D10" s="52">
        <v>8569.8</v>
      </c>
      <c r="E10" s="52">
        <v>8569.8</v>
      </c>
      <c r="F10" s="52">
        <v>8569.8</v>
      </c>
      <c r="G10" s="52">
        <v>8569.8</v>
      </c>
      <c r="H10" s="52">
        <v>8569.8</v>
      </c>
      <c r="I10" s="52">
        <v>8569.8</v>
      </c>
      <c r="J10" s="52">
        <v>8569.8</v>
      </c>
      <c r="K10" s="52">
        <v>8569.8</v>
      </c>
      <c r="L10" s="52">
        <v>8569.8</v>
      </c>
      <c r="M10" s="52">
        <v>8569.8</v>
      </c>
      <c r="O10" s="52">
        <f t="shared" si="11"/>
        <v>9235.8</v>
      </c>
      <c r="P10" s="52">
        <f t="shared" si="2"/>
        <v>0</v>
      </c>
      <c r="Q10" s="52">
        <f t="shared" si="3"/>
        <v>-666</v>
      </c>
      <c r="R10" s="52">
        <f t="shared" si="4"/>
        <v>0</v>
      </c>
      <c r="S10" s="52">
        <f t="shared" si="5"/>
        <v>0</v>
      </c>
      <c r="T10" s="52">
        <f t="shared" si="6"/>
        <v>0</v>
      </c>
      <c r="U10" s="52">
        <f t="shared" si="7"/>
        <v>0</v>
      </c>
      <c r="V10" s="52">
        <f t="shared" si="8"/>
        <v>0</v>
      </c>
      <c r="W10" s="52">
        <f t="shared" si="9"/>
        <v>0</v>
      </c>
      <c r="X10" s="52">
        <f t="shared" si="10"/>
        <v>0</v>
      </c>
      <c r="Y10" s="52">
        <f t="shared" si="1"/>
        <v>0</v>
      </c>
      <c r="Z10" s="52">
        <f t="shared" si="1"/>
        <v>0</v>
      </c>
    </row>
    <row r="11" spans="1:26" ht="11.25">
      <c r="A11" s="53" t="s">
        <v>104</v>
      </c>
      <c r="B11" s="52">
        <v>28952</v>
      </c>
      <c r="C11" s="52">
        <v>28952</v>
      </c>
      <c r="D11" s="52">
        <v>28952</v>
      </c>
      <c r="E11" s="52">
        <v>28952</v>
      </c>
      <c r="F11" s="52">
        <v>28952</v>
      </c>
      <c r="G11" s="52">
        <v>28952</v>
      </c>
      <c r="H11" s="52">
        <v>28952</v>
      </c>
      <c r="I11" s="52">
        <v>28952</v>
      </c>
      <c r="J11" s="52">
        <v>28952</v>
      </c>
      <c r="K11" s="52">
        <v>28952</v>
      </c>
      <c r="L11" s="52">
        <v>28952</v>
      </c>
      <c r="M11" s="52">
        <v>28952</v>
      </c>
      <c r="O11" s="52">
        <f t="shared" si="11"/>
        <v>28952</v>
      </c>
      <c r="P11" s="52">
        <f t="shared" si="2"/>
        <v>0</v>
      </c>
      <c r="Q11" s="52">
        <f t="shared" si="3"/>
        <v>0</v>
      </c>
      <c r="R11" s="52">
        <f t="shared" si="4"/>
        <v>0</v>
      </c>
      <c r="S11" s="52">
        <f t="shared" si="5"/>
        <v>0</v>
      </c>
      <c r="T11" s="52">
        <f t="shared" si="6"/>
        <v>0</v>
      </c>
      <c r="U11" s="52">
        <f t="shared" si="7"/>
        <v>0</v>
      </c>
      <c r="V11" s="52">
        <f t="shared" si="8"/>
        <v>0</v>
      </c>
      <c r="W11" s="52">
        <f t="shared" si="9"/>
        <v>0</v>
      </c>
      <c r="X11" s="52">
        <f t="shared" si="10"/>
        <v>0</v>
      </c>
      <c r="Y11" s="52">
        <f t="shared" si="1"/>
        <v>0</v>
      </c>
      <c r="Z11" s="52">
        <f t="shared" si="1"/>
        <v>0</v>
      </c>
    </row>
    <row r="12" spans="1:26" ht="11.25">
      <c r="A12" s="53" t="s">
        <v>105</v>
      </c>
      <c r="B12" s="52">
        <v>0</v>
      </c>
      <c r="C12" s="52">
        <v>21473</v>
      </c>
      <c r="D12" s="52">
        <v>21473</v>
      </c>
      <c r="E12" s="52">
        <v>21473</v>
      </c>
      <c r="F12" s="52">
        <v>21473</v>
      </c>
      <c r="G12" s="52">
        <v>21473</v>
      </c>
      <c r="H12" s="52">
        <v>21473</v>
      </c>
      <c r="I12" s="52">
        <v>21473</v>
      </c>
      <c r="J12" s="52">
        <v>21473</v>
      </c>
      <c r="K12" s="52">
        <v>21473</v>
      </c>
      <c r="L12" s="52">
        <v>21473</v>
      </c>
      <c r="M12" s="52">
        <v>21473</v>
      </c>
      <c r="O12" s="52">
        <f t="shared" si="11"/>
        <v>0</v>
      </c>
      <c r="P12" s="52">
        <f t="shared" si="2"/>
        <v>21473</v>
      </c>
      <c r="Q12" s="52">
        <f t="shared" si="3"/>
        <v>0</v>
      </c>
      <c r="R12" s="52">
        <f t="shared" si="4"/>
        <v>0</v>
      </c>
      <c r="S12" s="52">
        <f t="shared" si="5"/>
        <v>0</v>
      </c>
      <c r="T12" s="52">
        <f t="shared" si="6"/>
        <v>0</v>
      </c>
      <c r="U12" s="52">
        <f t="shared" si="7"/>
        <v>0</v>
      </c>
      <c r="V12" s="52">
        <f t="shared" si="8"/>
        <v>0</v>
      </c>
      <c r="W12" s="52">
        <f t="shared" si="9"/>
        <v>0</v>
      </c>
      <c r="X12" s="52">
        <f t="shared" si="10"/>
        <v>0</v>
      </c>
      <c r="Y12" s="52">
        <f t="shared" si="1"/>
        <v>0</v>
      </c>
      <c r="Z12" s="52">
        <f t="shared" si="1"/>
        <v>0</v>
      </c>
    </row>
    <row r="13" spans="1:26" ht="11.25">
      <c r="A13" s="53" t="s">
        <v>106</v>
      </c>
      <c r="B13" s="52">
        <v>0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O13" s="52">
        <f t="shared" si="11"/>
        <v>0</v>
      </c>
      <c r="P13" s="52">
        <f t="shared" si="2"/>
        <v>0</v>
      </c>
      <c r="Q13" s="52">
        <f t="shared" si="3"/>
        <v>0</v>
      </c>
      <c r="R13" s="52">
        <f t="shared" si="4"/>
        <v>0</v>
      </c>
      <c r="S13" s="52">
        <f t="shared" si="5"/>
        <v>0</v>
      </c>
      <c r="T13" s="52">
        <f t="shared" si="6"/>
        <v>0</v>
      </c>
      <c r="U13" s="52">
        <f t="shared" si="7"/>
        <v>0</v>
      </c>
      <c r="V13" s="52">
        <f t="shared" si="8"/>
        <v>0</v>
      </c>
      <c r="W13" s="52">
        <f t="shared" si="9"/>
        <v>0</v>
      </c>
      <c r="X13" s="52">
        <f t="shared" si="10"/>
        <v>0</v>
      </c>
      <c r="Y13" s="52">
        <f t="shared" si="1"/>
        <v>0</v>
      </c>
      <c r="Z13" s="52">
        <f t="shared" si="1"/>
        <v>0</v>
      </c>
    </row>
    <row r="14" spans="1:26" ht="11.25">
      <c r="A14" s="53" t="s">
        <v>107</v>
      </c>
      <c r="B14" s="52">
        <v>0</v>
      </c>
      <c r="C14" s="52">
        <v>0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O14" s="52">
        <f t="shared" si="11"/>
        <v>0</v>
      </c>
      <c r="P14" s="52">
        <f t="shared" si="2"/>
        <v>0</v>
      </c>
      <c r="Q14" s="52">
        <f t="shared" si="3"/>
        <v>0</v>
      </c>
      <c r="R14" s="52">
        <f t="shared" si="4"/>
        <v>0</v>
      </c>
      <c r="S14" s="52">
        <f t="shared" si="5"/>
        <v>0</v>
      </c>
      <c r="T14" s="52">
        <f t="shared" si="6"/>
        <v>0</v>
      </c>
      <c r="U14" s="52">
        <f t="shared" si="7"/>
        <v>0</v>
      </c>
      <c r="V14" s="52">
        <f t="shared" si="8"/>
        <v>0</v>
      </c>
      <c r="W14" s="52">
        <f t="shared" si="9"/>
        <v>0</v>
      </c>
      <c r="X14" s="52">
        <f t="shared" si="10"/>
        <v>0</v>
      </c>
      <c r="Y14" s="52">
        <f t="shared" si="1"/>
        <v>0</v>
      </c>
      <c r="Z14" s="52">
        <f t="shared" si="1"/>
        <v>0</v>
      </c>
    </row>
    <row r="15" spans="1:26" ht="11.25">
      <c r="A15" s="53" t="s">
        <v>108</v>
      </c>
      <c r="B15" s="52">
        <v>38298</v>
      </c>
      <c r="C15" s="52">
        <v>38298</v>
      </c>
      <c r="D15" s="52">
        <v>45887</v>
      </c>
      <c r="E15" s="52">
        <v>45887</v>
      </c>
      <c r="F15" s="52">
        <v>45887</v>
      </c>
      <c r="G15" s="52">
        <v>45887</v>
      </c>
      <c r="H15" s="52">
        <v>45887</v>
      </c>
      <c r="I15" s="52">
        <v>45887</v>
      </c>
      <c r="J15" s="52">
        <v>45887</v>
      </c>
      <c r="K15" s="52">
        <v>45887</v>
      </c>
      <c r="L15" s="52">
        <v>45887</v>
      </c>
      <c r="M15" s="52">
        <v>45887</v>
      </c>
      <c r="O15" s="52">
        <f t="shared" si="11"/>
        <v>38298</v>
      </c>
      <c r="P15" s="52">
        <f t="shared" si="2"/>
        <v>0</v>
      </c>
      <c r="Q15" s="52">
        <f t="shared" si="3"/>
        <v>7589</v>
      </c>
      <c r="R15" s="52">
        <f t="shared" si="4"/>
        <v>0</v>
      </c>
      <c r="S15" s="52">
        <f t="shared" si="5"/>
        <v>0</v>
      </c>
      <c r="T15" s="52">
        <f t="shared" si="6"/>
        <v>0</v>
      </c>
      <c r="U15" s="52">
        <f t="shared" si="7"/>
        <v>0</v>
      </c>
      <c r="V15" s="52">
        <f t="shared" si="8"/>
        <v>0</v>
      </c>
      <c r="W15" s="52">
        <f t="shared" si="9"/>
        <v>0</v>
      </c>
      <c r="X15" s="52">
        <f t="shared" si="10"/>
        <v>0</v>
      </c>
      <c r="Y15" s="52">
        <f t="shared" si="1"/>
        <v>0</v>
      </c>
      <c r="Z15" s="52">
        <f t="shared" si="1"/>
        <v>0</v>
      </c>
    </row>
    <row r="16" spans="1:26" ht="11.25">
      <c r="A16" s="53" t="s">
        <v>109</v>
      </c>
      <c r="B16" s="52">
        <v>0</v>
      </c>
      <c r="C16" s="52">
        <v>17258</v>
      </c>
      <c r="D16" s="52">
        <v>17258</v>
      </c>
      <c r="E16" s="52">
        <v>17258</v>
      </c>
      <c r="F16" s="52">
        <v>17258</v>
      </c>
      <c r="G16" s="52">
        <v>17258</v>
      </c>
      <c r="H16" s="52">
        <v>17258</v>
      </c>
      <c r="I16" s="52">
        <v>17258</v>
      </c>
      <c r="J16" s="52">
        <v>17258</v>
      </c>
      <c r="K16" s="52">
        <v>17258</v>
      </c>
      <c r="L16" s="52">
        <v>17258</v>
      </c>
      <c r="M16" s="52">
        <v>17258</v>
      </c>
      <c r="O16" s="52">
        <f t="shared" si="11"/>
        <v>0</v>
      </c>
      <c r="P16" s="52">
        <f t="shared" si="2"/>
        <v>17258</v>
      </c>
      <c r="Q16" s="52">
        <f t="shared" si="3"/>
        <v>0</v>
      </c>
      <c r="R16" s="52">
        <f t="shared" si="4"/>
        <v>0</v>
      </c>
      <c r="S16" s="52">
        <f t="shared" si="5"/>
        <v>0</v>
      </c>
      <c r="T16" s="52">
        <f t="shared" si="6"/>
        <v>0</v>
      </c>
      <c r="U16" s="52">
        <f t="shared" si="7"/>
        <v>0</v>
      </c>
      <c r="V16" s="52">
        <f t="shared" si="8"/>
        <v>0</v>
      </c>
      <c r="W16" s="52">
        <f t="shared" si="9"/>
        <v>0</v>
      </c>
      <c r="X16" s="52">
        <f t="shared" si="10"/>
        <v>0</v>
      </c>
      <c r="Y16" s="52">
        <f t="shared" si="1"/>
        <v>0</v>
      </c>
      <c r="Z16" s="52">
        <f t="shared" si="1"/>
        <v>0</v>
      </c>
    </row>
    <row r="17" spans="1:26" ht="11.25">
      <c r="A17" s="53" t="s">
        <v>110</v>
      </c>
      <c r="B17" s="52">
        <v>4632.9</v>
      </c>
      <c r="C17" s="52">
        <v>14720.8</v>
      </c>
      <c r="D17" s="52">
        <v>14720.8</v>
      </c>
      <c r="E17" s="52">
        <v>14720.8</v>
      </c>
      <c r="F17" s="52">
        <v>14720.8</v>
      </c>
      <c r="G17" s="52">
        <v>14720.8</v>
      </c>
      <c r="H17" s="52">
        <v>14720.8</v>
      </c>
      <c r="I17" s="52">
        <v>14720.8</v>
      </c>
      <c r="J17" s="52">
        <v>14720.8</v>
      </c>
      <c r="K17" s="52">
        <v>14720.8</v>
      </c>
      <c r="L17" s="52">
        <v>14720.8</v>
      </c>
      <c r="M17" s="52">
        <v>14720.8</v>
      </c>
      <c r="O17" s="52">
        <f t="shared" si="11"/>
        <v>4632.9</v>
      </c>
      <c r="P17" s="52">
        <f t="shared" si="2"/>
        <v>10087.9</v>
      </c>
      <c r="Q17" s="52">
        <f t="shared" si="3"/>
        <v>0</v>
      </c>
      <c r="R17" s="52">
        <f t="shared" si="4"/>
        <v>0</v>
      </c>
      <c r="S17" s="52">
        <f t="shared" si="5"/>
        <v>0</v>
      </c>
      <c r="T17" s="52">
        <f t="shared" si="6"/>
        <v>0</v>
      </c>
      <c r="U17" s="52">
        <f t="shared" si="7"/>
        <v>0</v>
      </c>
      <c r="V17" s="52">
        <f t="shared" si="8"/>
        <v>0</v>
      </c>
      <c r="W17" s="52">
        <f t="shared" si="9"/>
        <v>0</v>
      </c>
      <c r="X17" s="52">
        <f t="shared" si="10"/>
        <v>0</v>
      </c>
      <c r="Y17" s="52">
        <f t="shared" si="1"/>
        <v>0</v>
      </c>
      <c r="Z17" s="52">
        <f t="shared" si="1"/>
        <v>0</v>
      </c>
    </row>
    <row r="18" spans="1:26" ht="11.25">
      <c r="A18" s="53" t="s">
        <v>111</v>
      </c>
      <c r="B18" s="52">
        <v>0</v>
      </c>
      <c r="C18" s="52">
        <v>11886</v>
      </c>
      <c r="D18" s="52">
        <v>19381</v>
      </c>
      <c r="E18" s="52">
        <v>19381</v>
      </c>
      <c r="F18" s="52">
        <v>19381</v>
      </c>
      <c r="G18" s="52">
        <v>19381</v>
      </c>
      <c r="H18" s="52">
        <v>19381</v>
      </c>
      <c r="I18" s="52">
        <v>19381</v>
      </c>
      <c r="J18" s="52">
        <v>19381</v>
      </c>
      <c r="K18" s="52">
        <v>19381</v>
      </c>
      <c r="L18" s="52">
        <v>19381</v>
      </c>
      <c r="M18" s="52">
        <v>19381</v>
      </c>
      <c r="O18" s="52">
        <f t="shared" si="11"/>
        <v>0</v>
      </c>
      <c r="P18" s="52">
        <f t="shared" si="2"/>
        <v>11886</v>
      </c>
      <c r="Q18" s="52">
        <f t="shared" si="3"/>
        <v>7495</v>
      </c>
      <c r="R18" s="52">
        <f t="shared" si="4"/>
        <v>0</v>
      </c>
      <c r="S18" s="52">
        <f t="shared" si="5"/>
        <v>0</v>
      </c>
      <c r="T18" s="52">
        <f t="shared" si="6"/>
        <v>0</v>
      </c>
      <c r="U18" s="52">
        <f t="shared" si="7"/>
        <v>0</v>
      </c>
      <c r="V18" s="52">
        <f t="shared" si="8"/>
        <v>0</v>
      </c>
      <c r="W18" s="52">
        <f t="shared" si="9"/>
        <v>0</v>
      </c>
      <c r="X18" s="52">
        <f t="shared" si="10"/>
        <v>0</v>
      </c>
      <c r="Y18" s="52">
        <f t="shared" si="1"/>
        <v>0</v>
      </c>
      <c r="Z18" s="52">
        <f t="shared" si="1"/>
        <v>0</v>
      </c>
    </row>
    <row r="19" spans="1:26" ht="11.25">
      <c r="A19" s="53" t="s">
        <v>112</v>
      </c>
      <c r="B19" s="52">
        <v>5522.9</v>
      </c>
      <c r="C19" s="52">
        <v>5522.9</v>
      </c>
      <c r="D19" s="52">
        <v>5522.9</v>
      </c>
      <c r="E19" s="52">
        <v>5522.9</v>
      </c>
      <c r="F19" s="52">
        <v>5522.9</v>
      </c>
      <c r="G19" s="52">
        <v>5522.9</v>
      </c>
      <c r="H19" s="52">
        <v>5522.9</v>
      </c>
      <c r="I19" s="52">
        <v>5522.9</v>
      </c>
      <c r="J19" s="52">
        <v>5522.9</v>
      </c>
      <c r="K19" s="52">
        <v>5522.9</v>
      </c>
      <c r="L19" s="52">
        <v>5522.9</v>
      </c>
      <c r="M19" s="52">
        <v>5522.9</v>
      </c>
      <c r="O19" s="52">
        <f t="shared" si="11"/>
        <v>5522.9</v>
      </c>
      <c r="P19" s="52">
        <f t="shared" si="2"/>
        <v>0</v>
      </c>
      <c r="Q19" s="52">
        <f t="shared" si="3"/>
        <v>0</v>
      </c>
      <c r="R19" s="52">
        <f t="shared" si="4"/>
        <v>0</v>
      </c>
      <c r="S19" s="52">
        <f t="shared" si="5"/>
        <v>0</v>
      </c>
      <c r="T19" s="52">
        <f t="shared" si="6"/>
        <v>0</v>
      </c>
      <c r="U19" s="52">
        <f t="shared" si="7"/>
        <v>0</v>
      </c>
      <c r="V19" s="52">
        <f t="shared" si="8"/>
        <v>0</v>
      </c>
      <c r="W19" s="52">
        <f t="shared" si="9"/>
        <v>0</v>
      </c>
      <c r="X19" s="52">
        <f t="shared" si="10"/>
        <v>0</v>
      </c>
      <c r="Y19" s="52">
        <f t="shared" si="1"/>
        <v>0</v>
      </c>
      <c r="Z19" s="52">
        <f t="shared" si="1"/>
        <v>0</v>
      </c>
    </row>
    <row r="20" spans="1:26" ht="11.25">
      <c r="A20" s="53" t="s">
        <v>113</v>
      </c>
      <c r="B20" s="52">
        <v>0</v>
      </c>
      <c r="C20" s="52">
        <v>0</v>
      </c>
      <c r="D20" s="52">
        <v>0</v>
      </c>
      <c r="E20" s="52">
        <v>32712.7</v>
      </c>
      <c r="F20" s="52">
        <v>32712.7</v>
      </c>
      <c r="G20" s="52">
        <v>32712.7</v>
      </c>
      <c r="H20" s="52">
        <v>32712.7</v>
      </c>
      <c r="I20" s="52">
        <v>32712.7</v>
      </c>
      <c r="J20" s="52">
        <v>32712.7</v>
      </c>
      <c r="K20" s="52">
        <v>32712.7</v>
      </c>
      <c r="L20" s="52">
        <v>32712.7</v>
      </c>
      <c r="M20" s="52">
        <v>32712.7</v>
      </c>
      <c r="O20" s="52">
        <f t="shared" si="11"/>
        <v>0</v>
      </c>
      <c r="P20" s="52">
        <f t="shared" si="2"/>
        <v>0</v>
      </c>
      <c r="Q20" s="52">
        <f t="shared" si="3"/>
        <v>0</v>
      </c>
      <c r="R20" s="52">
        <f t="shared" si="4"/>
        <v>32712.7</v>
      </c>
      <c r="S20" s="52">
        <f t="shared" si="5"/>
        <v>0</v>
      </c>
      <c r="T20" s="52">
        <f t="shared" si="6"/>
        <v>0</v>
      </c>
      <c r="U20" s="52">
        <f t="shared" si="7"/>
        <v>0</v>
      </c>
      <c r="V20" s="52">
        <f t="shared" si="8"/>
        <v>0</v>
      </c>
      <c r="W20" s="52">
        <f t="shared" si="9"/>
        <v>0</v>
      </c>
      <c r="X20" s="52">
        <f t="shared" si="10"/>
        <v>0</v>
      </c>
      <c r="Y20" s="52">
        <f t="shared" si="1"/>
        <v>0</v>
      </c>
      <c r="Z20" s="52">
        <f t="shared" si="1"/>
        <v>0</v>
      </c>
    </row>
    <row r="21" spans="1:26" ht="11.25">
      <c r="A21" s="53" t="s">
        <v>114</v>
      </c>
      <c r="B21" s="52">
        <v>0</v>
      </c>
      <c r="C21" s="52">
        <v>5873</v>
      </c>
      <c r="D21" s="52">
        <v>37235</v>
      </c>
      <c r="E21" s="52">
        <v>37235</v>
      </c>
      <c r="F21" s="52">
        <v>37235</v>
      </c>
      <c r="G21" s="52">
        <v>37235</v>
      </c>
      <c r="H21" s="52">
        <v>37235</v>
      </c>
      <c r="I21" s="52">
        <v>37235</v>
      </c>
      <c r="J21" s="52">
        <v>37235</v>
      </c>
      <c r="K21" s="52">
        <v>37235</v>
      </c>
      <c r="L21" s="52">
        <v>37235</v>
      </c>
      <c r="M21" s="52">
        <v>37235</v>
      </c>
      <c r="O21" s="52">
        <f t="shared" si="11"/>
        <v>0</v>
      </c>
      <c r="P21" s="52">
        <f t="shared" si="2"/>
        <v>5873</v>
      </c>
      <c r="Q21" s="52">
        <f aca="true" t="shared" si="12" ref="Q21:Q33">D21-C21</f>
        <v>31362</v>
      </c>
      <c r="R21" s="52">
        <f aca="true" t="shared" si="13" ref="R21:R33">E21-D21</f>
        <v>0</v>
      </c>
      <c r="S21" s="52">
        <f aca="true" t="shared" si="14" ref="S21:S33">F21-E21</f>
        <v>0</v>
      </c>
      <c r="T21" s="52">
        <f aca="true" t="shared" si="15" ref="T21:T33">G21-F21</f>
        <v>0</v>
      </c>
      <c r="U21" s="52">
        <f aca="true" t="shared" si="16" ref="U21:U33">H21-G21</f>
        <v>0</v>
      </c>
      <c r="V21" s="52">
        <f aca="true" t="shared" si="17" ref="V21:V33">I21-H21</f>
        <v>0</v>
      </c>
      <c r="W21" s="52">
        <f aca="true" t="shared" si="18" ref="W21:W33">J21-I21</f>
        <v>0</v>
      </c>
      <c r="X21" s="52">
        <f aca="true" t="shared" si="19" ref="X21:X33">K21-J21</f>
        <v>0</v>
      </c>
      <c r="Y21" s="52">
        <f aca="true" t="shared" si="20" ref="Y21:Y33">L21-K21</f>
        <v>0</v>
      </c>
      <c r="Z21" s="52">
        <f aca="true" t="shared" si="21" ref="Z21:Z33">M21-L21</f>
        <v>0</v>
      </c>
    </row>
    <row r="22" spans="1:26" ht="11.25">
      <c r="A22" s="53" t="s">
        <v>115</v>
      </c>
      <c r="B22" s="52">
        <v>6676</v>
      </c>
      <c r="C22" s="52">
        <v>-13736</v>
      </c>
      <c r="D22" s="52">
        <v>-13736</v>
      </c>
      <c r="E22" s="52">
        <v>2722</v>
      </c>
      <c r="F22" s="52">
        <v>2722</v>
      </c>
      <c r="G22" s="52">
        <v>2722</v>
      </c>
      <c r="H22" s="52">
        <v>2722</v>
      </c>
      <c r="I22" s="52">
        <v>2722</v>
      </c>
      <c r="J22" s="52">
        <v>2722</v>
      </c>
      <c r="K22" s="52">
        <v>2722</v>
      </c>
      <c r="L22" s="52">
        <v>2722</v>
      </c>
      <c r="M22" s="52">
        <v>2722</v>
      </c>
      <c r="O22" s="52">
        <f t="shared" si="11"/>
        <v>6676</v>
      </c>
      <c r="P22" s="52">
        <f t="shared" si="2"/>
        <v>-20412</v>
      </c>
      <c r="Q22" s="52">
        <f t="shared" si="12"/>
        <v>0</v>
      </c>
      <c r="R22" s="52">
        <f t="shared" si="13"/>
        <v>16458</v>
      </c>
      <c r="S22" s="52">
        <f t="shared" si="14"/>
        <v>0</v>
      </c>
      <c r="T22" s="52">
        <f t="shared" si="15"/>
        <v>0</v>
      </c>
      <c r="U22" s="52">
        <f t="shared" si="16"/>
        <v>0</v>
      </c>
      <c r="V22" s="52">
        <f t="shared" si="17"/>
        <v>0</v>
      </c>
      <c r="W22" s="52">
        <f t="shared" si="18"/>
        <v>0</v>
      </c>
      <c r="X22" s="52">
        <f t="shared" si="19"/>
        <v>0</v>
      </c>
      <c r="Y22" s="52">
        <f t="shared" si="20"/>
        <v>0</v>
      </c>
      <c r="Z22" s="52">
        <f t="shared" si="21"/>
        <v>0</v>
      </c>
    </row>
    <row r="23" spans="1:26" ht="11.25">
      <c r="A23" s="53" t="s">
        <v>116</v>
      </c>
      <c r="B23" s="52">
        <v>0</v>
      </c>
      <c r="C23" s="52">
        <v>3812</v>
      </c>
      <c r="D23" s="52">
        <v>3812</v>
      </c>
      <c r="E23" s="52">
        <v>3812</v>
      </c>
      <c r="F23" s="52">
        <v>3812</v>
      </c>
      <c r="G23" s="52">
        <v>3812</v>
      </c>
      <c r="H23" s="52">
        <v>3812</v>
      </c>
      <c r="I23" s="52">
        <v>3812</v>
      </c>
      <c r="J23" s="52">
        <v>3812</v>
      </c>
      <c r="K23" s="52">
        <v>3812</v>
      </c>
      <c r="L23" s="52">
        <v>3812</v>
      </c>
      <c r="M23" s="52">
        <v>3812</v>
      </c>
      <c r="O23" s="52">
        <f t="shared" si="11"/>
        <v>0</v>
      </c>
      <c r="P23" s="52">
        <f t="shared" si="2"/>
        <v>3812</v>
      </c>
      <c r="Q23" s="52">
        <f t="shared" si="12"/>
        <v>0</v>
      </c>
      <c r="R23" s="52">
        <f t="shared" si="13"/>
        <v>0</v>
      </c>
      <c r="S23" s="52">
        <f t="shared" si="14"/>
        <v>0</v>
      </c>
      <c r="T23" s="52">
        <f t="shared" si="15"/>
        <v>0</v>
      </c>
      <c r="U23" s="52">
        <f t="shared" si="16"/>
        <v>0</v>
      </c>
      <c r="V23" s="52">
        <f t="shared" si="17"/>
        <v>0</v>
      </c>
      <c r="W23" s="52">
        <f t="shared" si="18"/>
        <v>0</v>
      </c>
      <c r="X23" s="52">
        <f t="shared" si="19"/>
        <v>0</v>
      </c>
      <c r="Y23" s="52">
        <f t="shared" si="20"/>
        <v>0</v>
      </c>
      <c r="Z23" s="52">
        <f t="shared" si="21"/>
        <v>0</v>
      </c>
    </row>
    <row r="24" spans="1:26" ht="11.25">
      <c r="A24" s="53" t="s">
        <v>117</v>
      </c>
      <c r="B24" s="52">
        <v>0</v>
      </c>
      <c r="C24" s="52">
        <v>14815.2</v>
      </c>
      <c r="D24" s="52">
        <v>14815.2</v>
      </c>
      <c r="E24" s="52">
        <v>14815.2</v>
      </c>
      <c r="F24" s="52">
        <v>14815.2</v>
      </c>
      <c r="G24" s="52">
        <v>14815.2</v>
      </c>
      <c r="H24" s="52">
        <v>14815.2</v>
      </c>
      <c r="I24" s="52">
        <v>14815.2</v>
      </c>
      <c r="J24" s="52">
        <v>14815.2</v>
      </c>
      <c r="K24" s="52">
        <v>14815.2</v>
      </c>
      <c r="L24" s="52">
        <v>14815.2</v>
      </c>
      <c r="M24" s="52">
        <v>14815.2</v>
      </c>
      <c r="O24" s="52">
        <f t="shared" si="11"/>
        <v>0</v>
      </c>
      <c r="P24" s="52">
        <f t="shared" si="2"/>
        <v>14815.2</v>
      </c>
      <c r="Q24" s="52">
        <f t="shared" si="12"/>
        <v>0</v>
      </c>
      <c r="R24" s="52">
        <f t="shared" si="13"/>
        <v>0</v>
      </c>
      <c r="S24" s="52">
        <f t="shared" si="14"/>
        <v>0</v>
      </c>
      <c r="T24" s="52">
        <f t="shared" si="15"/>
        <v>0</v>
      </c>
      <c r="U24" s="52">
        <f t="shared" si="16"/>
        <v>0</v>
      </c>
      <c r="V24" s="52">
        <f t="shared" si="17"/>
        <v>0</v>
      </c>
      <c r="W24" s="52">
        <f t="shared" si="18"/>
        <v>0</v>
      </c>
      <c r="X24" s="52">
        <f t="shared" si="19"/>
        <v>0</v>
      </c>
      <c r="Y24" s="52">
        <f t="shared" si="20"/>
        <v>0</v>
      </c>
      <c r="Z24" s="52">
        <f t="shared" si="21"/>
        <v>0</v>
      </c>
    </row>
    <row r="25" spans="1:26" ht="11.25">
      <c r="A25" s="53" t="s">
        <v>118</v>
      </c>
      <c r="B25" s="52">
        <v>0</v>
      </c>
      <c r="C25" s="52">
        <v>7903.4</v>
      </c>
      <c r="D25" s="52">
        <v>7903.4</v>
      </c>
      <c r="E25" s="52">
        <v>7903.4</v>
      </c>
      <c r="F25" s="52">
        <v>7903.4</v>
      </c>
      <c r="G25" s="52">
        <v>7903.4</v>
      </c>
      <c r="H25" s="52">
        <v>7903.4</v>
      </c>
      <c r="I25" s="52">
        <v>7903.4</v>
      </c>
      <c r="J25" s="52">
        <v>7903.4</v>
      </c>
      <c r="K25" s="52">
        <v>7903.4</v>
      </c>
      <c r="L25" s="52">
        <v>7903.4</v>
      </c>
      <c r="M25" s="52">
        <v>7903.4</v>
      </c>
      <c r="O25" s="52">
        <f t="shared" si="11"/>
        <v>0</v>
      </c>
      <c r="P25" s="52">
        <f t="shared" si="2"/>
        <v>7903.4</v>
      </c>
      <c r="Q25" s="52">
        <f t="shared" si="12"/>
        <v>0</v>
      </c>
      <c r="R25" s="52">
        <f t="shared" si="13"/>
        <v>0</v>
      </c>
      <c r="S25" s="52">
        <f t="shared" si="14"/>
        <v>0</v>
      </c>
      <c r="T25" s="52">
        <f t="shared" si="15"/>
        <v>0</v>
      </c>
      <c r="U25" s="52">
        <f t="shared" si="16"/>
        <v>0</v>
      </c>
      <c r="V25" s="52">
        <f t="shared" si="17"/>
        <v>0</v>
      </c>
      <c r="W25" s="52">
        <f t="shared" si="18"/>
        <v>0</v>
      </c>
      <c r="X25" s="52">
        <f t="shared" si="19"/>
        <v>0</v>
      </c>
      <c r="Y25" s="52">
        <f t="shared" si="20"/>
        <v>0</v>
      </c>
      <c r="Z25" s="52">
        <f t="shared" si="21"/>
        <v>0</v>
      </c>
    </row>
    <row r="26" spans="1:26" ht="11.25">
      <c r="A26" s="53" t="s">
        <v>119</v>
      </c>
      <c r="B26" s="52">
        <v>0</v>
      </c>
      <c r="C26" s="52">
        <v>8288</v>
      </c>
      <c r="D26" s="52">
        <v>8288</v>
      </c>
      <c r="E26" s="52">
        <v>8288</v>
      </c>
      <c r="F26" s="52">
        <v>8288</v>
      </c>
      <c r="G26" s="52">
        <v>8288</v>
      </c>
      <c r="H26" s="52">
        <v>8288</v>
      </c>
      <c r="I26" s="52">
        <v>8288</v>
      </c>
      <c r="J26" s="52">
        <v>8288</v>
      </c>
      <c r="K26" s="52">
        <v>8288</v>
      </c>
      <c r="L26" s="52">
        <v>8288</v>
      </c>
      <c r="M26" s="52">
        <v>8288</v>
      </c>
      <c r="O26" s="52">
        <f t="shared" si="11"/>
        <v>0</v>
      </c>
      <c r="P26" s="52">
        <f t="shared" si="2"/>
        <v>8288</v>
      </c>
      <c r="Q26" s="52">
        <f t="shared" si="12"/>
        <v>0</v>
      </c>
      <c r="R26" s="52">
        <f t="shared" si="13"/>
        <v>0</v>
      </c>
      <c r="S26" s="52">
        <f t="shared" si="14"/>
        <v>0</v>
      </c>
      <c r="T26" s="52">
        <f t="shared" si="15"/>
        <v>0</v>
      </c>
      <c r="U26" s="52">
        <f t="shared" si="16"/>
        <v>0</v>
      </c>
      <c r="V26" s="52">
        <f t="shared" si="17"/>
        <v>0</v>
      </c>
      <c r="W26" s="52">
        <f t="shared" si="18"/>
        <v>0</v>
      </c>
      <c r="X26" s="52">
        <f t="shared" si="19"/>
        <v>0</v>
      </c>
      <c r="Y26" s="52">
        <f t="shared" si="20"/>
        <v>0</v>
      </c>
      <c r="Z26" s="52">
        <f t="shared" si="21"/>
        <v>0</v>
      </c>
    </row>
    <row r="27" spans="1:26" ht="11.25">
      <c r="A27" s="53" t="s">
        <v>120</v>
      </c>
      <c r="B27" s="52">
        <v>4804</v>
      </c>
      <c r="C27" s="52">
        <v>4848.44</v>
      </c>
      <c r="D27" s="52">
        <v>4848.44</v>
      </c>
      <c r="E27" s="52">
        <v>4848.44</v>
      </c>
      <c r="F27" s="52">
        <v>4848.44</v>
      </c>
      <c r="G27" s="52">
        <v>4848.44</v>
      </c>
      <c r="H27" s="52">
        <v>4848.44</v>
      </c>
      <c r="I27" s="52">
        <v>4848.44</v>
      </c>
      <c r="J27" s="52">
        <v>4848.44</v>
      </c>
      <c r="K27" s="52">
        <v>4848.44</v>
      </c>
      <c r="L27" s="52">
        <v>4848.44</v>
      </c>
      <c r="M27" s="52">
        <v>4848.44</v>
      </c>
      <c r="O27" s="52">
        <f t="shared" si="11"/>
        <v>4804</v>
      </c>
      <c r="P27" s="52">
        <f t="shared" si="2"/>
        <v>44.4399999999996</v>
      </c>
      <c r="Q27" s="52">
        <f t="shared" si="12"/>
        <v>0</v>
      </c>
      <c r="R27" s="52">
        <f t="shared" si="13"/>
        <v>0</v>
      </c>
      <c r="S27" s="52">
        <f t="shared" si="14"/>
        <v>0</v>
      </c>
      <c r="T27" s="52">
        <f t="shared" si="15"/>
        <v>0</v>
      </c>
      <c r="U27" s="52">
        <f t="shared" si="16"/>
        <v>0</v>
      </c>
      <c r="V27" s="52">
        <f t="shared" si="17"/>
        <v>0</v>
      </c>
      <c r="W27" s="52">
        <f t="shared" si="18"/>
        <v>0</v>
      </c>
      <c r="X27" s="52">
        <f t="shared" si="19"/>
        <v>0</v>
      </c>
      <c r="Y27" s="52">
        <f t="shared" si="20"/>
        <v>0</v>
      </c>
      <c r="Z27" s="52">
        <f t="shared" si="21"/>
        <v>0</v>
      </c>
    </row>
    <row r="28" spans="1:26" ht="11.25">
      <c r="A28" s="53" t="s">
        <v>121</v>
      </c>
      <c r="B28" s="52">
        <v>0</v>
      </c>
      <c r="C28" s="52">
        <v>30487.1</v>
      </c>
      <c r="D28" s="52">
        <v>30487.1</v>
      </c>
      <c r="E28" s="52">
        <v>30487.1</v>
      </c>
      <c r="F28" s="52">
        <v>30487.1</v>
      </c>
      <c r="G28" s="52">
        <v>30487.1</v>
      </c>
      <c r="H28" s="52">
        <v>30487.1</v>
      </c>
      <c r="I28" s="52">
        <v>30487.1</v>
      </c>
      <c r="J28" s="52">
        <v>30487.1</v>
      </c>
      <c r="K28" s="52">
        <v>30487.1</v>
      </c>
      <c r="L28" s="52">
        <v>30487.1</v>
      </c>
      <c r="M28" s="52">
        <v>30487.1</v>
      </c>
      <c r="O28" s="52">
        <f t="shared" si="11"/>
        <v>0</v>
      </c>
      <c r="P28" s="52">
        <f t="shared" si="2"/>
        <v>30487.1</v>
      </c>
      <c r="Q28" s="52">
        <f t="shared" si="12"/>
        <v>0</v>
      </c>
      <c r="R28" s="52">
        <f t="shared" si="13"/>
        <v>0</v>
      </c>
      <c r="S28" s="52">
        <f t="shared" si="14"/>
        <v>0</v>
      </c>
      <c r="T28" s="52">
        <f t="shared" si="15"/>
        <v>0</v>
      </c>
      <c r="U28" s="52">
        <f t="shared" si="16"/>
        <v>0</v>
      </c>
      <c r="V28" s="52">
        <f t="shared" si="17"/>
        <v>0</v>
      </c>
      <c r="W28" s="52">
        <f t="shared" si="18"/>
        <v>0</v>
      </c>
      <c r="X28" s="52">
        <f t="shared" si="19"/>
        <v>0</v>
      </c>
      <c r="Y28" s="52">
        <f t="shared" si="20"/>
        <v>0</v>
      </c>
      <c r="Z28" s="52">
        <f t="shared" si="21"/>
        <v>0</v>
      </c>
    </row>
    <row r="29" spans="1:26" ht="11.25">
      <c r="A29" s="53" t="s">
        <v>122</v>
      </c>
      <c r="B29" s="52">
        <v>0</v>
      </c>
      <c r="C29" s="52">
        <v>0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O29" s="52">
        <f t="shared" si="11"/>
        <v>0</v>
      </c>
      <c r="P29" s="52">
        <f t="shared" si="2"/>
        <v>0</v>
      </c>
      <c r="Q29" s="52">
        <f t="shared" si="12"/>
        <v>0</v>
      </c>
      <c r="R29" s="52">
        <f t="shared" si="13"/>
        <v>0</v>
      </c>
      <c r="S29" s="52">
        <f t="shared" si="14"/>
        <v>0</v>
      </c>
      <c r="T29" s="52">
        <f t="shared" si="15"/>
        <v>0</v>
      </c>
      <c r="U29" s="52">
        <f t="shared" si="16"/>
        <v>0</v>
      </c>
      <c r="V29" s="52">
        <f t="shared" si="17"/>
        <v>0</v>
      </c>
      <c r="W29" s="52">
        <f t="shared" si="18"/>
        <v>0</v>
      </c>
      <c r="X29" s="52">
        <f t="shared" si="19"/>
        <v>0</v>
      </c>
      <c r="Y29" s="52">
        <f t="shared" si="20"/>
        <v>0</v>
      </c>
      <c r="Z29" s="52">
        <f t="shared" si="21"/>
        <v>0</v>
      </c>
    </row>
    <row r="30" spans="1:26" ht="11.25">
      <c r="A30" s="53" t="s">
        <v>123</v>
      </c>
      <c r="B30" s="52">
        <v>0</v>
      </c>
      <c r="C30" s="52">
        <v>71862.3</v>
      </c>
      <c r="D30" s="52">
        <v>71862.3</v>
      </c>
      <c r="E30" s="52">
        <v>71862.3</v>
      </c>
      <c r="F30" s="52">
        <v>71862.3</v>
      </c>
      <c r="G30" s="52">
        <v>71862.3</v>
      </c>
      <c r="H30" s="52">
        <v>71862.3</v>
      </c>
      <c r="I30" s="52">
        <v>71862.3</v>
      </c>
      <c r="J30" s="52">
        <v>71862.3</v>
      </c>
      <c r="K30" s="52">
        <v>71862.3</v>
      </c>
      <c r="L30" s="52">
        <v>71862.3</v>
      </c>
      <c r="M30" s="52">
        <v>71862.3</v>
      </c>
      <c r="O30" s="52">
        <f t="shared" si="11"/>
        <v>0</v>
      </c>
      <c r="P30" s="52">
        <f t="shared" si="2"/>
        <v>71862.3</v>
      </c>
      <c r="Q30" s="52">
        <f t="shared" si="12"/>
        <v>0</v>
      </c>
      <c r="R30" s="52">
        <f t="shared" si="13"/>
        <v>0</v>
      </c>
      <c r="S30" s="52">
        <f t="shared" si="14"/>
        <v>0</v>
      </c>
      <c r="T30" s="52">
        <f t="shared" si="15"/>
        <v>0</v>
      </c>
      <c r="U30" s="52">
        <f t="shared" si="16"/>
        <v>0</v>
      </c>
      <c r="V30" s="52">
        <f t="shared" si="17"/>
        <v>0</v>
      </c>
      <c r="W30" s="52">
        <f t="shared" si="18"/>
        <v>0</v>
      </c>
      <c r="X30" s="52">
        <f t="shared" si="19"/>
        <v>0</v>
      </c>
      <c r="Y30" s="52">
        <f t="shared" si="20"/>
        <v>0</v>
      </c>
      <c r="Z30" s="52">
        <f t="shared" si="21"/>
        <v>0</v>
      </c>
    </row>
    <row r="31" spans="1:26" ht="11.25">
      <c r="A31" s="53" t="s">
        <v>124</v>
      </c>
      <c r="B31" s="52">
        <v>2994</v>
      </c>
      <c r="C31" s="52">
        <v>2994</v>
      </c>
      <c r="D31" s="52">
        <v>2994</v>
      </c>
      <c r="E31" s="52">
        <v>2994</v>
      </c>
      <c r="F31" s="52">
        <v>2994</v>
      </c>
      <c r="G31" s="52">
        <v>2994</v>
      </c>
      <c r="H31" s="52">
        <v>2994</v>
      </c>
      <c r="I31" s="52">
        <v>2994</v>
      </c>
      <c r="J31" s="52">
        <v>2994</v>
      </c>
      <c r="K31" s="52">
        <v>2994</v>
      </c>
      <c r="L31" s="52">
        <v>2994</v>
      </c>
      <c r="M31" s="52">
        <v>2994</v>
      </c>
      <c r="O31" s="52">
        <f t="shared" si="11"/>
        <v>2994</v>
      </c>
      <c r="P31" s="52">
        <f t="shared" si="2"/>
        <v>0</v>
      </c>
      <c r="Q31" s="52">
        <f t="shared" si="12"/>
        <v>0</v>
      </c>
      <c r="R31" s="52">
        <f t="shared" si="13"/>
        <v>0</v>
      </c>
      <c r="S31" s="52">
        <f t="shared" si="14"/>
        <v>0</v>
      </c>
      <c r="T31" s="52">
        <f t="shared" si="15"/>
        <v>0</v>
      </c>
      <c r="U31" s="52">
        <f t="shared" si="16"/>
        <v>0</v>
      </c>
      <c r="V31" s="52">
        <f t="shared" si="17"/>
        <v>0</v>
      </c>
      <c r="W31" s="52">
        <f t="shared" si="18"/>
        <v>0</v>
      </c>
      <c r="X31" s="52">
        <f t="shared" si="19"/>
        <v>0</v>
      </c>
      <c r="Y31" s="52">
        <f t="shared" si="20"/>
        <v>0</v>
      </c>
      <c r="Z31" s="52">
        <f t="shared" si="21"/>
        <v>0</v>
      </c>
    </row>
    <row r="32" spans="1:26" ht="11.25">
      <c r="A32" s="53" t="s">
        <v>125</v>
      </c>
      <c r="B32" s="52">
        <v>0</v>
      </c>
      <c r="C32" s="52">
        <v>0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O32" s="52">
        <f t="shared" si="11"/>
        <v>0</v>
      </c>
      <c r="P32" s="52">
        <f t="shared" si="2"/>
        <v>0</v>
      </c>
      <c r="Q32" s="52">
        <f t="shared" si="12"/>
        <v>0</v>
      </c>
      <c r="R32" s="52">
        <f t="shared" si="13"/>
        <v>0</v>
      </c>
      <c r="S32" s="52">
        <f t="shared" si="14"/>
        <v>0</v>
      </c>
      <c r="T32" s="52">
        <f t="shared" si="15"/>
        <v>0</v>
      </c>
      <c r="U32" s="52">
        <f t="shared" si="16"/>
        <v>0</v>
      </c>
      <c r="V32" s="52">
        <f t="shared" si="17"/>
        <v>0</v>
      </c>
      <c r="W32" s="52">
        <f t="shared" si="18"/>
        <v>0</v>
      </c>
      <c r="X32" s="52">
        <f t="shared" si="19"/>
        <v>0</v>
      </c>
      <c r="Y32" s="52">
        <f t="shared" si="20"/>
        <v>0</v>
      </c>
      <c r="Z32" s="52">
        <f t="shared" si="21"/>
        <v>0</v>
      </c>
    </row>
    <row r="33" spans="1:26" ht="11.25">
      <c r="A33" s="53" t="s">
        <v>126</v>
      </c>
      <c r="B33" s="52">
        <v>0</v>
      </c>
      <c r="C33" s="52">
        <v>8431.1</v>
      </c>
      <c r="D33" s="52">
        <v>8431.1</v>
      </c>
      <c r="E33" s="52">
        <v>8431.1</v>
      </c>
      <c r="F33" s="52">
        <v>8431.1</v>
      </c>
      <c r="G33" s="52">
        <v>8431.1</v>
      </c>
      <c r="H33" s="52">
        <v>8431.1</v>
      </c>
      <c r="I33" s="52">
        <v>8431.1</v>
      </c>
      <c r="J33" s="52">
        <v>8431.1</v>
      </c>
      <c r="K33" s="52">
        <v>8431.1</v>
      </c>
      <c r="L33" s="52">
        <v>8431.1</v>
      </c>
      <c r="M33" s="52">
        <v>8431.1</v>
      </c>
      <c r="O33" s="52">
        <f t="shared" si="11"/>
        <v>0</v>
      </c>
      <c r="P33" s="52">
        <f t="shared" si="2"/>
        <v>8431.1</v>
      </c>
      <c r="Q33" s="52">
        <f t="shared" si="12"/>
        <v>0</v>
      </c>
      <c r="R33" s="52">
        <f t="shared" si="13"/>
        <v>0</v>
      </c>
      <c r="S33" s="52">
        <f t="shared" si="14"/>
        <v>0</v>
      </c>
      <c r="T33" s="52">
        <f t="shared" si="15"/>
        <v>0</v>
      </c>
      <c r="U33" s="52">
        <f t="shared" si="16"/>
        <v>0</v>
      </c>
      <c r="V33" s="52">
        <f t="shared" si="17"/>
        <v>0</v>
      </c>
      <c r="W33" s="52">
        <f t="shared" si="18"/>
        <v>0</v>
      </c>
      <c r="X33" s="52">
        <f t="shared" si="19"/>
        <v>0</v>
      </c>
      <c r="Y33" s="52">
        <f t="shared" si="20"/>
        <v>0</v>
      </c>
      <c r="Z33" s="52">
        <f t="shared" si="21"/>
        <v>0</v>
      </c>
    </row>
    <row r="34" spans="1:26" ht="11.25">
      <c r="A34" s="54" t="s">
        <v>168</v>
      </c>
      <c r="B34" s="55">
        <f>SUM(B5:B33)</f>
        <v>103398.59999999999</v>
      </c>
      <c r="C34" s="55">
        <f aca="true" t="shared" si="22" ref="C34:M34">SUM(C5:C33)</f>
        <v>414482.04</v>
      </c>
      <c r="D34" s="55">
        <f t="shared" si="22"/>
        <v>558304.26</v>
      </c>
      <c r="E34" s="55">
        <f t="shared" si="22"/>
        <v>661847.96</v>
      </c>
      <c r="F34" s="55">
        <f t="shared" si="22"/>
        <v>621847.9600000001</v>
      </c>
      <c r="G34" s="55">
        <f t="shared" si="22"/>
        <v>621847.9600000001</v>
      </c>
      <c r="H34" s="55">
        <f t="shared" si="22"/>
        <v>621847.9600000001</v>
      </c>
      <c r="I34" s="55">
        <f t="shared" si="22"/>
        <v>621847.9600000001</v>
      </c>
      <c r="J34" s="55">
        <f t="shared" si="22"/>
        <v>621847.9600000001</v>
      </c>
      <c r="K34" s="55">
        <f t="shared" si="22"/>
        <v>621847.9600000001</v>
      </c>
      <c r="L34" s="55">
        <f t="shared" si="22"/>
        <v>621847.9600000001</v>
      </c>
      <c r="M34" s="55">
        <f t="shared" si="22"/>
        <v>621847.9600000001</v>
      </c>
      <c r="O34" s="55">
        <f aca="true" t="shared" si="23" ref="O34:X34">SUM(O5:O33)</f>
        <v>103398.59999999999</v>
      </c>
      <c r="P34" s="55">
        <f t="shared" si="23"/>
        <v>311083.44</v>
      </c>
      <c r="Q34" s="55">
        <f t="shared" si="23"/>
        <v>143822.22</v>
      </c>
      <c r="R34" s="55">
        <f t="shared" si="23"/>
        <v>103543.7</v>
      </c>
      <c r="S34" s="55">
        <f t="shared" si="23"/>
        <v>-40000</v>
      </c>
      <c r="T34" s="55">
        <f t="shared" si="23"/>
        <v>0</v>
      </c>
      <c r="U34" s="55">
        <f t="shared" si="23"/>
        <v>0</v>
      </c>
      <c r="V34" s="55">
        <f t="shared" si="23"/>
        <v>0</v>
      </c>
      <c r="W34" s="55">
        <f t="shared" si="23"/>
        <v>0</v>
      </c>
      <c r="X34" s="55">
        <f t="shared" si="23"/>
        <v>0</v>
      </c>
      <c r="Y34" s="55">
        <f>SUM(Y5:Y33)</f>
        <v>0</v>
      </c>
      <c r="Z34" s="55">
        <f>SUM(Z5:Z33)</f>
        <v>0</v>
      </c>
    </row>
    <row r="35" spans="1:26" ht="11.25">
      <c r="A35" s="51" t="s">
        <v>169</v>
      </c>
      <c r="B35" s="52">
        <v>0</v>
      </c>
      <c r="C35" s="52">
        <v>0</v>
      </c>
      <c r="D35" s="52">
        <v>0</v>
      </c>
      <c r="E35" s="52">
        <v>0</v>
      </c>
      <c r="F35" s="52">
        <v>121800</v>
      </c>
      <c r="G35" s="52">
        <v>15000</v>
      </c>
      <c r="H35" s="52">
        <v>15000</v>
      </c>
      <c r="I35" s="52">
        <v>15000</v>
      </c>
      <c r="J35" s="52">
        <v>15000</v>
      </c>
      <c r="K35" s="52">
        <v>15000</v>
      </c>
      <c r="L35" s="52">
        <v>15000</v>
      </c>
      <c r="M35" s="52">
        <f>25000+17237.43</f>
        <v>42237.43</v>
      </c>
      <c r="O35" s="52">
        <f t="shared" si="11"/>
        <v>0</v>
      </c>
      <c r="P35" s="52">
        <f aca="true" t="shared" si="24" ref="P35:P64">C35-B35</f>
        <v>0</v>
      </c>
      <c r="Q35" s="52">
        <f aca="true" t="shared" si="25" ref="Q35:Q64">D35-C35</f>
        <v>0</v>
      </c>
      <c r="R35" s="52">
        <f aca="true" t="shared" si="26" ref="R35:R64">E35-D35</f>
        <v>0</v>
      </c>
      <c r="S35" s="52">
        <f aca="true" t="shared" si="27" ref="S35:S64">F35-E35</f>
        <v>121800</v>
      </c>
      <c r="T35" s="52">
        <f aca="true" t="shared" si="28" ref="T35:T64">G35-F35</f>
        <v>-106800</v>
      </c>
      <c r="U35" s="52">
        <f aca="true" t="shared" si="29" ref="U35:U64">H35-G35</f>
        <v>0</v>
      </c>
      <c r="V35" s="52">
        <f aca="true" t="shared" si="30" ref="V35:V64">I35-H35</f>
        <v>0</v>
      </c>
      <c r="W35" s="52">
        <f aca="true" t="shared" si="31" ref="W35:W64">J35-I35</f>
        <v>0</v>
      </c>
      <c r="X35" s="52">
        <f aca="true" t="shared" si="32" ref="X35:X64">K35-J35</f>
        <v>0</v>
      </c>
      <c r="Y35" s="52">
        <f aca="true" t="shared" si="33" ref="Y35:Y64">L35-K35</f>
        <v>0</v>
      </c>
      <c r="Z35" s="52">
        <f aca="true" t="shared" si="34" ref="Z35:Z64">M35-L35</f>
        <v>27237.43</v>
      </c>
    </row>
    <row r="36" spans="1:26" ht="11.25">
      <c r="A36" s="53" t="s">
        <v>127</v>
      </c>
      <c r="B36" s="52">
        <v>0</v>
      </c>
      <c r="C36" s="52">
        <v>0</v>
      </c>
      <c r="D36" s="52">
        <v>0</v>
      </c>
      <c r="E36" s="52">
        <v>0</v>
      </c>
      <c r="F36" s="52">
        <v>0</v>
      </c>
      <c r="G36" s="52">
        <v>81400</v>
      </c>
      <c r="H36" s="52">
        <v>81400</v>
      </c>
      <c r="I36" s="52">
        <v>81475</v>
      </c>
      <c r="J36" s="52">
        <v>91224.8</v>
      </c>
      <c r="K36" s="52">
        <v>123467.1</v>
      </c>
      <c r="L36" s="52">
        <v>123924.4</v>
      </c>
      <c r="M36" s="52">
        <v>129119.62</v>
      </c>
      <c r="O36" s="52">
        <f t="shared" si="11"/>
        <v>0</v>
      </c>
      <c r="P36" s="52">
        <f t="shared" si="24"/>
        <v>0</v>
      </c>
      <c r="Q36" s="52">
        <f t="shared" si="25"/>
        <v>0</v>
      </c>
      <c r="R36" s="52">
        <f t="shared" si="26"/>
        <v>0</v>
      </c>
      <c r="S36" s="52">
        <f t="shared" si="27"/>
        <v>0</v>
      </c>
      <c r="T36" s="52">
        <f t="shared" si="28"/>
        <v>81400</v>
      </c>
      <c r="U36" s="52">
        <f t="shared" si="29"/>
        <v>0</v>
      </c>
      <c r="V36" s="52">
        <f t="shared" si="30"/>
        <v>75</v>
      </c>
      <c r="W36" s="52">
        <f t="shared" si="31"/>
        <v>9749.800000000003</v>
      </c>
      <c r="X36" s="52">
        <f t="shared" si="32"/>
        <v>32242.300000000003</v>
      </c>
      <c r="Y36" s="52">
        <f t="shared" si="33"/>
        <v>457.29999999998836</v>
      </c>
      <c r="Z36" s="52">
        <f t="shared" si="34"/>
        <v>5195.220000000001</v>
      </c>
    </row>
    <row r="37" spans="1:26" ht="11.25">
      <c r="A37" s="53" t="s">
        <v>128</v>
      </c>
      <c r="B37" s="52">
        <v>0</v>
      </c>
      <c r="C37" s="52">
        <v>0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>
        <v>5911.4</v>
      </c>
      <c r="J37" s="52">
        <v>7023.4</v>
      </c>
      <c r="K37" s="52">
        <v>7023.4</v>
      </c>
      <c r="L37" s="52">
        <v>7023.4</v>
      </c>
      <c r="M37" s="52">
        <v>7023.4</v>
      </c>
      <c r="O37" s="52">
        <f t="shared" si="11"/>
        <v>0</v>
      </c>
      <c r="P37" s="52">
        <f t="shared" si="24"/>
        <v>0</v>
      </c>
      <c r="Q37" s="52">
        <f t="shared" si="25"/>
        <v>0</v>
      </c>
      <c r="R37" s="52">
        <f t="shared" si="26"/>
        <v>0</v>
      </c>
      <c r="S37" s="52">
        <f t="shared" si="27"/>
        <v>0</v>
      </c>
      <c r="T37" s="52">
        <f t="shared" si="28"/>
        <v>0</v>
      </c>
      <c r="U37" s="52">
        <f t="shared" si="29"/>
        <v>0</v>
      </c>
      <c r="V37" s="52">
        <f t="shared" si="30"/>
        <v>5911.4</v>
      </c>
      <c r="W37" s="52">
        <f t="shared" si="31"/>
        <v>1112</v>
      </c>
      <c r="X37" s="52">
        <f t="shared" si="32"/>
        <v>0</v>
      </c>
      <c r="Y37" s="52">
        <f t="shared" si="33"/>
        <v>0</v>
      </c>
      <c r="Z37" s="52">
        <f t="shared" si="34"/>
        <v>0</v>
      </c>
    </row>
    <row r="38" spans="1:26" ht="11.25">
      <c r="A38" s="53" t="s">
        <v>129</v>
      </c>
      <c r="B38" s="52">
        <v>0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5971.4</v>
      </c>
      <c r="K38" s="52">
        <v>9476.4</v>
      </c>
      <c r="L38" s="52">
        <v>9476.4</v>
      </c>
      <c r="M38" s="52">
        <v>9476.4</v>
      </c>
      <c r="O38" s="52">
        <f t="shared" si="11"/>
        <v>0</v>
      </c>
      <c r="P38" s="52">
        <f t="shared" si="24"/>
        <v>0</v>
      </c>
      <c r="Q38" s="52">
        <f t="shared" si="25"/>
        <v>0</v>
      </c>
      <c r="R38" s="52">
        <f t="shared" si="26"/>
        <v>0</v>
      </c>
      <c r="S38" s="52">
        <f t="shared" si="27"/>
        <v>0</v>
      </c>
      <c r="T38" s="52">
        <f t="shared" si="28"/>
        <v>0</v>
      </c>
      <c r="U38" s="52">
        <f t="shared" si="29"/>
        <v>0</v>
      </c>
      <c r="V38" s="52">
        <f t="shared" si="30"/>
        <v>0</v>
      </c>
      <c r="W38" s="52">
        <f t="shared" si="31"/>
        <v>5971.4</v>
      </c>
      <c r="X38" s="52">
        <f t="shared" si="32"/>
        <v>3505</v>
      </c>
      <c r="Y38" s="52">
        <f t="shared" si="33"/>
        <v>0</v>
      </c>
      <c r="Z38" s="52">
        <f t="shared" si="34"/>
        <v>0</v>
      </c>
    </row>
    <row r="39" spans="1:26" ht="11.25">
      <c r="A39" s="53" t="s">
        <v>130</v>
      </c>
      <c r="B39" s="52">
        <v>0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12419.2</v>
      </c>
      <c r="L39" s="52">
        <v>12419.2</v>
      </c>
      <c r="M39" s="52">
        <v>29005.2</v>
      </c>
      <c r="O39" s="52">
        <f t="shared" si="11"/>
        <v>0</v>
      </c>
      <c r="P39" s="52">
        <f t="shared" si="24"/>
        <v>0</v>
      </c>
      <c r="Q39" s="52">
        <f t="shared" si="25"/>
        <v>0</v>
      </c>
      <c r="R39" s="52">
        <f t="shared" si="26"/>
        <v>0</v>
      </c>
      <c r="S39" s="52">
        <f t="shared" si="27"/>
        <v>0</v>
      </c>
      <c r="T39" s="52">
        <f t="shared" si="28"/>
        <v>0</v>
      </c>
      <c r="U39" s="52">
        <f t="shared" si="29"/>
        <v>0</v>
      </c>
      <c r="V39" s="52">
        <f t="shared" si="30"/>
        <v>0</v>
      </c>
      <c r="W39" s="52">
        <f t="shared" si="31"/>
        <v>0</v>
      </c>
      <c r="X39" s="52">
        <f t="shared" si="32"/>
        <v>12419.2</v>
      </c>
      <c r="Y39" s="52">
        <f t="shared" si="33"/>
        <v>0</v>
      </c>
      <c r="Z39" s="52">
        <f t="shared" si="34"/>
        <v>16586</v>
      </c>
    </row>
    <row r="40" spans="1:26" ht="11.25">
      <c r="A40" s="53" t="s">
        <v>131</v>
      </c>
      <c r="B40" s="52">
        <v>0</v>
      </c>
      <c r="C40" s="52">
        <v>0</v>
      </c>
      <c r="D40" s="52">
        <v>0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21306.4</v>
      </c>
      <c r="O40" s="52">
        <f t="shared" si="11"/>
        <v>0</v>
      </c>
      <c r="P40" s="52">
        <f t="shared" si="24"/>
        <v>0</v>
      </c>
      <c r="Q40" s="52">
        <f t="shared" si="25"/>
        <v>0</v>
      </c>
      <c r="R40" s="52">
        <f t="shared" si="26"/>
        <v>0</v>
      </c>
      <c r="S40" s="52">
        <f t="shared" si="27"/>
        <v>0</v>
      </c>
      <c r="T40" s="52">
        <f t="shared" si="28"/>
        <v>0</v>
      </c>
      <c r="U40" s="52">
        <f t="shared" si="29"/>
        <v>0</v>
      </c>
      <c r="V40" s="52">
        <f t="shared" si="30"/>
        <v>0</v>
      </c>
      <c r="W40" s="52">
        <f t="shared" si="31"/>
        <v>0</v>
      </c>
      <c r="X40" s="52">
        <f t="shared" si="32"/>
        <v>0</v>
      </c>
      <c r="Y40" s="52">
        <f t="shared" si="33"/>
        <v>0</v>
      </c>
      <c r="Z40" s="52">
        <f t="shared" si="34"/>
        <v>21306.4</v>
      </c>
    </row>
    <row r="41" spans="1:26" ht="11.25">
      <c r="A41" s="53" t="s">
        <v>132</v>
      </c>
      <c r="B41" s="52">
        <v>0</v>
      </c>
      <c r="C41" s="52">
        <v>0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7821</v>
      </c>
      <c r="L41" s="52">
        <v>8850.82</v>
      </c>
      <c r="M41" s="52">
        <v>8978.87</v>
      </c>
      <c r="O41" s="52">
        <f t="shared" si="11"/>
        <v>0</v>
      </c>
      <c r="P41" s="52">
        <f t="shared" si="24"/>
        <v>0</v>
      </c>
      <c r="Q41" s="52">
        <f t="shared" si="25"/>
        <v>0</v>
      </c>
      <c r="R41" s="52">
        <f t="shared" si="26"/>
        <v>0</v>
      </c>
      <c r="S41" s="52">
        <f t="shared" si="27"/>
        <v>0</v>
      </c>
      <c r="T41" s="52">
        <f t="shared" si="28"/>
        <v>0</v>
      </c>
      <c r="U41" s="52">
        <f t="shared" si="29"/>
        <v>0</v>
      </c>
      <c r="V41" s="52">
        <f t="shared" si="30"/>
        <v>0</v>
      </c>
      <c r="W41" s="52">
        <f t="shared" si="31"/>
        <v>0</v>
      </c>
      <c r="X41" s="52">
        <f t="shared" si="32"/>
        <v>7821</v>
      </c>
      <c r="Y41" s="52">
        <f t="shared" si="33"/>
        <v>1029.8199999999997</v>
      </c>
      <c r="Z41" s="52">
        <f t="shared" si="34"/>
        <v>128.0500000000011</v>
      </c>
    </row>
    <row r="42" spans="1:26" ht="11.25">
      <c r="A42" s="53" t="s">
        <v>133</v>
      </c>
      <c r="B42" s="52">
        <v>0</v>
      </c>
      <c r="C42" s="52">
        <v>0</v>
      </c>
      <c r="D42" s="52">
        <v>0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23224</v>
      </c>
      <c r="L42" s="52">
        <v>23224</v>
      </c>
      <c r="M42" s="52">
        <v>41939.6</v>
      </c>
      <c r="O42" s="52">
        <f t="shared" si="11"/>
        <v>0</v>
      </c>
      <c r="P42" s="52">
        <f t="shared" si="24"/>
        <v>0</v>
      </c>
      <c r="Q42" s="52">
        <f t="shared" si="25"/>
        <v>0</v>
      </c>
      <c r="R42" s="52">
        <f t="shared" si="26"/>
        <v>0</v>
      </c>
      <c r="S42" s="52">
        <f t="shared" si="27"/>
        <v>0</v>
      </c>
      <c r="T42" s="52">
        <f t="shared" si="28"/>
        <v>0</v>
      </c>
      <c r="U42" s="52">
        <f t="shared" si="29"/>
        <v>0</v>
      </c>
      <c r="V42" s="52">
        <f t="shared" si="30"/>
        <v>0</v>
      </c>
      <c r="W42" s="52">
        <f t="shared" si="31"/>
        <v>0</v>
      </c>
      <c r="X42" s="52">
        <f t="shared" si="32"/>
        <v>23224</v>
      </c>
      <c r="Y42" s="52">
        <f t="shared" si="33"/>
        <v>0</v>
      </c>
      <c r="Z42" s="52">
        <f t="shared" si="34"/>
        <v>18715.6</v>
      </c>
    </row>
    <row r="43" spans="1:26" ht="11.25">
      <c r="A43" s="53" t="s">
        <v>134</v>
      </c>
      <c r="B43" s="52">
        <v>0</v>
      </c>
      <c r="C43" s="52">
        <v>0</v>
      </c>
      <c r="D43" s="52">
        <v>0</v>
      </c>
      <c r="E43" s="52">
        <v>0</v>
      </c>
      <c r="F43" s="52">
        <v>0</v>
      </c>
      <c r="G43" s="52">
        <v>1596.2</v>
      </c>
      <c r="H43" s="52">
        <v>1596.2</v>
      </c>
      <c r="I43" s="52">
        <v>1596.2</v>
      </c>
      <c r="J43" s="52">
        <v>1596.2</v>
      </c>
      <c r="K43" s="52">
        <v>4026.2</v>
      </c>
      <c r="L43" s="52">
        <v>5262.2</v>
      </c>
      <c r="M43" s="52">
        <v>37442.2</v>
      </c>
      <c r="O43" s="52">
        <f t="shared" si="11"/>
        <v>0</v>
      </c>
      <c r="P43" s="52">
        <f t="shared" si="24"/>
        <v>0</v>
      </c>
      <c r="Q43" s="52">
        <f t="shared" si="25"/>
        <v>0</v>
      </c>
      <c r="R43" s="52">
        <f t="shared" si="26"/>
        <v>0</v>
      </c>
      <c r="S43" s="52">
        <f t="shared" si="27"/>
        <v>0</v>
      </c>
      <c r="T43" s="52">
        <f t="shared" si="28"/>
        <v>1596.2</v>
      </c>
      <c r="U43" s="52">
        <f t="shared" si="29"/>
        <v>0</v>
      </c>
      <c r="V43" s="52">
        <f t="shared" si="30"/>
        <v>0</v>
      </c>
      <c r="W43" s="52">
        <f t="shared" si="31"/>
        <v>0</v>
      </c>
      <c r="X43" s="52">
        <f t="shared" si="32"/>
        <v>2430</v>
      </c>
      <c r="Y43" s="52">
        <f t="shared" si="33"/>
        <v>1236</v>
      </c>
      <c r="Z43" s="52">
        <f t="shared" si="34"/>
        <v>32179.999999999996</v>
      </c>
    </row>
    <row r="44" spans="1:26" ht="11.25">
      <c r="A44" s="53" t="s">
        <v>135</v>
      </c>
      <c r="B44" s="52">
        <v>0</v>
      </c>
      <c r="C44" s="52">
        <v>0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O44" s="52">
        <f t="shared" si="11"/>
        <v>0</v>
      </c>
      <c r="P44" s="52">
        <f t="shared" si="24"/>
        <v>0</v>
      </c>
      <c r="Q44" s="52">
        <f t="shared" si="25"/>
        <v>0</v>
      </c>
      <c r="R44" s="52">
        <f t="shared" si="26"/>
        <v>0</v>
      </c>
      <c r="S44" s="52">
        <f t="shared" si="27"/>
        <v>0</v>
      </c>
      <c r="T44" s="52">
        <f t="shared" si="28"/>
        <v>0</v>
      </c>
      <c r="U44" s="52">
        <f t="shared" si="29"/>
        <v>0</v>
      </c>
      <c r="V44" s="52">
        <f t="shared" si="30"/>
        <v>0</v>
      </c>
      <c r="W44" s="52">
        <f t="shared" si="31"/>
        <v>0</v>
      </c>
      <c r="X44" s="52">
        <f t="shared" si="32"/>
        <v>0</v>
      </c>
      <c r="Y44" s="52">
        <f t="shared" si="33"/>
        <v>0</v>
      </c>
      <c r="Z44" s="52">
        <f t="shared" si="34"/>
        <v>0</v>
      </c>
    </row>
    <row r="45" spans="1:26" ht="11.25">
      <c r="A45" s="53" t="s">
        <v>108</v>
      </c>
      <c r="B45" s="52">
        <v>0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6130.2</v>
      </c>
      <c r="J45" s="52">
        <v>6130.2</v>
      </c>
      <c r="K45" s="52">
        <v>6130.2</v>
      </c>
      <c r="L45" s="52">
        <v>6130.2</v>
      </c>
      <c r="M45" s="52">
        <v>6130.2</v>
      </c>
      <c r="O45" s="52">
        <f t="shared" si="11"/>
        <v>0</v>
      </c>
      <c r="P45" s="52">
        <f t="shared" si="24"/>
        <v>0</v>
      </c>
      <c r="Q45" s="52">
        <f t="shared" si="25"/>
        <v>0</v>
      </c>
      <c r="R45" s="52">
        <f t="shared" si="26"/>
        <v>0</v>
      </c>
      <c r="S45" s="52">
        <f t="shared" si="27"/>
        <v>0</v>
      </c>
      <c r="T45" s="52">
        <f t="shared" si="28"/>
        <v>0</v>
      </c>
      <c r="U45" s="52">
        <f t="shared" si="29"/>
        <v>0</v>
      </c>
      <c r="V45" s="52">
        <f t="shared" si="30"/>
        <v>6130.2</v>
      </c>
      <c r="W45" s="52">
        <f t="shared" si="31"/>
        <v>0</v>
      </c>
      <c r="X45" s="52">
        <f t="shared" si="32"/>
        <v>0</v>
      </c>
      <c r="Y45" s="52">
        <f t="shared" si="33"/>
        <v>0</v>
      </c>
      <c r="Z45" s="52">
        <f t="shared" si="34"/>
        <v>0</v>
      </c>
    </row>
    <row r="46" spans="1:26" ht="11.25">
      <c r="A46" s="53" t="s">
        <v>136</v>
      </c>
      <c r="B46" s="52">
        <v>0</v>
      </c>
      <c r="C46" s="52">
        <v>0</v>
      </c>
      <c r="D46" s="52">
        <v>0</v>
      </c>
      <c r="E46" s="52">
        <v>0</v>
      </c>
      <c r="F46" s="52">
        <v>0</v>
      </c>
      <c r="G46" s="52">
        <v>32142</v>
      </c>
      <c r="H46" s="52">
        <v>32192</v>
      </c>
      <c r="I46" s="52">
        <v>62918.2</v>
      </c>
      <c r="J46" s="52">
        <v>79187.8</v>
      </c>
      <c r="K46" s="52">
        <v>136184.6</v>
      </c>
      <c r="L46" s="52">
        <v>143839.8</v>
      </c>
      <c r="M46" s="52">
        <v>219557.8</v>
      </c>
      <c r="O46" s="52">
        <f t="shared" si="11"/>
        <v>0</v>
      </c>
      <c r="P46" s="52">
        <f t="shared" si="24"/>
        <v>0</v>
      </c>
      <c r="Q46" s="52">
        <f t="shared" si="25"/>
        <v>0</v>
      </c>
      <c r="R46" s="52">
        <f t="shared" si="26"/>
        <v>0</v>
      </c>
      <c r="S46" s="52">
        <f t="shared" si="27"/>
        <v>0</v>
      </c>
      <c r="T46" s="52">
        <f t="shared" si="28"/>
        <v>32142</v>
      </c>
      <c r="U46" s="52">
        <f t="shared" si="29"/>
        <v>50</v>
      </c>
      <c r="V46" s="52">
        <f t="shared" si="30"/>
        <v>30726.199999999997</v>
      </c>
      <c r="W46" s="52">
        <f t="shared" si="31"/>
        <v>16269.600000000006</v>
      </c>
      <c r="X46" s="52">
        <f t="shared" si="32"/>
        <v>56996.8</v>
      </c>
      <c r="Y46" s="52">
        <f t="shared" si="33"/>
        <v>7655.1999999999825</v>
      </c>
      <c r="Z46" s="52">
        <f t="shared" si="34"/>
        <v>75718</v>
      </c>
    </row>
    <row r="47" spans="1:26" ht="11.25">
      <c r="A47" s="53" t="s">
        <v>137</v>
      </c>
      <c r="B47" s="52">
        <v>0</v>
      </c>
      <c r="C47" s="52">
        <v>0</v>
      </c>
      <c r="D47" s="52">
        <v>0</v>
      </c>
      <c r="E47" s="52">
        <v>0</v>
      </c>
      <c r="F47" s="52">
        <v>0</v>
      </c>
      <c r="G47" s="52">
        <v>62673.6</v>
      </c>
      <c r="H47" s="52">
        <v>92378</v>
      </c>
      <c r="I47" s="52">
        <v>108319.2</v>
      </c>
      <c r="J47" s="52">
        <v>108319.2</v>
      </c>
      <c r="K47" s="52">
        <v>114971.4</v>
      </c>
      <c r="L47" s="52">
        <v>114971.4</v>
      </c>
      <c r="M47" s="52">
        <v>169288.5</v>
      </c>
      <c r="O47" s="52">
        <f t="shared" si="11"/>
        <v>0</v>
      </c>
      <c r="P47" s="52">
        <f t="shared" si="24"/>
        <v>0</v>
      </c>
      <c r="Q47" s="52">
        <f t="shared" si="25"/>
        <v>0</v>
      </c>
      <c r="R47" s="52">
        <f t="shared" si="26"/>
        <v>0</v>
      </c>
      <c r="S47" s="52">
        <f t="shared" si="27"/>
        <v>0</v>
      </c>
      <c r="T47" s="52">
        <f t="shared" si="28"/>
        <v>62673.6</v>
      </c>
      <c r="U47" s="52">
        <f t="shared" si="29"/>
        <v>29704.4</v>
      </c>
      <c r="V47" s="52">
        <f t="shared" si="30"/>
        <v>15941.199999999997</v>
      </c>
      <c r="W47" s="52">
        <f t="shared" si="31"/>
        <v>0</v>
      </c>
      <c r="X47" s="52">
        <f t="shared" si="32"/>
        <v>6652.199999999997</v>
      </c>
      <c r="Y47" s="52">
        <f t="shared" si="33"/>
        <v>0</v>
      </c>
      <c r="Z47" s="52">
        <f t="shared" si="34"/>
        <v>54317.100000000006</v>
      </c>
    </row>
    <row r="48" spans="1:26" ht="11.25">
      <c r="A48" s="53" t="s">
        <v>138</v>
      </c>
      <c r="B48" s="52">
        <v>0</v>
      </c>
      <c r="C48" s="52">
        <v>0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22155.2</v>
      </c>
      <c r="J48" s="52">
        <v>22155.2</v>
      </c>
      <c r="K48" s="52">
        <v>22155.2</v>
      </c>
      <c r="L48" s="52">
        <v>22155.2</v>
      </c>
      <c r="M48" s="52">
        <v>68825.2</v>
      </c>
      <c r="O48" s="52">
        <f t="shared" si="11"/>
        <v>0</v>
      </c>
      <c r="P48" s="52">
        <f t="shared" si="24"/>
        <v>0</v>
      </c>
      <c r="Q48" s="52">
        <f t="shared" si="25"/>
        <v>0</v>
      </c>
      <c r="R48" s="52">
        <f t="shared" si="26"/>
        <v>0</v>
      </c>
      <c r="S48" s="52">
        <f t="shared" si="27"/>
        <v>0</v>
      </c>
      <c r="T48" s="52">
        <f t="shared" si="28"/>
        <v>0</v>
      </c>
      <c r="U48" s="52">
        <f t="shared" si="29"/>
        <v>0</v>
      </c>
      <c r="V48" s="52">
        <f t="shared" si="30"/>
        <v>22155.2</v>
      </c>
      <c r="W48" s="52">
        <f t="shared" si="31"/>
        <v>0</v>
      </c>
      <c r="X48" s="52">
        <f t="shared" si="32"/>
        <v>0</v>
      </c>
      <c r="Y48" s="52">
        <f t="shared" si="33"/>
        <v>0</v>
      </c>
      <c r="Z48" s="52">
        <f t="shared" si="34"/>
        <v>46670</v>
      </c>
    </row>
    <row r="49" spans="1:26" ht="11.25">
      <c r="A49" s="53" t="s">
        <v>139</v>
      </c>
      <c r="B49" s="52">
        <v>0</v>
      </c>
      <c r="C49" s="52">
        <v>0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2">
        <v>0</v>
      </c>
      <c r="L49" s="52">
        <v>0</v>
      </c>
      <c r="M49" s="52">
        <v>5220.5</v>
      </c>
      <c r="O49" s="52">
        <f t="shared" si="11"/>
        <v>0</v>
      </c>
      <c r="P49" s="52">
        <f t="shared" si="24"/>
        <v>0</v>
      </c>
      <c r="Q49" s="52">
        <f t="shared" si="25"/>
        <v>0</v>
      </c>
      <c r="R49" s="52">
        <f t="shared" si="26"/>
        <v>0</v>
      </c>
      <c r="S49" s="52">
        <f t="shared" si="27"/>
        <v>0</v>
      </c>
      <c r="T49" s="52">
        <f t="shared" si="28"/>
        <v>0</v>
      </c>
      <c r="U49" s="52">
        <f t="shared" si="29"/>
        <v>0</v>
      </c>
      <c r="V49" s="52">
        <f t="shared" si="30"/>
        <v>0</v>
      </c>
      <c r="W49" s="52">
        <f t="shared" si="31"/>
        <v>0</v>
      </c>
      <c r="X49" s="52">
        <f t="shared" si="32"/>
        <v>0</v>
      </c>
      <c r="Y49" s="52">
        <f t="shared" si="33"/>
        <v>0</v>
      </c>
      <c r="Z49" s="52">
        <f t="shared" si="34"/>
        <v>5220.5</v>
      </c>
    </row>
    <row r="50" spans="1:26" ht="11.25">
      <c r="A50" s="53" t="s">
        <v>140</v>
      </c>
      <c r="B50" s="52">
        <v>0</v>
      </c>
      <c r="C50" s="52">
        <v>0</v>
      </c>
      <c r="D50" s="52">
        <v>0</v>
      </c>
      <c r="E50" s="52">
        <v>0</v>
      </c>
      <c r="F50" s="52">
        <v>0</v>
      </c>
      <c r="G50" s="52">
        <v>12909.2</v>
      </c>
      <c r="H50" s="52">
        <v>12909.2</v>
      </c>
      <c r="I50" s="52">
        <v>12909.2</v>
      </c>
      <c r="J50" s="52">
        <v>12909.2</v>
      </c>
      <c r="K50" s="52">
        <v>16359</v>
      </c>
      <c r="L50" s="52">
        <v>16359</v>
      </c>
      <c r="M50" s="52">
        <v>16359</v>
      </c>
      <c r="O50" s="52">
        <f t="shared" si="11"/>
        <v>0</v>
      </c>
      <c r="P50" s="52">
        <f t="shared" si="24"/>
        <v>0</v>
      </c>
      <c r="Q50" s="52">
        <f t="shared" si="25"/>
        <v>0</v>
      </c>
      <c r="R50" s="52">
        <f t="shared" si="26"/>
        <v>0</v>
      </c>
      <c r="S50" s="52">
        <f t="shared" si="27"/>
        <v>0</v>
      </c>
      <c r="T50" s="52">
        <f t="shared" si="28"/>
        <v>12909.2</v>
      </c>
      <c r="U50" s="52">
        <f t="shared" si="29"/>
        <v>0</v>
      </c>
      <c r="V50" s="52">
        <f t="shared" si="30"/>
        <v>0</v>
      </c>
      <c r="W50" s="52">
        <f t="shared" si="31"/>
        <v>0</v>
      </c>
      <c r="X50" s="52">
        <f t="shared" si="32"/>
        <v>3449.7999999999993</v>
      </c>
      <c r="Y50" s="52">
        <f t="shared" si="33"/>
        <v>0</v>
      </c>
      <c r="Z50" s="52">
        <f t="shared" si="34"/>
        <v>0</v>
      </c>
    </row>
    <row r="51" spans="1:26" ht="11.25">
      <c r="A51" s="53" t="s">
        <v>141</v>
      </c>
      <c r="B51" s="52">
        <v>0</v>
      </c>
      <c r="C51" s="52">
        <v>0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O51" s="52">
        <f t="shared" si="11"/>
        <v>0</v>
      </c>
      <c r="P51" s="52">
        <f t="shared" si="24"/>
        <v>0</v>
      </c>
      <c r="Q51" s="52">
        <f t="shared" si="25"/>
        <v>0</v>
      </c>
      <c r="R51" s="52">
        <f t="shared" si="26"/>
        <v>0</v>
      </c>
      <c r="S51" s="52">
        <f t="shared" si="27"/>
        <v>0</v>
      </c>
      <c r="T51" s="52">
        <f t="shared" si="28"/>
        <v>0</v>
      </c>
      <c r="U51" s="52">
        <f t="shared" si="29"/>
        <v>0</v>
      </c>
      <c r="V51" s="52">
        <f t="shared" si="30"/>
        <v>0</v>
      </c>
      <c r="W51" s="52">
        <f t="shared" si="31"/>
        <v>0</v>
      </c>
      <c r="X51" s="52">
        <f t="shared" si="32"/>
        <v>0</v>
      </c>
      <c r="Y51" s="52">
        <f t="shared" si="33"/>
        <v>0</v>
      </c>
      <c r="Z51" s="52">
        <f t="shared" si="34"/>
        <v>0</v>
      </c>
    </row>
    <row r="52" spans="1:26" ht="11.25">
      <c r="A52" s="53" t="s">
        <v>142</v>
      </c>
      <c r="B52" s="52">
        <v>0</v>
      </c>
      <c r="C52" s="52">
        <v>0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15842.89</v>
      </c>
      <c r="O52" s="52">
        <f t="shared" si="11"/>
        <v>0</v>
      </c>
      <c r="P52" s="52">
        <f t="shared" si="24"/>
        <v>0</v>
      </c>
      <c r="Q52" s="52">
        <f t="shared" si="25"/>
        <v>0</v>
      </c>
      <c r="R52" s="52">
        <f t="shared" si="26"/>
        <v>0</v>
      </c>
      <c r="S52" s="52">
        <f t="shared" si="27"/>
        <v>0</v>
      </c>
      <c r="T52" s="52">
        <f t="shared" si="28"/>
        <v>0</v>
      </c>
      <c r="U52" s="52">
        <f t="shared" si="29"/>
        <v>0</v>
      </c>
      <c r="V52" s="52">
        <f t="shared" si="30"/>
        <v>0</v>
      </c>
      <c r="W52" s="52">
        <f t="shared" si="31"/>
        <v>0</v>
      </c>
      <c r="X52" s="52">
        <f t="shared" si="32"/>
        <v>0</v>
      </c>
      <c r="Y52" s="52">
        <f t="shared" si="33"/>
        <v>0</v>
      </c>
      <c r="Z52" s="52">
        <f t="shared" si="34"/>
        <v>15842.89</v>
      </c>
    </row>
    <row r="53" spans="1:26" ht="11.25">
      <c r="A53" s="53" t="s">
        <v>143</v>
      </c>
      <c r="B53" s="52">
        <v>0</v>
      </c>
      <c r="C53" s="52">
        <v>0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18590.15</v>
      </c>
      <c r="L53" s="52">
        <v>18590.15</v>
      </c>
      <c r="M53" s="52">
        <v>18590.15</v>
      </c>
      <c r="O53" s="52">
        <f t="shared" si="11"/>
        <v>0</v>
      </c>
      <c r="P53" s="52">
        <f t="shared" si="24"/>
        <v>0</v>
      </c>
      <c r="Q53" s="52">
        <f t="shared" si="25"/>
        <v>0</v>
      </c>
      <c r="R53" s="52">
        <f t="shared" si="26"/>
        <v>0</v>
      </c>
      <c r="S53" s="52">
        <f t="shared" si="27"/>
        <v>0</v>
      </c>
      <c r="T53" s="52">
        <f t="shared" si="28"/>
        <v>0</v>
      </c>
      <c r="U53" s="52">
        <f t="shared" si="29"/>
        <v>0</v>
      </c>
      <c r="V53" s="52">
        <f t="shared" si="30"/>
        <v>0</v>
      </c>
      <c r="W53" s="52">
        <f t="shared" si="31"/>
        <v>0</v>
      </c>
      <c r="X53" s="52">
        <f t="shared" si="32"/>
        <v>18590.15</v>
      </c>
      <c r="Y53" s="52">
        <f t="shared" si="33"/>
        <v>0</v>
      </c>
      <c r="Z53" s="52">
        <f t="shared" si="34"/>
        <v>0</v>
      </c>
    </row>
    <row r="54" spans="1:26" ht="11.25">
      <c r="A54" s="53" t="s">
        <v>144</v>
      </c>
      <c r="B54" s="52">
        <v>0</v>
      </c>
      <c r="C54" s="52">
        <v>0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10004</v>
      </c>
      <c r="L54" s="52">
        <v>13684.81</v>
      </c>
      <c r="M54" s="52">
        <v>13684.81</v>
      </c>
      <c r="O54" s="52">
        <f t="shared" si="11"/>
        <v>0</v>
      </c>
      <c r="P54" s="52">
        <f t="shared" si="24"/>
        <v>0</v>
      </c>
      <c r="Q54" s="52">
        <f t="shared" si="25"/>
        <v>0</v>
      </c>
      <c r="R54" s="52">
        <f t="shared" si="26"/>
        <v>0</v>
      </c>
      <c r="S54" s="52">
        <f t="shared" si="27"/>
        <v>0</v>
      </c>
      <c r="T54" s="52">
        <f t="shared" si="28"/>
        <v>0</v>
      </c>
      <c r="U54" s="52">
        <f t="shared" si="29"/>
        <v>0</v>
      </c>
      <c r="V54" s="52">
        <f t="shared" si="30"/>
        <v>0</v>
      </c>
      <c r="W54" s="52">
        <f t="shared" si="31"/>
        <v>0</v>
      </c>
      <c r="X54" s="52">
        <f t="shared" si="32"/>
        <v>10004</v>
      </c>
      <c r="Y54" s="52">
        <f t="shared" si="33"/>
        <v>3680.8099999999995</v>
      </c>
      <c r="Z54" s="52">
        <f t="shared" si="34"/>
        <v>0</v>
      </c>
    </row>
    <row r="55" spans="1:26" ht="11.25">
      <c r="A55" s="53" t="s">
        <v>145</v>
      </c>
      <c r="B55" s="52">
        <v>0</v>
      </c>
      <c r="C55" s="52"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9157.6</v>
      </c>
      <c r="L55" s="52">
        <v>9157.6</v>
      </c>
      <c r="M55" s="52">
        <v>12684.6</v>
      </c>
      <c r="O55" s="52">
        <f t="shared" si="11"/>
        <v>0</v>
      </c>
      <c r="P55" s="52">
        <f t="shared" si="24"/>
        <v>0</v>
      </c>
      <c r="Q55" s="52">
        <f t="shared" si="25"/>
        <v>0</v>
      </c>
      <c r="R55" s="52">
        <f t="shared" si="26"/>
        <v>0</v>
      </c>
      <c r="S55" s="52">
        <f t="shared" si="27"/>
        <v>0</v>
      </c>
      <c r="T55" s="52">
        <f t="shared" si="28"/>
        <v>0</v>
      </c>
      <c r="U55" s="52">
        <f t="shared" si="29"/>
        <v>0</v>
      </c>
      <c r="V55" s="52">
        <f t="shared" si="30"/>
        <v>0</v>
      </c>
      <c r="W55" s="52">
        <f t="shared" si="31"/>
        <v>0</v>
      </c>
      <c r="X55" s="52">
        <f t="shared" si="32"/>
        <v>9157.6</v>
      </c>
      <c r="Y55" s="52">
        <f t="shared" si="33"/>
        <v>0</v>
      </c>
      <c r="Z55" s="52">
        <f t="shared" si="34"/>
        <v>3527</v>
      </c>
    </row>
    <row r="56" spans="1:26" ht="11.25">
      <c r="A56" s="53" t="s">
        <v>146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O56" s="52">
        <f t="shared" si="11"/>
        <v>0</v>
      </c>
      <c r="P56" s="52">
        <f t="shared" si="24"/>
        <v>0</v>
      </c>
      <c r="Q56" s="52">
        <f t="shared" si="25"/>
        <v>0</v>
      </c>
      <c r="R56" s="52">
        <f t="shared" si="26"/>
        <v>0</v>
      </c>
      <c r="S56" s="52">
        <f t="shared" si="27"/>
        <v>0</v>
      </c>
      <c r="T56" s="52">
        <f t="shared" si="28"/>
        <v>0</v>
      </c>
      <c r="U56" s="52">
        <f t="shared" si="29"/>
        <v>0</v>
      </c>
      <c r="V56" s="52">
        <f t="shared" si="30"/>
        <v>0</v>
      </c>
      <c r="W56" s="52">
        <f t="shared" si="31"/>
        <v>0</v>
      </c>
      <c r="X56" s="52">
        <f t="shared" si="32"/>
        <v>0</v>
      </c>
      <c r="Y56" s="52">
        <f t="shared" si="33"/>
        <v>0</v>
      </c>
      <c r="Z56" s="52">
        <f t="shared" si="34"/>
        <v>0</v>
      </c>
    </row>
    <row r="57" spans="1:26" ht="11.25">
      <c r="A57" s="53" t="s">
        <v>147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O57" s="52">
        <f t="shared" si="11"/>
        <v>0</v>
      </c>
      <c r="P57" s="52">
        <f t="shared" si="24"/>
        <v>0</v>
      </c>
      <c r="Q57" s="52">
        <f t="shared" si="25"/>
        <v>0</v>
      </c>
      <c r="R57" s="52">
        <f t="shared" si="26"/>
        <v>0</v>
      </c>
      <c r="S57" s="52">
        <f t="shared" si="27"/>
        <v>0</v>
      </c>
      <c r="T57" s="52">
        <f t="shared" si="28"/>
        <v>0</v>
      </c>
      <c r="U57" s="52">
        <f t="shared" si="29"/>
        <v>0</v>
      </c>
      <c r="V57" s="52">
        <f t="shared" si="30"/>
        <v>0</v>
      </c>
      <c r="W57" s="52">
        <f t="shared" si="31"/>
        <v>0</v>
      </c>
      <c r="X57" s="52">
        <f t="shared" si="32"/>
        <v>0</v>
      </c>
      <c r="Y57" s="52">
        <f t="shared" si="33"/>
        <v>0</v>
      </c>
      <c r="Z57" s="52">
        <f t="shared" si="34"/>
        <v>0</v>
      </c>
    </row>
    <row r="58" spans="1:26" ht="11.25">
      <c r="A58" s="53" t="s">
        <v>108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O58" s="52">
        <f t="shared" si="11"/>
        <v>0</v>
      </c>
      <c r="P58" s="52">
        <f t="shared" si="24"/>
        <v>0</v>
      </c>
      <c r="Q58" s="52">
        <f t="shared" si="25"/>
        <v>0</v>
      </c>
      <c r="R58" s="52">
        <f t="shared" si="26"/>
        <v>0</v>
      </c>
      <c r="S58" s="52">
        <f t="shared" si="27"/>
        <v>0</v>
      </c>
      <c r="T58" s="52">
        <f t="shared" si="28"/>
        <v>0</v>
      </c>
      <c r="U58" s="52">
        <f t="shared" si="29"/>
        <v>0</v>
      </c>
      <c r="V58" s="52">
        <f t="shared" si="30"/>
        <v>0</v>
      </c>
      <c r="W58" s="52">
        <f t="shared" si="31"/>
        <v>0</v>
      </c>
      <c r="X58" s="52">
        <f t="shared" si="32"/>
        <v>0</v>
      </c>
      <c r="Y58" s="52">
        <f t="shared" si="33"/>
        <v>0</v>
      </c>
      <c r="Z58" s="52">
        <f t="shared" si="34"/>
        <v>0</v>
      </c>
    </row>
    <row r="59" spans="1:26" ht="11.25">
      <c r="A59" s="53" t="s">
        <v>148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O59" s="52">
        <f t="shared" si="11"/>
        <v>0</v>
      </c>
      <c r="P59" s="52">
        <f t="shared" si="24"/>
        <v>0</v>
      </c>
      <c r="Q59" s="52">
        <f t="shared" si="25"/>
        <v>0</v>
      </c>
      <c r="R59" s="52">
        <f t="shared" si="26"/>
        <v>0</v>
      </c>
      <c r="S59" s="52">
        <f t="shared" si="27"/>
        <v>0</v>
      </c>
      <c r="T59" s="52">
        <f t="shared" si="28"/>
        <v>0</v>
      </c>
      <c r="U59" s="52">
        <f t="shared" si="29"/>
        <v>0</v>
      </c>
      <c r="V59" s="52">
        <f t="shared" si="30"/>
        <v>0</v>
      </c>
      <c r="W59" s="52">
        <f t="shared" si="31"/>
        <v>0</v>
      </c>
      <c r="X59" s="52">
        <f t="shared" si="32"/>
        <v>0</v>
      </c>
      <c r="Y59" s="52">
        <f t="shared" si="33"/>
        <v>0</v>
      </c>
      <c r="Z59" s="52">
        <f t="shared" si="34"/>
        <v>0</v>
      </c>
    </row>
    <row r="60" spans="1:26" ht="11.25">
      <c r="A60" s="53" t="s">
        <v>149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4744</v>
      </c>
      <c r="L60" s="52">
        <v>5485.33</v>
      </c>
      <c r="M60" s="52">
        <v>5485.33</v>
      </c>
      <c r="O60" s="52">
        <f t="shared" si="11"/>
        <v>0</v>
      </c>
      <c r="P60" s="52">
        <f t="shared" si="24"/>
        <v>0</v>
      </c>
      <c r="Q60" s="52">
        <f t="shared" si="25"/>
        <v>0</v>
      </c>
      <c r="R60" s="52">
        <f t="shared" si="26"/>
        <v>0</v>
      </c>
      <c r="S60" s="52">
        <f t="shared" si="27"/>
        <v>0</v>
      </c>
      <c r="T60" s="52">
        <f t="shared" si="28"/>
        <v>0</v>
      </c>
      <c r="U60" s="52">
        <f t="shared" si="29"/>
        <v>0</v>
      </c>
      <c r="V60" s="52">
        <f t="shared" si="30"/>
        <v>0</v>
      </c>
      <c r="W60" s="52">
        <f t="shared" si="31"/>
        <v>0</v>
      </c>
      <c r="X60" s="52">
        <f t="shared" si="32"/>
        <v>4744</v>
      </c>
      <c r="Y60" s="52">
        <f t="shared" si="33"/>
        <v>741.3299999999999</v>
      </c>
      <c r="Z60" s="52">
        <f t="shared" si="34"/>
        <v>0</v>
      </c>
    </row>
    <row r="61" spans="1:26" ht="11.25">
      <c r="A61" s="53" t="s">
        <v>150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7398.6</v>
      </c>
      <c r="M61" s="52">
        <v>12679</v>
      </c>
      <c r="O61" s="52">
        <f t="shared" si="11"/>
        <v>0</v>
      </c>
      <c r="P61" s="52">
        <f t="shared" si="24"/>
        <v>0</v>
      </c>
      <c r="Q61" s="52">
        <f t="shared" si="25"/>
        <v>0</v>
      </c>
      <c r="R61" s="52">
        <f t="shared" si="26"/>
        <v>0</v>
      </c>
      <c r="S61" s="52">
        <f t="shared" si="27"/>
        <v>0</v>
      </c>
      <c r="T61" s="52">
        <f t="shared" si="28"/>
        <v>0</v>
      </c>
      <c r="U61" s="52">
        <f t="shared" si="29"/>
        <v>0</v>
      </c>
      <c r="V61" s="52">
        <f t="shared" si="30"/>
        <v>0</v>
      </c>
      <c r="W61" s="52">
        <f t="shared" si="31"/>
        <v>0</v>
      </c>
      <c r="X61" s="52">
        <f t="shared" si="32"/>
        <v>0</v>
      </c>
      <c r="Y61" s="52">
        <f t="shared" si="33"/>
        <v>7398.6</v>
      </c>
      <c r="Z61" s="52">
        <f t="shared" si="34"/>
        <v>5280.4</v>
      </c>
    </row>
    <row r="62" spans="1:26" ht="11.25">
      <c r="A62" s="53" t="s">
        <v>151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O62" s="52">
        <f t="shared" si="11"/>
        <v>0</v>
      </c>
      <c r="P62" s="52">
        <f t="shared" si="24"/>
        <v>0</v>
      </c>
      <c r="Q62" s="52">
        <f t="shared" si="25"/>
        <v>0</v>
      </c>
      <c r="R62" s="52">
        <f t="shared" si="26"/>
        <v>0</v>
      </c>
      <c r="S62" s="52">
        <f t="shared" si="27"/>
        <v>0</v>
      </c>
      <c r="T62" s="52">
        <f t="shared" si="28"/>
        <v>0</v>
      </c>
      <c r="U62" s="52">
        <f t="shared" si="29"/>
        <v>0</v>
      </c>
      <c r="V62" s="52">
        <f t="shared" si="30"/>
        <v>0</v>
      </c>
      <c r="W62" s="52">
        <f t="shared" si="31"/>
        <v>0</v>
      </c>
      <c r="X62" s="52">
        <f t="shared" si="32"/>
        <v>0</v>
      </c>
      <c r="Y62" s="52">
        <f t="shared" si="33"/>
        <v>0</v>
      </c>
      <c r="Z62" s="52">
        <f t="shared" si="34"/>
        <v>0</v>
      </c>
    </row>
    <row r="63" spans="1:26" ht="11.25">
      <c r="A63" s="53" t="s">
        <v>122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16957.8</v>
      </c>
      <c r="K63" s="52">
        <v>23965.05</v>
      </c>
      <c r="L63" s="52">
        <v>23965.05</v>
      </c>
      <c r="M63" s="52">
        <v>23965.05</v>
      </c>
      <c r="O63" s="52">
        <f>B63</f>
        <v>0</v>
      </c>
      <c r="P63" s="52">
        <f aca="true" t="shared" si="35" ref="P63:Z63">C63-B63</f>
        <v>0</v>
      </c>
      <c r="Q63" s="52">
        <f t="shared" si="35"/>
        <v>0</v>
      </c>
      <c r="R63" s="52">
        <f t="shared" si="35"/>
        <v>0</v>
      </c>
      <c r="S63" s="52">
        <f t="shared" si="35"/>
        <v>0</v>
      </c>
      <c r="T63" s="52">
        <f t="shared" si="35"/>
        <v>0</v>
      </c>
      <c r="U63" s="52">
        <f t="shared" si="35"/>
        <v>0</v>
      </c>
      <c r="V63" s="52">
        <f t="shared" si="35"/>
        <v>0</v>
      </c>
      <c r="W63" s="52">
        <f t="shared" si="35"/>
        <v>16957.8</v>
      </c>
      <c r="X63" s="52">
        <f t="shared" si="35"/>
        <v>7007.25</v>
      </c>
      <c r="Y63" s="52">
        <f t="shared" si="35"/>
        <v>0</v>
      </c>
      <c r="Z63" s="52">
        <f t="shared" si="35"/>
        <v>0</v>
      </c>
    </row>
    <row r="64" spans="1:26" ht="11.25">
      <c r="A64" s="53" t="s">
        <v>153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O64" s="52">
        <f t="shared" si="11"/>
        <v>0</v>
      </c>
      <c r="P64" s="52">
        <f t="shared" si="24"/>
        <v>0</v>
      </c>
      <c r="Q64" s="52">
        <f t="shared" si="25"/>
        <v>0</v>
      </c>
      <c r="R64" s="52">
        <f t="shared" si="26"/>
        <v>0</v>
      </c>
      <c r="S64" s="52">
        <f t="shared" si="27"/>
        <v>0</v>
      </c>
      <c r="T64" s="52">
        <f t="shared" si="28"/>
        <v>0</v>
      </c>
      <c r="U64" s="52">
        <f t="shared" si="29"/>
        <v>0</v>
      </c>
      <c r="V64" s="52">
        <f t="shared" si="30"/>
        <v>0</v>
      </c>
      <c r="W64" s="52">
        <f t="shared" si="31"/>
        <v>0</v>
      </c>
      <c r="X64" s="52">
        <f t="shared" si="32"/>
        <v>0</v>
      </c>
      <c r="Y64" s="52">
        <f t="shared" si="33"/>
        <v>0</v>
      </c>
      <c r="Z64" s="52">
        <f t="shared" si="34"/>
        <v>0</v>
      </c>
    </row>
    <row r="65" spans="1:26" ht="11.25">
      <c r="A65" s="56" t="s">
        <v>170</v>
      </c>
      <c r="B65" s="57">
        <f>SUM(B35:B64)</f>
        <v>0</v>
      </c>
      <c r="C65" s="57">
        <f aca="true" t="shared" si="36" ref="C65:M65">SUM(C35:C64)</f>
        <v>0</v>
      </c>
      <c r="D65" s="57">
        <f t="shared" si="36"/>
        <v>0</v>
      </c>
      <c r="E65" s="57">
        <f t="shared" si="36"/>
        <v>0</v>
      </c>
      <c r="F65" s="57">
        <f t="shared" si="36"/>
        <v>121800</v>
      </c>
      <c r="G65" s="57">
        <f t="shared" si="36"/>
        <v>205721</v>
      </c>
      <c r="H65" s="57">
        <f t="shared" si="36"/>
        <v>235475.40000000002</v>
      </c>
      <c r="I65" s="57">
        <f t="shared" si="36"/>
        <v>316414.60000000003</v>
      </c>
      <c r="J65" s="57">
        <f t="shared" si="36"/>
        <v>366475.2</v>
      </c>
      <c r="K65" s="57">
        <f t="shared" si="36"/>
        <v>564718.5000000001</v>
      </c>
      <c r="L65" s="57">
        <f t="shared" si="36"/>
        <v>586917.56</v>
      </c>
      <c r="M65" s="57">
        <f t="shared" si="36"/>
        <v>914842.15</v>
      </c>
      <c r="O65" s="57">
        <f aca="true" t="shared" si="37" ref="O65:X65">SUM(O35:O64)</f>
        <v>0</v>
      </c>
      <c r="P65" s="57">
        <f t="shared" si="37"/>
        <v>0</v>
      </c>
      <c r="Q65" s="57">
        <f t="shared" si="37"/>
        <v>0</v>
      </c>
      <c r="R65" s="57">
        <f t="shared" si="37"/>
        <v>0</v>
      </c>
      <c r="S65" s="57">
        <f t="shared" si="37"/>
        <v>121800</v>
      </c>
      <c r="T65" s="57">
        <f t="shared" si="37"/>
        <v>83921</v>
      </c>
      <c r="U65" s="57">
        <f t="shared" si="37"/>
        <v>29754.4</v>
      </c>
      <c r="V65" s="57">
        <f t="shared" si="37"/>
        <v>80939.2</v>
      </c>
      <c r="W65" s="57">
        <f t="shared" si="37"/>
        <v>50060.600000000006</v>
      </c>
      <c r="X65" s="57">
        <f t="shared" si="37"/>
        <v>198243.3</v>
      </c>
      <c r="Y65" s="57">
        <f>SUM(Y35:Y64)</f>
        <v>22199.05999999997</v>
      </c>
      <c r="Z65" s="57">
        <f>SUM(Z35:Z64)</f>
        <v>327924.5900000001</v>
      </c>
    </row>
    <row r="66" ht="11.25">
      <c r="M66" s="66">
        <f>M65+M34</f>
        <v>1536690.11</v>
      </c>
    </row>
    <row r="67" spans="1:26" ht="11.25">
      <c r="A67" s="42"/>
      <c r="B67" s="43" t="s">
        <v>156</v>
      </c>
      <c r="C67" s="43" t="s">
        <v>157</v>
      </c>
      <c r="D67" s="43" t="s">
        <v>158</v>
      </c>
      <c r="E67" s="43" t="s">
        <v>159</v>
      </c>
      <c r="F67" s="43" t="s">
        <v>160</v>
      </c>
      <c r="G67" s="43" t="s">
        <v>161</v>
      </c>
      <c r="H67" s="43" t="s">
        <v>162</v>
      </c>
      <c r="I67" s="43" t="s">
        <v>163</v>
      </c>
      <c r="J67" s="43" t="s">
        <v>164</v>
      </c>
      <c r="K67" s="43" t="s">
        <v>165</v>
      </c>
      <c r="L67" s="44" t="s">
        <v>166</v>
      </c>
      <c r="M67" s="63" t="s">
        <v>173</v>
      </c>
      <c r="O67" s="46" t="s">
        <v>156</v>
      </c>
      <c r="P67" s="43" t="s">
        <v>157</v>
      </c>
      <c r="Q67" s="43" t="s">
        <v>158</v>
      </c>
      <c r="R67" s="43" t="s">
        <v>159</v>
      </c>
      <c r="S67" s="43" t="s">
        <v>160</v>
      </c>
      <c r="T67" s="43" t="s">
        <v>161</v>
      </c>
      <c r="U67" s="43" t="s">
        <v>162</v>
      </c>
      <c r="V67" s="43" t="s">
        <v>163</v>
      </c>
      <c r="W67" s="43" t="s">
        <v>164</v>
      </c>
      <c r="X67" s="43" t="s">
        <v>165</v>
      </c>
      <c r="Y67" s="43" t="s">
        <v>166</v>
      </c>
      <c r="Z67" s="63" t="s">
        <v>173</v>
      </c>
    </row>
    <row r="68" spans="1:26" ht="11.25">
      <c r="A68" s="47"/>
      <c r="B68" s="48">
        <v>2511</v>
      </c>
      <c r="C68" s="48">
        <v>2511</v>
      </c>
      <c r="D68" s="48">
        <v>2511</v>
      </c>
      <c r="E68" s="48">
        <v>2511</v>
      </c>
      <c r="F68" s="48">
        <v>2511</v>
      </c>
      <c r="G68" s="48">
        <v>2511</v>
      </c>
      <c r="H68" s="48">
        <v>2511</v>
      </c>
      <c r="I68" s="48">
        <v>2511</v>
      </c>
      <c r="J68" s="48">
        <v>2511</v>
      </c>
      <c r="K68" s="48">
        <v>2511</v>
      </c>
      <c r="L68" s="49">
        <v>2511</v>
      </c>
      <c r="M68" s="49">
        <v>2511</v>
      </c>
      <c r="O68" s="50">
        <v>2511</v>
      </c>
      <c r="P68" s="48">
        <v>2511</v>
      </c>
      <c r="Q68" s="48">
        <v>2511</v>
      </c>
      <c r="R68" s="48">
        <v>2511</v>
      </c>
      <c r="S68" s="48">
        <v>2511</v>
      </c>
      <c r="T68" s="48">
        <v>2511</v>
      </c>
      <c r="U68" s="48">
        <v>2511</v>
      </c>
      <c r="V68" s="48">
        <v>2511</v>
      </c>
      <c r="W68" s="48">
        <v>2511</v>
      </c>
      <c r="X68" s="48">
        <v>2511</v>
      </c>
      <c r="Y68" s="48">
        <v>2511</v>
      </c>
      <c r="Z68" s="49">
        <v>2511</v>
      </c>
    </row>
    <row r="69" spans="1:26" ht="11.25">
      <c r="A69" s="51" t="s">
        <v>167</v>
      </c>
      <c r="B69" s="52">
        <v>-14269.19</v>
      </c>
      <c r="C69" s="52">
        <v>-2477.41</v>
      </c>
      <c r="D69" s="52">
        <f>114316-4496.89</f>
        <v>109819.11</v>
      </c>
      <c r="E69" s="52">
        <f>77820-212.11</f>
        <v>77607.89</v>
      </c>
      <c r="F69" s="52">
        <f>25000+2159.68-530.3</f>
        <v>26629.38</v>
      </c>
      <c r="G69" s="52">
        <f>-58.13+2159.68-530.3</f>
        <v>1571.2499999999998</v>
      </c>
      <c r="H69" s="52">
        <f>-58.13+2302.58-530.3</f>
        <v>1714.1499999999999</v>
      </c>
      <c r="I69" s="52">
        <f>-58.13+2302.58-530.3</f>
        <v>1714.1499999999999</v>
      </c>
      <c r="J69" s="52">
        <f>-58.13+2302.58-530.3</f>
        <v>1714.1499999999999</v>
      </c>
      <c r="K69" s="52">
        <f>-58.13+2302.58-530.3</f>
        <v>1714.1499999999999</v>
      </c>
      <c r="L69" s="52">
        <f>-58.13+2302.58-530.3</f>
        <v>1714.1499999999999</v>
      </c>
      <c r="M69" s="52">
        <f>2170.2-58.13</f>
        <v>2112.0699999999997</v>
      </c>
      <c r="O69" s="52">
        <f>B69</f>
        <v>-14269.19</v>
      </c>
      <c r="P69" s="52">
        <f aca="true" t="shared" si="38" ref="P69:X69">C69-B69</f>
        <v>11791.78</v>
      </c>
      <c r="Q69" s="52">
        <f t="shared" si="38"/>
        <v>112296.52</v>
      </c>
      <c r="R69" s="52">
        <f t="shared" si="38"/>
        <v>-32211.22</v>
      </c>
      <c r="S69" s="52">
        <f t="shared" si="38"/>
        <v>-50978.509999999995</v>
      </c>
      <c r="T69" s="52">
        <f t="shared" si="38"/>
        <v>-25058.13</v>
      </c>
      <c r="U69" s="52">
        <f t="shared" si="38"/>
        <v>142.9000000000001</v>
      </c>
      <c r="V69" s="52">
        <f t="shared" si="38"/>
        <v>0</v>
      </c>
      <c r="W69" s="52">
        <f t="shared" si="38"/>
        <v>0</v>
      </c>
      <c r="X69" s="52">
        <f t="shared" si="38"/>
        <v>0</v>
      </c>
      <c r="Y69" s="52">
        <f aca="true" t="shared" si="39" ref="Y69:Z84">L69-K69</f>
        <v>0</v>
      </c>
      <c r="Z69" s="52">
        <f t="shared" si="39"/>
        <v>397.91999999999985</v>
      </c>
    </row>
    <row r="70" spans="1:26" ht="11.25">
      <c r="A70" s="51" t="s">
        <v>99</v>
      </c>
      <c r="B70" s="52">
        <v>49667.52</v>
      </c>
      <c r="C70" s="52">
        <v>57728.33</v>
      </c>
      <c r="D70" s="52">
        <v>58589.5</v>
      </c>
      <c r="E70" s="52">
        <v>63797.33</v>
      </c>
      <c r="F70" s="52">
        <v>68719.35</v>
      </c>
      <c r="G70" s="52">
        <v>68719.35</v>
      </c>
      <c r="H70" s="52">
        <v>68769.67</v>
      </c>
      <c r="I70" s="52">
        <v>68769.67</v>
      </c>
      <c r="J70" s="52">
        <v>68769.67</v>
      </c>
      <c r="K70" s="52">
        <v>68769.67</v>
      </c>
      <c r="L70" s="52">
        <v>68769.67</v>
      </c>
      <c r="M70" s="52">
        <v>70840.76</v>
      </c>
      <c r="O70" s="52">
        <f>B70</f>
        <v>49667.52</v>
      </c>
      <c r="P70" s="52">
        <f aca="true" t="shared" si="40" ref="P70:P97">C70-B70</f>
        <v>8060.810000000005</v>
      </c>
      <c r="Q70" s="52">
        <f aca="true" t="shared" si="41" ref="Q70:Q84">D70-C70</f>
        <v>861.1699999999983</v>
      </c>
      <c r="R70" s="52">
        <f aca="true" t="shared" si="42" ref="R70:R84">E70-D70</f>
        <v>5207.830000000002</v>
      </c>
      <c r="S70" s="52">
        <f aca="true" t="shared" si="43" ref="S70:S84">F70-E70</f>
        <v>4922.020000000004</v>
      </c>
      <c r="T70" s="52">
        <f aca="true" t="shared" si="44" ref="T70:T84">G70-F70</f>
        <v>0</v>
      </c>
      <c r="U70" s="52">
        <f aca="true" t="shared" si="45" ref="U70:U84">H70-G70</f>
        <v>50.31999999999243</v>
      </c>
      <c r="V70" s="52">
        <f aca="true" t="shared" si="46" ref="V70:V84">I70-H70</f>
        <v>0</v>
      </c>
      <c r="W70" s="52">
        <f aca="true" t="shared" si="47" ref="W70:W84">J70-I70</f>
        <v>0</v>
      </c>
      <c r="X70" s="52">
        <f aca="true" t="shared" si="48" ref="X70:X84">K70-J70</f>
        <v>0</v>
      </c>
      <c r="Y70" s="52">
        <f t="shared" si="39"/>
        <v>0</v>
      </c>
      <c r="Z70" s="52">
        <f t="shared" si="39"/>
        <v>2071.0899999999965</v>
      </c>
    </row>
    <row r="71" spans="1:26" ht="11.25">
      <c r="A71" s="53" t="s">
        <v>100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>
        <v>0</v>
      </c>
      <c r="O71" s="52">
        <f aca="true" t="shared" si="49" ref="O71:O128">B71</f>
        <v>0</v>
      </c>
      <c r="P71" s="52">
        <f t="shared" si="40"/>
        <v>0</v>
      </c>
      <c r="Q71" s="52">
        <f t="shared" si="41"/>
        <v>0</v>
      </c>
      <c r="R71" s="52">
        <f t="shared" si="42"/>
        <v>0</v>
      </c>
      <c r="S71" s="52">
        <f t="shared" si="43"/>
        <v>0</v>
      </c>
      <c r="T71" s="52">
        <f t="shared" si="44"/>
        <v>0</v>
      </c>
      <c r="U71" s="52">
        <f t="shared" si="45"/>
        <v>0</v>
      </c>
      <c r="V71" s="52">
        <f t="shared" si="46"/>
        <v>0</v>
      </c>
      <c r="W71" s="52">
        <f t="shared" si="47"/>
        <v>0</v>
      </c>
      <c r="X71" s="52">
        <f t="shared" si="48"/>
        <v>0</v>
      </c>
      <c r="Y71" s="52">
        <f t="shared" si="39"/>
        <v>0</v>
      </c>
      <c r="Z71" s="52">
        <f t="shared" si="39"/>
        <v>0</v>
      </c>
    </row>
    <row r="72" spans="1:26" ht="11.25">
      <c r="A72" s="53" t="s">
        <v>101</v>
      </c>
      <c r="B72" s="52">
        <v>7425.74</v>
      </c>
      <c r="C72" s="52">
        <v>8145.43</v>
      </c>
      <c r="D72" s="52">
        <v>11330.27</v>
      </c>
      <c r="E72" s="52">
        <v>11522.88</v>
      </c>
      <c r="F72" s="52">
        <v>11522.88</v>
      </c>
      <c r="G72" s="52">
        <v>11522.88</v>
      </c>
      <c r="H72" s="52">
        <v>11522.88</v>
      </c>
      <c r="I72" s="52">
        <v>15065.37</v>
      </c>
      <c r="J72" s="52">
        <v>15065.37</v>
      </c>
      <c r="K72" s="52">
        <v>15065.37</v>
      </c>
      <c r="L72" s="52">
        <v>15065.37</v>
      </c>
      <c r="M72" s="52">
        <v>15065.37</v>
      </c>
      <c r="O72" s="52">
        <f t="shared" si="49"/>
        <v>7425.74</v>
      </c>
      <c r="P72" s="52">
        <f t="shared" si="40"/>
        <v>719.6900000000005</v>
      </c>
      <c r="Q72" s="52">
        <f t="shared" si="41"/>
        <v>3184.84</v>
      </c>
      <c r="R72" s="52">
        <f t="shared" si="42"/>
        <v>192.60999999999876</v>
      </c>
      <c r="S72" s="52">
        <f t="shared" si="43"/>
        <v>0</v>
      </c>
      <c r="T72" s="52">
        <f t="shared" si="44"/>
        <v>0</v>
      </c>
      <c r="U72" s="52">
        <f t="shared" si="45"/>
        <v>0</v>
      </c>
      <c r="V72" s="52">
        <f t="shared" si="46"/>
        <v>3542.4900000000016</v>
      </c>
      <c r="W72" s="52">
        <f t="shared" si="47"/>
        <v>0</v>
      </c>
      <c r="X72" s="52">
        <f t="shared" si="48"/>
        <v>0</v>
      </c>
      <c r="Y72" s="52">
        <f t="shared" si="39"/>
        <v>0</v>
      </c>
      <c r="Z72" s="52">
        <f t="shared" si="39"/>
        <v>0</v>
      </c>
    </row>
    <row r="73" spans="1:26" ht="11.25">
      <c r="A73" s="53" t="s">
        <v>102</v>
      </c>
      <c r="B73" s="52">
        <v>14495.53</v>
      </c>
      <c r="C73" s="52">
        <v>19854.81</v>
      </c>
      <c r="D73" s="52">
        <v>40810.9</v>
      </c>
      <c r="E73" s="52">
        <v>45387.67</v>
      </c>
      <c r="F73" s="52">
        <v>48065.77</v>
      </c>
      <c r="G73" s="52">
        <v>179147.61</v>
      </c>
      <c r="H73" s="52">
        <v>67986.72</v>
      </c>
      <c r="I73" s="52">
        <v>67986.72</v>
      </c>
      <c r="J73" s="52">
        <v>67986.72</v>
      </c>
      <c r="K73" s="52">
        <v>72359.94</v>
      </c>
      <c r="L73" s="52">
        <v>72359.94</v>
      </c>
      <c r="M73" s="52">
        <v>72359.94</v>
      </c>
      <c r="O73" s="52">
        <f t="shared" si="49"/>
        <v>14495.53</v>
      </c>
      <c r="P73" s="52">
        <f t="shared" si="40"/>
        <v>5359.280000000001</v>
      </c>
      <c r="Q73" s="52">
        <f t="shared" si="41"/>
        <v>20956.09</v>
      </c>
      <c r="R73" s="52">
        <f t="shared" si="42"/>
        <v>4576.769999999997</v>
      </c>
      <c r="S73" s="52">
        <f t="shared" si="43"/>
        <v>2678.0999999999985</v>
      </c>
      <c r="T73" s="52">
        <f t="shared" si="44"/>
        <v>131081.84</v>
      </c>
      <c r="U73" s="52">
        <f t="shared" si="45"/>
        <v>-111160.88999999998</v>
      </c>
      <c r="V73" s="52">
        <f t="shared" si="46"/>
        <v>0</v>
      </c>
      <c r="W73" s="52">
        <f t="shared" si="47"/>
        <v>0</v>
      </c>
      <c r="X73" s="52">
        <f t="shared" si="48"/>
        <v>4373.220000000001</v>
      </c>
      <c r="Y73" s="52">
        <f t="shared" si="39"/>
        <v>0</v>
      </c>
      <c r="Z73" s="52">
        <f t="shared" si="39"/>
        <v>0</v>
      </c>
    </row>
    <row r="74" spans="1:26" ht="11.25">
      <c r="A74" s="53" t="s">
        <v>103</v>
      </c>
      <c r="B74" s="52">
        <v>15556.15</v>
      </c>
      <c r="C74" s="52">
        <v>21890.37</v>
      </c>
      <c r="D74" s="52">
        <v>22125.04</v>
      </c>
      <c r="E74" s="52">
        <v>24500.78</v>
      </c>
      <c r="F74" s="52">
        <v>24500.78</v>
      </c>
      <c r="G74" s="52">
        <v>24500.78</v>
      </c>
      <c r="H74" s="52">
        <v>24500.78</v>
      </c>
      <c r="I74" s="52">
        <v>24500.78</v>
      </c>
      <c r="J74" s="52">
        <v>24500.78</v>
      </c>
      <c r="K74" s="52">
        <v>24500.78</v>
      </c>
      <c r="L74" s="52">
        <v>24500.78</v>
      </c>
      <c r="M74" s="52">
        <v>24640.78</v>
      </c>
      <c r="O74" s="52">
        <f t="shared" si="49"/>
        <v>15556.15</v>
      </c>
      <c r="P74" s="52">
        <f t="shared" si="40"/>
        <v>6334.219999999999</v>
      </c>
      <c r="Q74" s="52">
        <f t="shared" si="41"/>
        <v>234.6700000000019</v>
      </c>
      <c r="R74" s="52">
        <f t="shared" si="42"/>
        <v>2375.739999999998</v>
      </c>
      <c r="S74" s="52">
        <f t="shared" si="43"/>
        <v>0</v>
      </c>
      <c r="T74" s="52">
        <f t="shared" si="44"/>
        <v>0</v>
      </c>
      <c r="U74" s="52">
        <f t="shared" si="45"/>
        <v>0</v>
      </c>
      <c r="V74" s="52">
        <f t="shared" si="46"/>
        <v>0</v>
      </c>
      <c r="W74" s="52">
        <f t="shared" si="47"/>
        <v>0</v>
      </c>
      <c r="X74" s="52">
        <f t="shared" si="48"/>
        <v>0</v>
      </c>
      <c r="Y74" s="52">
        <f t="shared" si="39"/>
        <v>0</v>
      </c>
      <c r="Z74" s="52">
        <f t="shared" si="39"/>
        <v>140</v>
      </c>
    </row>
    <row r="75" spans="1:26" ht="11.25">
      <c r="A75" s="53" t="s">
        <v>104</v>
      </c>
      <c r="B75" s="52">
        <v>3984.38</v>
      </c>
      <c r="C75" s="52">
        <v>3932.22</v>
      </c>
      <c r="D75" s="52">
        <v>3932.22</v>
      </c>
      <c r="E75" s="52">
        <v>3932.22</v>
      </c>
      <c r="F75" s="52">
        <v>3932.22</v>
      </c>
      <c r="G75" s="52">
        <v>6774.89</v>
      </c>
      <c r="H75" s="52">
        <v>6774.89</v>
      </c>
      <c r="I75" s="52">
        <v>6774.89</v>
      </c>
      <c r="J75" s="52">
        <v>6774.89</v>
      </c>
      <c r="K75" s="52">
        <v>6774.89</v>
      </c>
      <c r="L75" s="52">
        <v>6774.89</v>
      </c>
      <c r="M75" s="52">
        <v>6774.89</v>
      </c>
      <c r="O75" s="52">
        <f t="shared" si="49"/>
        <v>3984.38</v>
      </c>
      <c r="P75" s="52">
        <f t="shared" si="40"/>
        <v>-52.16000000000031</v>
      </c>
      <c r="Q75" s="52">
        <f t="shared" si="41"/>
        <v>0</v>
      </c>
      <c r="R75" s="52">
        <f t="shared" si="42"/>
        <v>0</v>
      </c>
      <c r="S75" s="52">
        <f t="shared" si="43"/>
        <v>0</v>
      </c>
      <c r="T75" s="52">
        <f t="shared" si="44"/>
        <v>2842.6700000000005</v>
      </c>
      <c r="U75" s="52">
        <f t="shared" si="45"/>
        <v>0</v>
      </c>
      <c r="V75" s="52">
        <f t="shared" si="46"/>
        <v>0</v>
      </c>
      <c r="W75" s="52">
        <f t="shared" si="47"/>
        <v>0</v>
      </c>
      <c r="X75" s="52">
        <f t="shared" si="48"/>
        <v>0</v>
      </c>
      <c r="Y75" s="52">
        <f t="shared" si="39"/>
        <v>0</v>
      </c>
      <c r="Z75" s="52">
        <f t="shared" si="39"/>
        <v>0</v>
      </c>
    </row>
    <row r="76" spans="1:26" ht="11.25">
      <c r="A76" s="53" t="s">
        <v>105</v>
      </c>
      <c r="B76" s="52">
        <v>2672.48</v>
      </c>
      <c r="C76" s="52">
        <v>2864.23</v>
      </c>
      <c r="D76" s="52">
        <v>2864.23</v>
      </c>
      <c r="E76" s="52">
        <v>2864.23</v>
      </c>
      <c r="F76" s="52">
        <v>2864.23</v>
      </c>
      <c r="G76" s="52">
        <v>2864.23</v>
      </c>
      <c r="H76" s="52">
        <v>2864.23</v>
      </c>
      <c r="I76" s="52">
        <v>2864.23</v>
      </c>
      <c r="J76" s="52">
        <v>2864.23</v>
      </c>
      <c r="K76" s="52">
        <v>2864.23</v>
      </c>
      <c r="L76" s="52">
        <v>2864.23</v>
      </c>
      <c r="M76" s="52">
        <v>2864.23</v>
      </c>
      <c r="O76" s="52">
        <f t="shared" si="49"/>
        <v>2672.48</v>
      </c>
      <c r="P76" s="52">
        <f t="shared" si="40"/>
        <v>191.75</v>
      </c>
      <c r="Q76" s="52">
        <f t="shared" si="41"/>
        <v>0</v>
      </c>
      <c r="R76" s="52">
        <f t="shared" si="42"/>
        <v>0</v>
      </c>
      <c r="S76" s="52">
        <f t="shared" si="43"/>
        <v>0</v>
      </c>
      <c r="T76" s="52">
        <f t="shared" si="44"/>
        <v>0</v>
      </c>
      <c r="U76" s="52">
        <f t="shared" si="45"/>
        <v>0</v>
      </c>
      <c r="V76" s="52">
        <f t="shared" si="46"/>
        <v>0</v>
      </c>
      <c r="W76" s="52">
        <f t="shared" si="47"/>
        <v>0</v>
      </c>
      <c r="X76" s="52">
        <f t="shared" si="48"/>
        <v>0</v>
      </c>
      <c r="Y76" s="52">
        <f t="shared" si="39"/>
        <v>0</v>
      </c>
      <c r="Z76" s="52">
        <f t="shared" si="39"/>
        <v>0</v>
      </c>
    </row>
    <row r="77" spans="1:26" ht="11.25">
      <c r="A77" s="53" t="s">
        <v>106</v>
      </c>
      <c r="B77" s="52">
        <v>0</v>
      </c>
      <c r="C77" s="52">
        <v>0</v>
      </c>
      <c r="D77" s="52">
        <v>0</v>
      </c>
      <c r="E77" s="52">
        <v>0</v>
      </c>
      <c r="F77" s="52">
        <v>0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52">
        <v>0</v>
      </c>
      <c r="M77" s="52">
        <v>0</v>
      </c>
      <c r="O77" s="52">
        <f t="shared" si="49"/>
        <v>0</v>
      </c>
      <c r="P77" s="52">
        <f t="shared" si="40"/>
        <v>0</v>
      </c>
      <c r="Q77" s="52">
        <f t="shared" si="41"/>
        <v>0</v>
      </c>
      <c r="R77" s="52">
        <f t="shared" si="42"/>
        <v>0</v>
      </c>
      <c r="S77" s="52">
        <f t="shared" si="43"/>
        <v>0</v>
      </c>
      <c r="T77" s="52">
        <f t="shared" si="44"/>
        <v>0</v>
      </c>
      <c r="U77" s="52">
        <f t="shared" si="45"/>
        <v>0</v>
      </c>
      <c r="V77" s="52">
        <f t="shared" si="46"/>
        <v>0</v>
      </c>
      <c r="W77" s="52">
        <f t="shared" si="47"/>
        <v>0</v>
      </c>
      <c r="X77" s="52">
        <f t="shared" si="48"/>
        <v>0</v>
      </c>
      <c r="Y77" s="52">
        <f t="shared" si="39"/>
        <v>0</v>
      </c>
      <c r="Z77" s="52">
        <f t="shared" si="39"/>
        <v>0</v>
      </c>
    </row>
    <row r="78" spans="1:26" ht="11.25">
      <c r="A78" s="53" t="s">
        <v>107</v>
      </c>
      <c r="B78" s="52">
        <v>0</v>
      </c>
      <c r="C78" s="52">
        <v>0</v>
      </c>
      <c r="D78" s="52">
        <v>0</v>
      </c>
      <c r="E78" s="52">
        <v>0</v>
      </c>
      <c r="F78" s="52">
        <v>0</v>
      </c>
      <c r="G78" s="52">
        <v>0</v>
      </c>
      <c r="H78" s="52">
        <v>0</v>
      </c>
      <c r="I78" s="52">
        <v>0</v>
      </c>
      <c r="J78" s="52">
        <v>0</v>
      </c>
      <c r="K78" s="52">
        <v>0</v>
      </c>
      <c r="L78" s="52">
        <v>0</v>
      </c>
      <c r="M78" s="52">
        <v>0</v>
      </c>
      <c r="O78" s="52">
        <f t="shared" si="49"/>
        <v>0</v>
      </c>
      <c r="P78" s="52">
        <f t="shared" si="40"/>
        <v>0</v>
      </c>
      <c r="Q78" s="52">
        <f t="shared" si="41"/>
        <v>0</v>
      </c>
      <c r="R78" s="52">
        <f t="shared" si="42"/>
        <v>0</v>
      </c>
      <c r="S78" s="52">
        <f t="shared" si="43"/>
        <v>0</v>
      </c>
      <c r="T78" s="52">
        <f t="shared" si="44"/>
        <v>0</v>
      </c>
      <c r="U78" s="52">
        <f t="shared" si="45"/>
        <v>0</v>
      </c>
      <c r="V78" s="52">
        <f t="shared" si="46"/>
        <v>0</v>
      </c>
      <c r="W78" s="52">
        <f t="shared" si="47"/>
        <v>0</v>
      </c>
      <c r="X78" s="52">
        <f t="shared" si="48"/>
        <v>0</v>
      </c>
      <c r="Y78" s="52">
        <f t="shared" si="39"/>
        <v>0</v>
      </c>
      <c r="Z78" s="52">
        <f t="shared" si="39"/>
        <v>0</v>
      </c>
    </row>
    <row r="79" spans="1:26" ht="11.25">
      <c r="A79" s="53" t="s">
        <v>108</v>
      </c>
      <c r="B79" s="52">
        <v>7821.32</v>
      </c>
      <c r="C79" s="52">
        <v>9055.33</v>
      </c>
      <c r="D79" s="52">
        <v>12263.97</v>
      </c>
      <c r="E79" s="52">
        <v>12752.45</v>
      </c>
      <c r="F79" s="52">
        <v>13307.18</v>
      </c>
      <c r="G79" s="52">
        <v>13307.18</v>
      </c>
      <c r="H79" s="52">
        <v>13307.18</v>
      </c>
      <c r="I79" s="52">
        <v>13307.18</v>
      </c>
      <c r="J79" s="52">
        <v>13307.18</v>
      </c>
      <c r="K79" s="52">
        <v>14233.89</v>
      </c>
      <c r="L79" s="52">
        <v>14233.89</v>
      </c>
      <c r="M79" s="52">
        <v>14233.89</v>
      </c>
      <c r="O79" s="52">
        <f t="shared" si="49"/>
        <v>7821.32</v>
      </c>
      <c r="P79" s="52">
        <f t="shared" si="40"/>
        <v>1234.0100000000002</v>
      </c>
      <c r="Q79" s="52">
        <f t="shared" si="41"/>
        <v>3208.6399999999994</v>
      </c>
      <c r="R79" s="52">
        <f t="shared" si="42"/>
        <v>488.4800000000014</v>
      </c>
      <c r="S79" s="52">
        <f t="shared" si="43"/>
        <v>554.7299999999996</v>
      </c>
      <c r="T79" s="52">
        <f t="shared" si="44"/>
        <v>0</v>
      </c>
      <c r="U79" s="52">
        <f t="shared" si="45"/>
        <v>0</v>
      </c>
      <c r="V79" s="52">
        <f t="shared" si="46"/>
        <v>0</v>
      </c>
      <c r="W79" s="52">
        <f t="shared" si="47"/>
        <v>0</v>
      </c>
      <c r="X79" s="52">
        <f t="shared" si="48"/>
        <v>926.7099999999991</v>
      </c>
      <c r="Y79" s="52">
        <f t="shared" si="39"/>
        <v>0</v>
      </c>
      <c r="Z79" s="52">
        <f t="shared" si="39"/>
        <v>0</v>
      </c>
    </row>
    <row r="80" spans="1:26" ht="11.25">
      <c r="A80" s="53" t="s">
        <v>109</v>
      </c>
      <c r="B80" s="52">
        <v>13.33</v>
      </c>
      <c r="C80" s="52">
        <v>446.71</v>
      </c>
      <c r="D80" s="52">
        <v>1899.02</v>
      </c>
      <c r="E80" s="52">
        <v>2201.81</v>
      </c>
      <c r="F80" s="52">
        <v>2201.81</v>
      </c>
      <c r="G80" s="52">
        <v>2201.81</v>
      </c>
      <c r="H80" s="52">
        <v>2201.81</v>
      </c>
      <c r="I80" s="52">
        <v>2201.81</v>
      </c>
      <c r="J80" s="52">
        <v>2201.81</v>
      </c>
      <c r="K80" s="52">
        <v>2201.81</v>
      </c>
      <c r="L80" s="52">
        <v>2201.81</v>
      </c>
      <c r="M80" s="52">
        <v>2201.81</v>
      </c>
      <c r="O80" s="52">
        <f t="shared" si="49"/>
        <v>13.33</v>
      </c>
      <c r="P80" s="52">
        <f t="shared" si="40"/>
        <v>433.38</v>
      </c>
      <c r="Q80" s="52">
        <f t="shared" si="41"/>
        <v>1452.31</v>
      </c>
      <c r="R80" s="52">
        <f t="shared" si="42"/>
        <v>302.78999999999996</v>
      </c>
      <c r="S80" s="52">
        <f t="shared" si="43"/>
        <v>0</v>
      </c>
      <c r="T80" s="52">
        <f t="shared" si="44"/>
        <v>0</v>
      </c>
      <c r="U80" s="52">
        <f t="shared" si="45"/>
        <v>0</v>
      </c>
      <c r="V80" s="52">
        <f t="shared" si="46"/>
        <v>0</v>
      </c>
      <c r="W80" s="52">
        <f t="shared" si="47"/>
        <v>0</v>
      </c>
      <c r="X80" s="52">
        <f t="shared" si="48"/>
        <v>0</v>
      </c>
      <c r="Y80" s="52">
        <f t="shared" si="39"/>
        <v>0</v>
      </c>
      <c r="Z80" s="52">
        <f t="shared" si="39"/>
        <v>0</v>
      </c>
    </row>
    <row r="81" spans="1:26" ht="11.25">
      <c r="A81" s="53" t="s">
        <v>110</v>
      </c>
      <c r="B81" s="52">
        <v>2203.54</v>
      </c>
      <c r="C81" s="52">
        <v>6380.64</v>
      </c>
      <c r="D81" s="52">
        <v>9718.2</v>
      </c>
      <c r="E81" s="52">
        <v>11100.14</v>
      </c>
      <c r="F81" s="52">
        <v>11100.14</v>
      </c>
      <c r="G81" s="52">
        <v>11100.14</v>
      </c>
      <c r="H81" s="52">
        <v>11100.14</v>
      </c>
      <c r="I81" s="52">
        <v>11100.14</v>
      </c>
      <c r="J81" s="52">
        <v>11100.14</v>
      </c>
      <c r="K81" s="52">
        <v>11100.14</v>
      </c>
      <c r="L81" s="52">
        <v>11100.14</v>
      </c>
      <c r="M81" s="52">
        <v>11100.14</v>
      </c>
      <c r="O81" s="52">
        <f t="shared" si="49"/>
        <v>2203.54</v>
      </c>
      <c r="P81" s="52">
        <f t="shared" si="40"/>
        <v>4177.1</v>
      </c>
      <c r="Q81" s="52">
        <f t="shared" si="41"/>
        <v>3337.5600000000004</v>
      </c>
      <c r="R81" s="52">
        <f t="shared" si="42"/>
        <v>1381.9399999999987</v>
      </c>
      <c r="S81" s="52">
        <f t="shared" si="43"/>
        <v>0</v>
      </c>
      <c r="T81" s="52">
        <f t="shared" si="44"/>
        <v>0</v>
      </c>
      <c r="U81" s="52">
        <f t="shared" si="45"/>
        <v>0</v>
      </c>
      <c r="V81" s="52">
        <f t="shared" si="46"/>
        <v>0</v>
      </c>
      <c r="W81" s="52">
        <f t="shared" si="47"/>
        <v>0</v>
      </c>
      <c r="X81" s="52">
        <f t="shared" si="48"/>
        <v>0</v>
      </c>
      <c r="Y81" s="52">
        <f t="shared" si="39"/>
        <v>0</v>
      </c>
      <c r="Z81" s="52">
        <f t="shared" si="39"/>
        <v>0</v>
      </c>
    </row>
    <row r="82" spans="1:26" ht="11.25">
      <c r="A82" s="53" t="s">
        <v>111</v>
      </c>
      <c r="B82" s="52">
        <v>1543.92</v>
      </c>
      <c r="C82" s="52">
        <v>1987.05</v>
      </c>
      <c r="D82" s="52">
        <v>3714.37</v>
      </c>
      <c r="E82" s="52">
        <v>3900.83</v>
      </c>
      <c r="F82" s="52">
        <v>4023.96</v>
      </c>
      <c r="G82" s="52">
        <v>4023.96</v>
      </c>
      <c r="H82" s="52">
        <v>4023.96</v>
      </c>
      <c r="I82" s="52">
        <v>4023.96</v>
      </c>
      <c r="J82" s="52">
        <v>4023.96</v>
      </c>
      <c r="K82" s="52">
        <v>4023.96</v>
      </c>
      <c r="L82" s="52">
        <v>4023.96</v>
      </c>
      <c r="M82" s="52">
        <v>4023.96</v>
      </c>
      <c r="O82" s="52">
        <f t="shared" si="49"/>
        <v>1543.92</v>
      </c>
      <c r="P82" s="52">
        <f t="shared" si="40"/>
        <v>443.1299999999999</v>
      </c>
      <c r="Q82" s="52">
        <f t="shared" si="41"/>
        <v>1727.32</v>
      </c>
      <c r="R82" s="52">
        <f t="shared" si="42"/>
        <v>186.46000000000004</v>
      </c>
      <c r="S82" s="52">
        <f t="shared" si="43"/>
        <v>123.13000000000011</v>
      </c>
      <c r="T82" s="52">
        <f t="shared" si="44"/>
        <v>0</v>
      </c>
      <c r="U82" s="52">
        <f t="shared" si="45"/>
        <v>0</v>
      </c>
      <c r="V82" s="52">
        <f t="shared" si="46"/>
        <v>0</v>
      </c>
      <c r="W82" s="52">
        <f t="shared" si="47"/>
        <v>0</v>
      </c>
      <c r="X82" s="52">
        <f t="shared" si="48"/>
        <v>0</v>
      </c>
      <c r="Y82" s="52">
        <f t="shared" si="39"/>
        <v>0</v>
      </c>
      <c r="Z82" s="52">
        <f t="shared" si="39"/>
        <v>0</v>
      </c>
    </row>
    <row r="83" spans="1:26" ht="11.25">
      <c r="A83" s="53" t="s">
        <v>112</v>
      </c>
      <c r="B83" s="52">
        <v>4628.41</v>
      </c>
      <c r="C83" s="52">
        <v>7400.08</v>
      </c>
      <c r="D83" s="52">
        <v>10679.88</v>
      </c>
      <c r="E83" s="52">
        <v>10935.5</v>
      </c>
      <c r="F83" s="52">
        <v>12285.02</v>
      </c>
      <c r="G83" s="52">
        <v>12285.02</v>
      </c>
      <c r="H83" s="52">
        <v>12285.02</v>
      </c>
      <c r="I83" s="52">
        <v>12285.02</v>
      </c>
      <c r="J83" s="52">
        <v>12285.02</v>
      </c>
      <c r="K83" s="52">
        <v>12285.02</v>
      </c>
      <c r="L83" s="52">
        <v>12285.02</v>
      </c>
      <c r="M83" s="52">
        <v>12285.02</v>
      </c>
      <c r="O83" s="52">
        <f t="shared" si="49"/>
        <v>4628.41</v>
      </c>
      <c r="P83" s="52">
        <f t="shared" si="40"/>
        <v>2771.67</v>
      </c>
      <c r="Q83" s="52">
        <f t="shared" si="41"/>
        <v>3279.7999999999993</v>
      </c>
      <c r="R83" s="52">
        <f t="shared" si="42"/>
        <v>255.6200000000008</v>
      </c>
      <c r="S83" s="52">
        <f t="shared" si="43"/>
        <v>1349.5200000000004</v>
      </c>
      <c r="T83" s="52">
        <f t="shared" si="44"/>
        <v>0</v>
      </c>
      <c r="U83" s="52">
        <f t="shared" si="45"/>
        <v>0</v>
      </c>
      <c r="V83" s="52">
        <f t="shared" si="46"/>
        <v>0</v>
      </c>
      <c r="W83" s="52">
        <f t="shared" si="47"/>
        <v>0</v>
      </c>
      <c r="X83" s="52">
        <f t="shared" si="48"/>
        <v>0</v>
      </c>
      <c r="Y83" s="52">
        <f t="shared" si="39"/>
        <v>0</v>
      </c>
      <c r="Z83" s="52">
        <f t="shared" si="39"/>
        <v>0</v>
      </c>
    </row>
    <row r="84" spans="1:26" ht="11.25">
      <c r="A84" s="53" t="s">
        <v>113</v>
      </c>
      <c r="B84" s="52">
        <v>0</v>
      </c>
      <c r="C84" s="52">
        <v>0</v>
      </c>
      <c r="D84" s="52">
        <v>2060.81</v>
      </c>
      <c r="E84" s="52">
        <v>2777.76</v>
      </c>
      <c r="F84" s="52">
        <v>4914.37</v>
      </c>
      <c r="G84" s="52">
        <v>4914.37</v>
      </c>
      <c r="H84" s="52">
        <v>5148.36</v>
      </c>
      <c r="I84" s="52">
        <v>5148.36</v>
      </c>
      <c r="J84" s="52">
        <v>5148.36</v>
      </c>
      <c r="K84" s="52">
        <v>5148.36</v>
      </c>
      <c r="L84" s="52">
        <v>5148.36</v>
      </c>
      <c r="M84" s="52">
        <v>6118.73</v>
      </c>
      <c r="O84" s="52">
        <f t="shared" si="49"/>
        <v>0</v>
      </c>
      <c r="P84" s="52">
        <f t="shared" si="40"/>
        <v>0</v>
      </c>
      <c r="Q84" s="52">
        <f t="shared" si="41"/>
        <v>2060.81</v>
      </c>
      <c r="R84" s="52">
        <f t="shared" si="42"/>
        <v>716.9500000000003</v>
      </c>
      <c r="S84" s="52">
        <f t="shared" si="43"/>
        <v>2136.6099999999997</v>
      </c>
      <c r="T84" s="52">
        <f t="shared" si="44"/>
        <v>0</v>
      </c>
      <c r="U84" s="52">
        <f t="shared" si="45"/>
        <v>233.98999999999978</v>
      </c>
      <c r="V84" s="52">
        <f t="shared" si="46"/>
        <v>0</v>
      </c>
      <c r="W84" s="52">
        <f t="shared" si="47"/>
        <v>0</v>
      </c>
      <c r="X84" s="52">
        <f t="shared" si="48"/>
        <v>0</v>
      </c>
      <c r="Y84" s="52">
        <f t="shared" si="39"/>
        <v>0</v>
      </c>
      <c r="Z84" s="52">
        <f t="shared" si="39"/>
        <v>970.3699999999999</v>
      </c>
    </row>
    <row r="85" spans="1:26" ht="11.25">
      <c r="A85" s="53" t="s">
        <v>114</v>
      </c>
      <c r="B85" s="52">
        <v>0</v>
      </c>
      <c r="C85" s="52">
        <v>1901.79</v>
      </c>
      <c r="D85" s="52">
        <v>8565.95</v>
      </c>
      <c r="E85" s="52">
        <v>9295.87</v>
      </c>
      <c r="F85" s="52">
        <v>9858.65</v>
      </c>
      <c r="G85" s="52">
        <v>9951.98</v>
      </c>
      <c r="H85" s="52">
        <v>9951.98</v>
      </c>
      <c r="I85" s="52">
        <v>9951.98</v>
      </c>
      <c r="J85" s="52">
        <v>9951.98</v>
      </c>
      <c r="K85" s="52">
        <v>9951.98</v>
      </c>
      <c r="L85" s="52">
        <v>9951.98</v>
      </c>
      <c r="M85" s="52">
        <v>18056.03</v>
      </c>
      <c r="O85" s="52">
        <f t="shared" si="49"/>
        <v>0</v>
      </c>
      <c r="P85" s="52">
        <f t="shared" si="40"/>
        <v>1901.79</v>
      </c>
      <c r="Q85" s="52">
        <f aca="true" t="shared" si="50" ref="Q85:Q97">D85-C85</f>
        <v>6664.160000000001</v>
      </c>
      <c r="R85" s="52">
        <f aca="true" t="shared" si="51" ref="R85:R97">E85-D85</f>
        <v>729.9200000000001</v>
      </c>
      <c r="S85" s="52">
        <f aca="true" t="shared" si="52" ref="S85:S97">F85-E85</f>
        <v>562.7799999999988</v>
      </c>
      <c r="T85" s="52">
        <f aca="true" t="shared" si="53" ref="T85:T97">G85-F85</f>
        <v>93.32999999999993</v>
      </c>
      <c r="U85" s="52">
        <f aca="true" t="shared" si="54" ref="U85:U97">H85-G85</f>
        <v>0</v>
      </c>
      <c r="V85" s="52">
        <f aca="true" t="shared" si="55" ref="V85:V97">I85-H85</f>
        <v>0</v>
      </c>
      <c r="W85" s="52">
        <f aca="true" t="shared" si="56" ref="W85:W97">J85-I85</f>
        <v>0</v>
      </c>
      <c r="X85" s="52">
        <f aca="true" t="shared" si="57" ref="X85:X97">K85-J85</f>
        <v>0</v>
      </c>
      <c r="Y85" s="52">
        <f aca="true" t="shared" si="58" ref="Y85:Y97">L85-K85</f>
        <v>0</v>
      </c>
      <c r="Z85" s="52">
        <f aca="true" t="shared" si="59" ref="Z85:Z97">M85-L85</f>
        <v>8104.049999999999</v>
      </c>
    </row>
    <row r="86" spans="1:26" ht="11.25">
      <c r="A86" s="53" t="s">
        <v>115</v>
      </c>
      <c r="B86" s="52">
        <v>83.37</v>
      </c>
      <c r="C86" s="52">
        <v>3234.91</v>
      </c>
      <c r="D86" s="52">
        <v>9785.49</v>
      </c>
      <c r="E86" s="52">
        <v>12575.42</v>
      </c>
      <c r="F86" s="52">
        <v>10922.3</v>
      </c>
      <c r="G86" s="52">
        <v>10922.3</v>
      </c>
      <c r="H86" s="52">
        <v>10922.3</v>
      </c>
      <c r="I86" s="52">
        <v>10922.3</v>
      </c>
      <c r="J86" s="52">
        <v>10922.3</v>
      </c>
      <c r="K86" s="52">
        <v>10922.3</v>
      </c>
      <c r="L86" s="52">
        <v>10922.3</v>
      </c>
      <c r="M86" s="52">
        <v>10922.3</v>
      </c>
      <c r="O86" s="52">
        <f t="shared" si="49"/>
        <v>83.37</v>
      </c>
      <c r="P86" s="52">
        <f t="shared" si="40"/>
        <v>3151.54</v>
      </c>
      <c r="Q86" s="52">
        <f t="shared" si="50"/>
        <v>6550.58</v>
      </c>
      <c r="R86" s="52">
        <f t="shared" si="51"/>
        <v>2789.9300000000003</v>
      </c>
      <c r="S86" s="52">
        <f t="shared" si="52"/>
        <v>-1653.1200000000008</v>
      </c>
      <c r="T86" s="52">
        <f t="shared" si="53"/>
        <v>0</v>
      </c>
      <c r="U86" s="52">
        <f t="shared" si="54"/>
        <v>0</v>
      </c>
      <c r="V86" s="52">
        <f t="shared" si="55"/>
        <v>0</v>
      </c>
      <c r="W86" s="52">
        <f t="shared" si="56"/>
        <v>0</v>
      </c>
      <c r="X86" s="52">
        <f t="shared" si="57"/>
        <v>0</v>
      </c>
      <c r="Y86" s="52">
        <f t="shared" si="58"/>
        <v>0</v>
      </c>
      <c r="Z86" s="52">
        <f t="shared" si="59"/>
        <v>0</v>
      </c>
    </row>
    <row r="87" spans="1:26" ht="11.25">
      <c r="A87" s="53" t="s">
        <v>116</v>
      </c>
      <c r="B87" s="52">
        <v>1011.7</v>
      </c>
      <c r="C87" s="52">
        <v>3148.95</v>
      </c>
      <c r="D87" s="52">
        <v>3207.42</v>
      </c>
      <c r="E87" s="52">
        <v>3447.39</v>
      </c>
      <c r="F87" s="52">
        <v>6882.87</v>
      </c>
      <c r="G87" s="52">
        <v>6882.87</v>
      </c>
      <c r="H87" s="52">
        <v>6882.87</v>
      </c>
      <c r="I87" s="52">
        <v>6882.87</v>
      </c>
      <c r="J87" s="52">
        <v>6882.87</v>
      </c>
      <c r="K87" s="52">
        <v>6882.87</v>
      </c>
      <c r="L87" s="52">
        <v>6882.87</v>
      </c>
      <c r="M87" s="52">
        <v>6882.87</v>
      </c>
      <c r="O87" s="52">
        <f t="shared" si="49"/>
        <v>1011.7</v>
      </c>
      <c r="P87" s="52">
        <f t="shared" si="40"/>
        <v>2137.25</v>
      </c>
      <c r="Q87" s="52">
        <f t="shared" si="50"/>
        <v>58.470000000000255</v>
      </c>
      <c r="R87" s="52">
        <f t="shared" si="51"/>
        <v>239.9699999999998</v>
      </c>
      <c r="S87" s="52">
        <f t="shared" si="52"/>
        <v>3435.48</v>
      </c>
      <c r="T87" s="52">
        <f t="shared" si="53"/>
        <v>0</v>
      </c>
      <c r="U87" s="52">
        <f t="shared" si="54"/>
        <v>0</v>
      </c>
      <c r="V87" s="52">
        <f t="shared" si="55"/>
        <v>0</v>
      </c>
      <c r="W87" s="52">
        <f t="shared" si="56"/>
        <v>0</v>
      </c>
      <c r="X87" s="52">
        <f t="shared" si="57"/>
        <v>0</v>
      </c>
      <c r="Y87" s="52">
        <f t="shared" si="58"/>
        <v>0</v>
      </c>
      <c r="Z87" s="52">
        <f t="shared" si="59"/>
        <v>0</v>
      </c>
    </row>
    <row r="88" spans="1:26" ht="11.25">
      <c r="A88" s="53" t="s">
        <v>117</v>
      </c>
      <c r="B88" s="52">
        <v>0</v>
      </c>
      <c r="C88" s="52">
        <v>730.21</v>
      </c>
      <c r="D88" s="52">
        <v>780.19</v>
      </c>
      <c r="E88" s="52">
        <v>827.87</v>
      </c>
      <c r="F88" s="52">
        <v>827.87</v>
      </c>
      <c r="G88" s="52">
        <v>827.87</v>
      </c>
      <c r="H88" s="52">
        <v>827.87</v>
      </c>
      <c r="I88" s="52">
        <v>827.87</v>
      </c>
      <c r="J88" s="52">
        <v>827.87</v>
      </c>
      <c r="K88" s="52">
        <v>827.87</v>
      </c>
      <c r="L88" s="52">
        <v>827.87</v>
      </c>
      <c r="M88" s="52">
        <v>827.87</v>
      </c>
      <c r="O88" s="52">
        <f t="shared" si="49"/>
        <v>0</v>
      </c>
      <c r="P88" s="52">
        <f t="shared" si="40"/>
        <v>730.21</v>
      </c>
      <c r="Q88" s="52">
        <f t="shared" si="50"/>
        <v>49.98000000000002</v>
      </c>
      <c r="R88" s="52">
        <f t="shared" si="51"/>
        <v>47.67999999999995</v>
      </c>
      <c r="S88" s="52">
        <f t="shared" si="52"/>
        <v>0</v>
      </c>
      <c r="T88" s="52">
        <f t="shared" si="53"/>
        <v>0</v>
      </c>
      <c r="U88" s="52">
        <f t="shared" si="54"/>
        <v>0</v>
      </c>
      <c r="V88" s="52">
        <f t="shared" si="55"/>
        <v>0</v>
      </c>
      <c r="W88" s="52">
        <f t="shared" si="56"/>
        <v>0</v>
      </c>
      <c r="X88" s="52">
        <f t="shared" si="57"/>
        <v>0</v>
      </c>
      <c r="Y88" s="52">
        <f t="shared" si="58"/>
        <v>0</v>
      </c>
      <c r="Z88" s="52">
        <f t="shared" si="59"/>
        <v>0</v>
      </c>
    </row>
    <row r="89" spans="1:26" ht="11.25">
      <c r="A89" s="53" t="s">
        <v>118</v>
      </c>
      <c r="B89" s="52">
        <v>0</v>
      </c>
      <c r="C89" s="52">
        <v>2489.08</v>
      </c>
      <c r="D89" s="52">
        <v>2610.28</v>
      </c>
      <c r="E89" s="52">
        <v>3055.69</v>
      </c>
      <c r="F89" s="52">
        <v>3055.69</v>
      </c>
      <c r="G89" s="52">
        <v>3055.69</v>
      </c>
      <c r="H89" s="52">
        <v>3055.69</v>
      </c>
      <c r="I89" s="52">
        <v>3055.69</v>
      </c>
      <c r="J89" s="52">
        <v>3055.69</v>
      </c>
      <c r="K89" s="52">
        <v>3055.69</v>
      </c>
      <c r="L89" s="52">
        <v>3055.69</v>
      </c>
      <c r="M89" s="52">
        <v>3055.69</v>
      </c>
      <c r="O89" s="52">
        <f t="shared" si="49"/>
        <v>0</v>
      </c>
      <c r="P89" s="52">
        <f t="shared" si="40"/>
        <v>2489.08</v>
      </c>
      <c r="Q89" s="52">
        <f t="shared" si="50"/>
        <v>121.20000000000027</v>
      </c>
      <c r="R89" s="52">
        <f t="shared" si="51"/>
        <v>445.40999999999985</v>
      </c>
      <c r="S89" s="52">
        <f t="shared" si="52"/>
        <v>0</v>
      </c>
      <c r="T89" s="52">
        <f t="shared" si="53"/>
        <v>0</v>
      </c>
      <c r="U89" s="52">
        <f t="shared" si="54"/>
        <v>0</v>
      </c>
      <c r="V89" s="52">
        <f t="shared" si="55"/>
        <v>0</v>
      </c>
      <c r="W89" s="52">
        <f t="shared" si="56"/>
        <v>0</v>
      </c>
      <c r="X89" s="52">
        <f t="shared" si="57"/>
        <v>0</v>
      </c>
      <c r="Y89" s="52">
        <f t="shared" si="58"/>
        <v>0</v>
      </c>
      <c r="Z89" s="52">
        <f t="shared" si="59"/>
        <v>0</v>
      </c>
    </row>
    <row r="90" spans="1:26" ht="11.25">
      <c r="A90" s="53" t="s">
        <v>119</v>
      </c>
      <c r="B90" s="52">
        <v>817.5</v>
      </c>
      <c r="C90" s="52">
        <v>2245.36</v>
      </c>
      <c r="D90" s="52">
        <v>2301.36</v>
      </c>
      <c r="E90" s="52">
        <v>2376.75</v>
      </c>
      <c r="F90" s="52">
        <v>2376.75</v>
      </c>
      <c r="G90" s="52">
        <v>2376.75</v>
      </c>
      <c r="H90" s="52">
        <v>2376.75</v>
      </c>
      <c r="I90" s="52">
        <v>2376.75</v>
      </c>
      <c r="J90" s="52">
        <v>2376.75</v>
      </c>
      <c r="K90" s="52">
        <v>2376.75</v>
      </c>
      <c r="L90" s="52">
        <v>2376.75</v>
      </c>
      <c r="M90" s="52">
        <v>2376.75</v>
      </c>
      <c r="O90" s="52">
        <f t="shared" si="49"/>
        <v>817.5</v>
      </c>
      <c r="P90" s="52">
        <f t="shared" si="40"/>
        <v>1427.8600000000001</v>
      </c>
      <c r="Q90" s="52">
        <f t="shared" si="50"/>
        <v>56</v>
      </c>
      <c r="R90" s="52">
        <f t="shared" si="51"/>
        <v>75.38999999999987</v>
      </c>
      <c r="S90" s="52">
        <f t="shared" si="52"/>
        <v>0</v>
      </c>
      <c r="T90" s="52">
        <f t="shared" si="53"/>
        <v>0</v>
      </c>
      <c r="U90" s="52">
        <f t="shared" si="54"/>
        <v>0</v>
      </c>
      <c r="V90" s="52">
        <f t="shared" si="55"/>
        <v>0</v>
      </c>
      <c r="W90" s="52">
        <f t="shared" si="56"/>
        <v>0</v>
      </c>
      <c r="X90" s="52">
        <f t="shared" si="57"/>
        <v>0</v>
      </c>
      <c r="Y90" s="52">
        <f t="shared" si="58"/>
        <v>0</v>
      </c>
      <c r="Z90" s="52">
        <f t="shared" si="59"/>
        <v>0</v>
      </c>
    </row>
    <row r="91" spans="1:26" ht="11.25">
      <c r="A91" s="53" t="s">
        <v>120</v>
      </c>
      <c r="B91" s="52">
        <v>1070.32</v>
      </c>
      <c r="C91" s="52">
        <v>1634.55</v>
      </c>
      <c r="D91" s="52">
        <v>1634.55</v>
      </c>
      <c r="E91" s="52">
        <v>1634.55</v>
      </c>
      <c r="F91" s="52">
        <v>1634.55</v>
      </c>
      <c r="G91" s="52">
        <v>1634.55</v>
      </c>
      <c r="H91" s="52">
        <v>1634.55</v>
      </c>
      <c r="I91" s="52">
        <v>1634.55</v>
      </c>
      <c r="J91" s="52">
        <v>1634.55</v>
      </c>
      <c r="K91" s="52">
        <v>1634.55</v>
      </c>
      <c r="L91" s="52">
        <v>1634.55</v>
      </c>
      <c r="M91" s="52">
        <v>1634.55</v>
      </c>
      <c r="O91" s="52">
        <f t="shared" si="49"/>
        <v>1070.32</v>
      </c>
      <c r="P91" s="52">
        <f t="shared" si="40"/>
        <v>564.23</v>
      </c>
      <c r="Q91" s="52">
        <f t="shared" si="50"/>
        <v>0</v>
      </c>
      <c r="R91" s="52">
        <f t="shared" si="51"/>
        <v>0</v>
      </c>
      <c r="S91" s="52">
        <f t="shared" si="52"/>
        <v>0</v>
      </c>
      <c r="T91" s="52">
        <f t="shared" si="53"/>
        <v>0</v>
      </c>
      <c r="U91" s="52">
        <f t="shared" si="54"/>
        <v>0</v>
      </c>
      <c r="V91" s="52">
        <f t="shared" si="55"/>
        <v>0</v>
      </c>
      <c r="W91" s="52">
        <f t="shared" si="56"/>
        <v>0</v>
      </c>
      <c r="X91" s="52">
        <f t="shared" si="57"/>
        <v>0</v>
      </c>
      <c r="Y91" s="52">
        <f t="shared" si="58"/>
        <v>0</v>
      </c>
      <c r="Z91" s="52">
        <f t="shared" si="59"/>
        <v>0</v>
      </c>
    </row>
    <row r="92" spans="1:26" ht="11.25">
      <c r="A92" s="53" t="s">
        <v>121</v>
      </c>
      <c r="B92" s="52">
        <v>10820.06</v>
      </c>
      <c r="C92" s="52">
        <v>17817.75</v>
      </c>
      <c r="D92" s="52">
        <v>19816.66</v>
      </c>
      <c r="E92" s="52">
        <v>20130.17</v>
      </c>
      <c r="F92" s="52">
        <v>20130.17</v>
      </c>
      <c r="G92" s="52">
        <v>20130.17</v>
      </c>
      <c r="H92" s="52">
        <v>20130.17</v>
      </c>
      <c r="I92" s="52">
        <v>20130.17</v>
      </c>
      <c r="J92" s="52">
        <v>20130.17</v>
      </c>
      <c r="K92" s="52">
        <v>20130.17</v>
      </c>
      <c r="L92" s="52">
        <v>20130.17</v>
      </c>
      <c r="M92" s="52">
        <v>20130.17</v>
      </c>
      <c r="O92" s="52">
        <f t="shared" si="49"/>
        <v>10820.06</v>
      </c>
      <c r="P92" s="52">
        <f t="shared" si="40"/>
        <v>6997.6900000000005</v>
      </c>
      <c r="Q92" s="52">
        <f t="shared" si="50"/>
        <v>1998.9099999999999</v>
      </c>
      <c r="R92" s="52">
        <f t="shared" si="51"/>
        <v>313.5099999999984</v>
      </c>
      <c r="S92" s="52">
        <f t="shared" si="52"/>
        <v>0</v>
      </c>
      <c r="T92" s="52">
        <f t="shared" si="53"/>
        <v>0</v>
      </c>
      <c r="U92" s="52">
        <f t="shared" si="54"/>
        <v>0</v>
      </c>
      <c r="V92" s="52">
        <f t="shared" si="55"/>
        <v>0</v>
      </c>
      <c r="W92" s="52">
        <f t="shared" si="56"/>
        <v>0</v>
      </c>
      <c r="X92" s="52">
        <f t="shared" si="57"/>
        <v>0</v>
      </c>
      <c r="Y92" s="52">
        <f t="shared" si="58"/>
        <v>0</v>
      </c>
      <c r="Z92" s="52">
        <f t="shared" si="59"/>
        <v>0</v>
      </c>
    </row>
    <row r="93" spans="1:26" ht="11.25">
      <c r="A93" s="53" t="s">
        <v>122</v>
      </c>
      <c r="B93" s="52">
        <v>0</v>
      </c>
      <c r="C93" s="52">
        <v>0</v>
      </c>
      <c r="D93" s="52">
        <v>0</v>
      </c>
      <c r="E93" s="52">
        <v>0</v>
      </c>
      <c r="F93" s="52">
        <v>0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52">
        <v>0</v>
      </c>
      <c r="M93" s="52">
        <v>0</v>
      </c>
      <c r="O93" s="52">
        <f t="shared" si="49"/>
        <v>0</v>
      </c>
      <c r="P93" s="52">
        <f t="shared" si="40"/>
        <v>0</v>
      </c>
      <c r="Q93" s="52">
        <f t="shared" si="50"/>
        <v>0</v>
      </c>
      <c r="R93" s="52">
        <f t="shared" si="51"/>
        <v>0</v>
      </c>
      <c r="S93" s="52">
        <f t="shared" si="52"/>
        <v>0</v>
      </c>
      <c r="T93" s="52">
        <f t="shared" si="53"/>
        <v>0</v>
      </c>
      <c r="U93" s="52">
        <f t="shared" si="54"/>
        <v>0</v>
      </c>
      <c r="V93" s="52">
        <f t="shared" si="55"/>
        <v>0</v>
      </c>
      <c r="W93" s="52">
        <f t="shared" si="56"/>
        <v>0</v>
      </c>
      <c r="X93" s="52">
        <f t="shared" si="57"/>
        <v>0</v>
      </c>
      <c r="Y93" s="52">
        <f t="shared" si="58"/>
        <v>0</v>
      </c>
      <c r="Z93" s="52">
        <f t="shared" si="59"/>
        <v>0</v>
      </c>
    </row>
    <row r="94" spans="1:26" ht="11.25">
      <c r="A94" s="53" t="s">
        <v>123</v>
      </c>
      <c r="B94" s="52">
        <v>3463.4</v>
      </c>
      <c r="C94" s="52">
        <v>4782.85</v>
      </c>
      <c r="D94" s="52">
        <v>5652.49</v>
      </c>
      <c r="E94" s="52">
        <v>5652.49</v>
      </c>
      <c r="F94" s="52">
        <v>5767.36</v>
      </c>
      <c r="G94" s="52">
        <v>5767.36</v>
      </c>
      <c r="H94" s="52">
        <v>5767.36</v>
      </c>
      <c r="I94" s="52">
        <v>5767.36</v>
      </c>
      <c r="J94" s="52">
        <v>5767.36</v>
      </c>
      <c r="K94" s="52">
        <v>5767.36</v>
      </c>
      <c r="L94" s="52">
        <v>5767.36</v>
      </c>
      <c r="M94" s="52">
        <v>5767.36</v>
      </c>
      <c r="O94" s="52">
        <f t="shared" si="49"/>
        <v>3463.4</v>
      </c>
      <c r="P94" s="52">
        <f t="shared" si="40"/>
        <v>1319.4500000000003</v>
      </c>
      <c r="Q94" s="52">
        <f t="shared" si="50"/>
        <v>869.6399999999994</v>
      </c>
      <c r="R94" s="52">
        <f t="shared" si="51"/>
        <v>0</v>
      </c>
      <c r="S94" s="52">
        <f t="shared" si="52"/>
        <v>114.86999999999989</v>
      </c>
      <c r="T94" s="52">
        <f t="shared" si="53"/>
        <v>0</v>
      </c>
      <c r="U94" s="52">
        <f t="shared" si="54"/>
        <v>0</v>
      </c>
      <c r="V94" s="52">
        <f t="shared" si="55"/>
        <v>0</v>
      </c>
      <c r="W94" s="52">
        <f t="shared" si="56"/>
        <v>0</v>
      </c>
      <c r="X94" s="52">
        <f t="shared" si="57"/>
        <v>0</v>
      </c>
      <c r="Y94" s="52">
        <f t="shared" si="58"/>
        <v>0</v>
      </c>
      <c r="Z94" s="52">
        <f t="shared" si="59"/>
        <v>0</v>
      </c>
    </row>
    <row r="95" spans="1:26" ht="11.25">
      <c r="A95" s="53" t="s">
        <v>124</v>
      </c>
      <c r="B95" s="52">
        <v>28</v>
      </c>
      <c r="C95" s="52">
        <v>860.15</v>
      </c>
      <c r="D95" s="52">
        <v>2585.29</v>
      </c>
      <c r="E95" s="52">
        <v>2585.29</v>
      </c>
      <c r="F95" s="52">
        <v>2585.29</v>
      </c>
      <c r="G95" s="52">
        <v>2585.29</v>
      </c>
      <c r="H95" s="52">
        <v>2585.29</v>
      </c>
      <c r="I95" s="52">
        <v>2585.29</v>
      </c>
      <c r="J95" s="52">
        <v>2585.29</v>
      </c>
      <c r="K95" s="52">
        <v>2585.29</v>
      </c>
      <c r="L95" s="52">
        <v>2585.29</v>
      </c>
      <c r="M95" s="52">
        <v>2585.29</v>
      </c>
      <c r="O95" s="52">
        <f t="shared" si="49"/>
        <v>28</v>
      </c>
      <c r="P95" s="52">
        <f t="shared" si="40"/>
        <v>832.15</v>
      </c>
      <c r="Q95" s="52">
        <f t="shared" si="50"/>
        <v>1725.1399999999999</v>
      </c>
      <c r="R95" s="52">
        <f t="shared" si="51"/>
        <v>0</v>
      </c>
      <c r="S95" s="52">
        <f t="shared" si="52"/>
        <v>0</v>
      </c>
      <c r="T95" s="52">
        <f t="shared" si="53"/>
        <v>0</v>
      </c>
      <c r="U95" s="52">
        <f t="shared" si="54"/>
        <v>0</v>
      </c>
      <c r="V95" s="52">
        <f t="shared" si="55"/>
        <v>0</v>
      </c>
      <c r="W95" s="52">
        <f t="shared" si="56"/>
        <v>0</v>
      </c>
      <c r="X95" s="52">
        <f t="shared" si="57"/>
        <v>0</v>
      </c>
      <c r="Y95" s="52">
        <f t="shared" si="58"/>
        <v>0</v>
      </c>
      <c r="Z95" s="52">
        <f t="shared" si="59"/>
        <v>0</v>
      </c>
    </row>
    <row r="96" spans="1:26" ht="11.25">
      <c r="A96" s="53" t="s">
        <v>125</v>
      </c>
      <c r="B96" s="52">
        <v>0</v>
      </c>
      <c r="C96" s="52">
        <v>0</v>
      </c>
      <c r="D96" s="52">
        <v>0</v>
      </c>
      <c r="E96" s="52">
        <v>0</v>
      </c>
      <c r="F96" s="52">
        <v>0</v>
      </c>
      <c r="G96" s="52">
        <v>0</v>
      </c>
      <c r="H96" s="52">
        <v>0</v>
      </c>
      <c r="I96" s="52">
        <v>0</v>
      </c>
      <c r="J96" s="52">
        <v>0</v>
      </c>
      <c r="K96" s="52">
        <v>0</v>
      </c>
      <c r="L96" s="52">
        <v>0</v>
      </c>
      <c r="M96" s="52">
        <v>0</v>
      </c>
      <c r="O96" s="52">
        <f t="shared" si="49"/>
        <v>0</v>
      </c>
      <c r="P96" s="52">
        <f t="shared" si="40"/>
        <v>0</v>
      </c>
      <c r="Q96" s="52">
        <f t="shared" si="50"/>
        <v>0</v>
      </c>
      <c r="R96" s="52">
        <f t="shared" si="51"/>
        <v>0</v>
      </c>
      <c r="S96" s="52">
        <f t="shared" si="52"/>
        <v>0</v>
      </c>
      <c r="T96" s="52">
        <f t="shared" si="53"/>
        <v>0</v>
      </c>
      <c r="U96" s="52">
        <f t="shared" si="54"/>
        <v>0</v>
      </c>
      <c r="V96" s="52">
        <f t="shared" si="55"/>
        <v>0</v>
      </c>
      <c r="W96" s="52">
        <f t="shared" si="56"/>
        <v>0</v>
      </c>
      <c r="X96" s="52">
        <f t="shared" si="57"/>
        <v>0</v>
      </c>
      <c r="Y96" s="52">
        <f t="shared" si="58"/>
        <v>0</v>
      </c>
      <c r="Z96" s="52">
        <f t="shared" si="59"/>
        <v>0</v>
      </c>
    </row>
    <row r="97" spans="1:26" ht="11.25">
      <c r="A97" s="53" t="s">
        <v>126</v>
      </c>
      <c r="B97" s="52">
        <v>78.22</v>
      </c>
      <c r="C97" s="52">
        <v>1473.11</v>
      </c>
      <c r="D97" s="52">
        <v>5192.33</v>
      </c>
      <c r="E97" s="52">
        <v>5192.33</v>
      </c>
      <c r="F97" s="52">
        <v>5192.33</v>
      </c>
      <c r="G97" s="52">
        <v>5192.33</v>
      </c>
      <c r="H97" s="52">
        <v>5192.33</v>
      </c>
      <c r="I97" s="52">
        <v>5192.33</v>
      </c>
      <c r="J97" s="52">
        <v>5192.33</v>
      </c>
      <c r="K97" s="52">
        <v>5192.33</v>
      </c>
      <c r="L97" s="52">
        <v>5192.33</v>
      </c>
      <c r="M97" s="52">
        <v>5192.33</v>
      </c>
      <c r="O97" s="52">
        <f t="shared" si="49"/>
        <v>78.22</v>
      </c>
      <c r="P97" s="52">
        <f t="shared" si="40"/>
        <v>1394.8899999999999</v>
      </c>
      <c r="Q97" s="52">
        <f t="shared" si="50"/>
        <v>3719.2200000000003</v>
      </c>
      <c r="R97" s="52">
        <f t="shared" si="51"/>
        <v>0</v>
      </c>
      <c r="S97" s="52">
        <f t="shared" si="52"/>
        <v>0</v>
      </c>
      <c r="T97" s="52">
        <f t="shared" si="53"/>
        <v>0</v>
      </c>
      <c r="U97" s="52">
        <f t="shared" si="54"/>
        <v>0</v>
      </c>
      <c r="V97" s="52">
        <f t="shared" si="55"/>
        <v>0</v>
      </c>
      <c r="W97" s="52">
        <f t="shared" si="56"/>
        <v>0</v>
      </c>
      <c r="X97" s="52">
        <f t="shared" si="57"/>
        <v>0</v>
      </c>
      <c r="Y97" s="52">
        <f t="shared" si="58"/>
        <v>0</v>
      </c>
      <c r="Z97" s="52">
        <f t="shared" si="59"/>
        <v>0</v>
      </c>
    </row>
    <row r="98" spans="1:26" ht="11.25">
      <c r="A98" s="54" t="s">
        <v>168</v>
      </c>
      <c r="B98" s="55">
        <f aca="true" t="shared" si="60" ref="B98:M98">SUM(B69:B97)</f>
        <v>113115.69999999998</v>
      </c>
      <c r="C98" s="55">
        <f t="shared" si="60"/>
        <v>177526.49999999997</v>
      </c>
      <c r="D98" s="55">
        <f t="shared" si="60"/>
        <v>351939.52999999997</v>
      </c>
      <c r="E98" s="55">
        <f t="shared" si="60"/>
        <v>340055.30999999994</v>
      </c>
      <c r="F98" s="55">
        <f t="shared" si="60"/>
        <v>303300.9199999999</v>
      </c>
      <c r="G98" s="55">
        <f t="shared" si="60"/>
        <v>412260.62999999995</v>
      </c>
      <c r="H98" s="55">
        <f t="shared" si="60"/>
        <v>301526.9499999999</v>
      </c>
      <c r="I98" s="55">
        <f t="shared" si="60"/>
        <v>305069.43999999994</v>
      </c>
      <c r="J98" s="55">
        <f t="shared" si="60"/>
        <v>305069.43999999994</v>
      </c>
      <c r="K98" s="55">
        <f t="shared" si="60"/>
        <v>310369.37</v>
      </c>
      <c r="L98" s="55">
        <f t="shared" si="60"/>
        <v>310369.37</v>
      </c>
      <c r="M98" s="55">
        <f t="shared" si="60"/>
        <v>322052.79999999993</v>
      </c>
      <c r="O98" s="55">
        <f aca="true" t="shared" si="61" ref="O98:X98">SUM(O69:O97)</f>
        <v>113115.69999999998</v>
      </c>
      <c r="P98" s="55">
        <f t="shared" si="61"/>
        <v>64410.8</v>
      </c>
      <c r="Q98" s="55">
        <f t="shared" si="61"/>
        <v>174413.03</v>
      </c>
      <c r="R98" s="55">
        <f t="shared" si="61"/>
        <v>-11884.220000000005</v>
      </c>
      <c r="S98" s="55">
        <f t="shared" si="61"/>
        <v>-36754.38999999999</v>
      </c>
      <c r="T98" s="55">
        <f t="shared" si="61"/>
        <v>108959.70999999999</v>
      </c>
      <c r="U98" s="55">
        <f t="shared" si="61"/>
        <v>-110733.68</v>
      </c>
      <c r="V98" s="55">
        <f t="shared" si="61"/>
        <v>3542.4900000000016</v>
      </c>
      <c r="W98" s="55">
        <f t="shared" si="61"/>
        <v>0</v>
      </c>
      <c r="X98" s="55">
        <f t="shared" si="61"/>
        <v>5299.93</v>
      </c>
      <c r="Y98" s="55">
        <f>SUM(Y69:Y97)</f>
        <v>0</v>
      </c>
      <c r="Z98" s="55">
        <f>SUM(Z69:Z97)</f>
        <v>11683.429999999997</v>
      </c>
    </row>
    <row r="99" spans="1:26" ht="11.25">
      <c r="A99" s="51" t="s">
        <v>169</v>
      </c>
      <c r="B99" s="52">
        <v>0</v>
      </c>
      <c r="C99" s="52">
        <v>0</v>
      </c>
      <c r="D99" s="52">
        <v>0</v>
      </c>
      <c r="E99" s="52">
        <v>0</v>
      </c>
      <c r="F99" s="52">
        <v>0</v>
      </c>
      <c r="G99" s="52">
        <v>23103.07</v>
      </c>
      <c r="H99" s="52">
        <v>16038.73</v>
      </c>
      <c r="I99" s="52">
        <v>12470.53</v>
      </c>
      <c r="J99" s="52">
        <v>7568.87</v>
      </c>
      <c r="K99" s="52">
        <v>16170.88</v>
      </c>
      <c r="L99" s="52">
        <v>6227.15</v>
      </c>
      <c r="M99" s="52">
        <f>22803.52</f>
        <v>22803.52</v>
      </c>
      <c r="O99" s="52">
        <f>B99</f>
        <v>0</v>
      </c>
      <c r="P99" s="52">
        <f aca="true" t="shared" si="62" ref="P99:X99">C99-B99</f>
        <v>0</v>
      </c>
      <c r="Q99" s="52">
        <f t="shared" si="62"/>
        <v>0</v>
      </c>
      <c r="R99" s="52">
        <f t="shared" si="62"/>
        <v>0</v>
      </c>
      <c r="S99" s="52">
        <f t="shared" si="62"/>
        <v>0</v>
      </c>
      <c r="T99" s="52">
        <f t="shared" si="62"/>
        <v>23103.07</v>
      </c>
      <c r="U99" s="52">
        <f t="shared" si="62"/>
        <v>-7064.34</v>
      </c>
      <c r="V99" s="52">
        <f t="shared" si="62"/>
        <v>-3568.199999999999</v>
      </c>
      <c r="W99" s="52">
        <f t="shared" si="62"/>
        <v>-4901.660000000001</v>
      </c>
      <c r="X99" s="52">
        <f t="shared" si="62"/>
        <v>8602.009999999998</v>
      </c>
      <c r="Y99" s="52">
        <f aca="true" t="shared" si="63" ref="Y99:Z114">L99-K99</f>
        <v>-9943.73</v>
      </c>
      <c r="Z99" s="52">
        <f t="shared" si="63"/>
        <v>16576.370000000003</v>
      </c>
    </row>
    <row r="100" spans="1:26" ht="11.25">
      <c r="A100" s="53" t="s">
        <v>127</v>
      </c>
      <c r="B100" s="52">
        <v>0</v>
      </c>
      <c r="C100" s="52">
        <v>0</v>
      </c>
      <c r="D100" s="52">
        <v>0</v>
      </c>
      <c r="E100" s="52">
        <v>0</v>
      </c>
      <c r="F100" s="52">
        <v>0</v>
      </c>
      <c r="G100" s="52">
        <v>4152.54</v>
      </c>
      <c r="H100" s="52">
        <v>12678.53</v>
      </c>
      <c r="I100" s="52">
        <v>4892.3</v>
      </c>
      <c r="J100" s="52">
        <v>19474.53</v>
      </c>
      <c r="K100" s="52">
        <v>22728.22</v>
      </c>
      <c r="L100" s="52">
        <v>23300.41</v>
      </c>
      <c r="M100" s="52">
        <v>39168.11</v>
      </c>
      <c r="O100" s="52">
        <f t="shared" si="49"/>
        <v>0</v>
      </c>
      <c r="P100" s="52">
        <f aca="true" t="shared" si="64" ref="P100:P128">C100-B100</f>
        <v>0</v>
      </c>
      <c r="Q100" s="52">
        <f aca="true" t="shared" si="65" ref="Q100:Q128">D100-C100</f>
        <v>0</v>
      </c>
      <c r="R100" s="52">
        <f aca="true" t="shared" si="66" ref="R100:R128">E100-D100</f>
        <v>0</v>
      </c>
      <c r="S100" s="52">
        <f aca="true" t="shared" si="67" ref="S100:S128">F100-E100</f>
        <v>0</v>
      </c>
      <c r="T100" s="52">
        <f aca="true" t="shared" si="68" ref="T100:T128">G100-F100</f>
        <v>4152.54</v>
      </c>
      <c r="U100" s="52">
        <f aca="true" t="shared" si="69" ref="U100:U128">H100-G100</f>
        <v>8525.990000000002</v>
      </c>
      <c r="V100" s="52">
        <f aca="true" t="shared" si="70" ref="V100:V128">I100-H100</f>
        <v>-7786.2300000000005</v>
      </c>
      <c r="W100" s="52">
        <f aca="true" t="shared" si="71" ref="W100:W128">J100-I100</f>
        <v>14582.23</v>
      </c>
      <c r="X100" s="52">
        <f aca="true" t="shared" si="72" ref="X100:X128">K100-J100</f>
        <v>3253.6900000000023</v>
      </c>
      <c r="Y100" s="52">
        <f t="shared" si="63"/>
        <v>572.1899999999987</v>
      </c>
      <c r="Z100" s="52">
        <f t="shared" si="63"/>
        <v>15867.7</v>
      </c>
    </row>
    <row r="101" spans="1:26" ht="11.25">
      <c r="A101" s="53" t="s">
        <v>128</v>
      </c>
      <c r="B101" s="52">
        <v>0</v>
      </c>
      <c r="C101" s="52">
        <v>0</v>
      </c>
      <c r="D101" s="52">
        <v>0</v>
      </c>
      <c r="E101" s="52">
        <v>0</v>
      </c>
      <c r="F101" s="52">
        <v>0</v>
      </c>
      <c r="G101" s="52">
        <v>0</v>
      </c>
      <c r="H101" s="52">
        <v>0</v>
      </c>
      <c r="I101" s="52">
        <v>48</v>
      </c>
      <c r="J101" s="52">
        <v>2728.69</v>
      </c>
      <c r="K101" s="52">
        <v>2793.16</v>
      </c>
      <c r="L101" s="52">
        <v>2986.1</v>
      </c>
      <c r="M101" s="52">
        <v>2986.1</v>
      </c>
      <c r="O101" s="52">
        <f t="shared" si="49"/>
        <v>0</v>
      </c>
      <c r="P101" s="52">
        <f t="shared" si="64"/>
        <v>0</v>
      </c>
      <c r="Q101" s="52">
        <f t="shared" si="65"/>
        <v>0</v>
      </c>
      <c r="R101" s="52">
        <f t="shared" si="66"/>
        <v>0</v>
      </c>
      <c r="S101" s="52">
        <f t="shared" si="67"/>
        <v>0</v>
      </c>
      <c r="T101" s="52">
        <f t="shared" si="68"/>
        <v>0</v>
      </c>
      <c r="U101" s="52">
        <f t="shared" si="69"/>
        <v>0</v>
      </c>
      <c r="V101" s="52">
        <f t="shared" si="70"/>
        <v>48</v>
      </c>
      <c r="W101" s="52">
        <f t="shared" si="71"/>
        <v>2680.69</v>
      </c>
      <c r="X101" s="52">
        <f t="shared" si="72"/>
        <v>64.4699999999998</v>
      </c>
      <c r="Y101" s="52">
        <f t="shared" si="63"/>
        <v>192.94000000000005</v>
      </c>
      <c r="Z101" s="52">
        <f t="shared" si="63"/>
        <v>0</v>
      </c>
    </row>
    <row r="102" spans="1:26" ht="11.25">
      <c r="A102" s="53" t="s">
        <v>129</v>
      </c>
      <c r="B102" s="52">
        <v>0</v>
      </c>
      <c r="C102" s="52">
        <v>0</v>
      </c>
      <c r="D102" s="52">
        <v>0</v>
      </c>
      <c r="E102" s="52">
        <v>0</v>
      </c>
      <c r="F102" s="52">
        <v>0</v>
      </c>
      <c r="G102" s="52">
        <v>0</v>
      </c>
      <c r="H102" s="52">
        <v>0</v>
      </c>
      <c r="I102" s="52">
        <v>0</v>
      </c>
      <c r="J102" s="52">
        <v>0</v>
      </c>
      <c r="K102" s="52">
        <v>2416</v>
      </c>
      <c r="L102" s="52">
        <v>5028.62</v>
      </c>
      <c r="M102" s="52">
        <v>5247.78</v>
      </c>
      <c r="O102" s="52">
        <f t="shared" si="49"/>
        <v>0</v>
      </c>
      <c r="P102" s="52">
        <f t="shared" si="64"/>
        <v>0</v>
      </c>
      <c r="Q102" s="52">
        <f t="shared" si="65"/>
        <v>0</v>
      </c>
      <c r="R102" s="52">
        <f t="shared" si="66"/>
        <v>0</v>
      </c>
      <c r="S102" s="52">
        <f t="shared" si="67"/>
        <v>0</v>
      </c>
      <c r="T102" s="52">
        <f t="shared" si="68"/>
        <v>0</v>
      </c>
      <c r="U102" s="52">
        <f t="shared" si="69"/>
        <v>0</v>
      </c>
      <c r="V102" s="52">
        <f t="shared" si="70"/>
        <v>0</v>
      </c>
      <c r="W102" s="52">
        <f t="shared" si="71"/>
        <v>0</v>
      </c>
      <c r="X102" s="52">
        <f t="shared" si="72"/>
        <v>2416</v>
      </c>
      <c r="Y102" s="52">
        <f t="shared" si="63"/>
        <v>2612.62</v>
      </c>
      <c r="Z102" s="52">
        <f t="shared" si="63"/>
        <v>219.15999999999985</v>
      </c>
    </row>
    <row r="103" spans="1:26" ht="11.25">
      <c r="A103" s="53" t="s">
        <v>130</v>
      </c>
      <c r="B103" s="52">
        <v>0</v>
      </c>
      <c r="C103" s="52">
        <v>0</v>
      </c>
      <c r="D103" s="52">
        <v>0</v>
      </c>
      <c r="E103" s="52">
        <v>0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52">
        <v>3653.49</v>
      </c>
      <c r="L103" s="52">
        <v>7527.13</v>
      </c>
      <c r="M103" s="52">
        <v>11419.02</v>
      </c>
      <c r="O103" s="52">
        <f t="shared" si="49"/>
        <v>0</v>
      </c>
      <c r="P103" s="52">
        <f t="shared" si="64"/>
        <v>0</v>
      </c>
      <c r="Q103" s="52">
        <f t="shared" si="65"/>
        <v>0</v>
      </c>
      <c r="R103" s="52">
        <f t="shared" si="66"/>
        <v>0</v>
      </c>
      <c r="S103" s="52">
        <f t="shared" si="67"/>
        <v>0</v>
      </c>
      <c r="T103" s="52">
        <f t="shared" si="68"/>
        <v>0</v>
      </c>
      <c r="U103" s="52">
        <f t="shared" si="69"/>
        <v>0</v>
      </c>
      <c r="V103" s="52">
        <f t="shared" si="70"/>
        <v>0</v>
      </c>
      <c r="W103" s="52">
        <f t="shared" si="71"/>
        <v>0</v>
      </c>
      <c r="X103" s="52">
        <f t="shared" si="72"/>
        <v>3653.49</v>
      </c>
      <c r="Y103" s="52">
        <f t="shared" si="63"/>
        <v>3873.6400000000003</v>
      </c>
      <c r="Z103" s="52">
        <f t="shared" si="63"/>
        <v>3891.8900000000003</v>
      </c>
    </row>
    <row r="104" spans="1:26" ht="11.25">
      <c r="A104" s="53" t="s">
        <v>131</v>
      </c>
      <c r="B104" s="52">
        <v>0</v>
      </c>
      <c r="C104" s="52">
        <v>0</v>
      </c>
      <c r="D104" s="52">
        <v>0</v>
      </c>
      <c r="E104" s="52">
        <v>0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52">
        <v>22612.43</v>
      </c>
      <c r="M104" s="52">
        <v>478.47</v>
      </c>
      <c r="O104" s="52">
        <f t="shared" si="49"/>
        <v>0</v>
      </c>
      <c r="P104" s="52">
        <f t="shared" si="64"/>
        <v>0</v>
      </c>
      <c r="Q104" s="52">
        <f t="shared" si="65"/>
        <v>0</v>
      </c>
      <c r="R104" s="52">
        <f t="shared" si="66"/>
        <v>0</v>
      </c>
      <c r="S104" s="52">
        <f t="shared" si="67"/>
        <v>0</v>
      </c>
      <c r="T104" s="52">
        <f t="shared" si="68"/>
        <v>0</v>
      </c>
      <c r="U104" s="52">
        <f t="shared" si="69"/>
        <v>0</v>
      </c>
      <c r="V104" s="52">
        <f t="shared" si="70"/>
        <v>0</v>
      </c>
      <c r="W104" s="52">
        <f t="shared" si="71"/>
        <v>0</v>
      </c>
      <c r="X104" s="52">
        <f t="shared" si="72"/>
        <v>0</v>
      </c>
      <c r="Y104" s="52">
        <f t="shared" si="63"/>
        <v>22612.43</v>
      </c>
      <c r="Z104" s="52">
        <f t="shared" si="63"/>
        <v>-22133.96</v>
      </c>
    </row>
    <row r="105" spans="1:26" ht="11.25">
      <c r="A105" s="53" t="s">
        <v>132</v>
      </c>
      <c r="B105" s="52">
        <v>0</v>
      </c>
      <c r="C105" s="52">
        <v>0</v>
      </c>
      <c r="D105" s="52">
        <v>0</v>
      </c>
      <c r="E105" s="52">
        <v>0</v>
      </c>
      <c r="F105" s="52">
        <v>0</v>
      </c>
      <c r="G105" s="52">
        <v>0</v>
      </c>
      <c r="H105" s="52">
        <v>0</v>
      </c>
      <c r="I105" s="52">
        <v>0</v>
      </c>
      <c r="J105" s="52">
        <v>0</v>
      </c>
      <c r="K105" s="52">
        <v>3245.71</v>
      </c>
      <c r="L105" s="52">
        <v>10506.82</v>
      </c>
      <c r="M105" s="52">
        <v>11003.8</v>
      </c>
      <c r="O105" s="52">
        <f t="shared" si="49"/>
        <v>0</v>
      </c>
      <c r="P105" s="52">
        <f t="shared" si="64"/>
        <v>0</v>
      </c>
      <c r="Q105" s="52">
        <f t="shared" si="65"/>
        <v>0</v>
      </c>
      <c r="R105" s="52">
        <f t="shared" si="66"/>
        <v>0</v>
      </c>
      <c r="S105" s="52">
        <f t="shared" si="67"/>
        <v>0</v>
      </c>
      <c r="T105" s="52">
        <f t="shared" si="68"/>
        <v>0</v>
      </c>
      <c r="U105" s="52">
        <f t="shared" si="69"/>
        <v>0</v>
      </c>
      <c r="V105" s="52">
        <f t="shared" si="70"/>
        <v>0</v>
      </c>
      <c r="W105" s="52">
        <f t="shared" si="71"/>
        <v>0</v>
      </c>
      <c r="X105" s="52">
        <f t="shared" si="72"/>
        <v>3245.71</v>
      </c>
      <c r="Y105" s="52">
        <f t="shared" si="63"/>
        <v>7261.11</v>
      </c>
      <c r="Z105" s="52">
        <f t="shared" si="63"/>
        <v>496.97999999999956</v>
      </c>
    </row>
    <row r="106" spans="1:26" ht="11.25">
      <c r="A106" s="53" t="s">
        <v>133</v>
      </c>
      <c r="B106" s="52">
        <v>0</v>
      </c>
      <c r="C106" s="52">
        <v>0</v>
      </c>
      <c r="D106" s="52">
        <v>0</v>
      </c>
      <c r="E106" s="52">
        <v>0</v>
      </c>
      <c r="F106" s="52">
        <v>0</v>
      </c>
      <c r="G106" s="52">
        <v>0</v>
      </c>
      <c r="H106" s="52">
        <v>0</v>
      </c>
      <c r="I106" s="52">
        <v>0</v>
      </c>
      <c r="J106" s="52">
        <v>0</v>
      </c>
      <c r="K106" s="52">
        <v>128</v>
      </c>
      <c r="L106" s="52">
        <v>15255.57</v>
      </c>
      <c r="M106" s="52">
        <v>8391.73</v>
      </c>
      <c r="O106" s="52">
        <f t="shared" si="49"/>
        <v>0</v>
      </c>
      <c r="P106" s="52">
        <f t="shared" si="64"/>
        <v>0</v>
      </c>
      <c r="Q106" s="52">
        <f t="shared" si="65"/>
        <v>0</v>
      </c>
      <c r="R106" s="52">
        <f t="shared" si="66"/>
        <v>0</v>
      </c>
      <c r="S106" s="52">
        <f t="shared" si="67"/>
        <v>0</v>
      </c>
      <c r="T106" s="52">
        <f t="shared" si="68"/>
        <v>0</v>
      </c>
      <c r="U106" s="52">
        <f t="shared" si="69"/>
        <v>0</v>
      </c>
      <c r="V106" s="52">
        <f t="shared" si="70"/>
        <v>0</v>
      </c>
      <c r="W106" s="52">
        <f t="shared" si="71"/>
        <v>0</v>
      </c>
      <c r="X106" s="52">
        <f t="shared" si="72"/>
        <v>128</v>
      </c>
      <c r="Y106" s="52">
        <f t="shared" si="63"/>
        <v>15127.57</v>
      </c>
      <c r="Z106" s="52">
        <f t="shared" si="63"/>
        <v>-6863.84</v>
      </c>
    </row>
    <row r="107" spans="1:26" ht="11.25">
      <c r="A107" s="53" t="s">
        <v>134</v>
      </c>
      <c r="B107" s="52">
        <v>0</v>
      </c>
      <c r="C107" s="52">
        <v>0</v>
      </c>
      <c r="D107" s="52">
        <v>0</v>
      </c>
      <c r="E107" s="52">
        <v>0</v>
      </c>
      <c r="F107" s="52">
        <v>0</v>
      </c>
      <c r="G107" s="52">
        <v>0</v>
      </c>
      <c r="H107" s="52">
        <v>75.94</v>
      </c>
      <c r="I107" s="52">
        <v>75.94</v>
      </c>
      <c r="J107" s="52">
        <v>131.94</v>
      </c>
      <c r="K107" s="52">
        <v>131.94</v>
      </c>
      <c r="L107" s="52">
        <v>2243.62</v>
      </c>
      <c r="M107" s="52">
        <v>10692.05</v>
      </c>
      <c r="O107" s="52">
        <f t="shared" si="49"/>
        <v>0</v>
      </c>
      <c r="P107" s="52">
        <f t="shared" si="64"/>
        <v>0</v>
      </c>
      <c r="Q107" s="52">
        <f t="shared" si="65"/>
        <v>0</v>
      </c>
      <c r="R107" s="52">
        <f t="shared" si="66"/>
        <v>0</v>
      </c>
      <c r="S107" s="52">
        <f t="shared" si="67"/>
        <v>0</v>
      </c>
      <c r="T107" s="52">
        <f t="shared" si="68"/>
        <v>0</v>
      </c>
      <c r="U107" s="52">
        <f t="shared" si="69"/>
        <v>75.94</v>
      </c>
      <c r="V107" s="52">
        <f t="shared" si="70"/>
        <v>0</v>
      </c>
      <c r="W107" s="52">
        <f t="shared" si="71"/>
        <v>56</v>
      </c>
      <c r="X107" s="52">
        <f t="shared" si="72"/>
        <v>0</v>
      </c>
      <c r="Y107" s="52">
        <f t="shared" si="63"/>
        <v>2111.68</v>
      </c>
      <c r="Z107" s="52">
        <f t="shared" si="63"/>
        <v>8448.43</v>
      </c>
    </row>
    <row r="108" spans="1:26" ht="11.25">
      <c r="A108" s="53" t="s">
        <v>135</v>
      </c>
      <c r="B108" s="52">
        <v>0</v>
      </c>
      <c r="C108" s="52">
        <v>0</v>
      </c>
      <c r="D108" s="52">
        <v>0</v>
      </c>
      <c r="E108" s="52">
        <v>0</v>
      </c>
      <c r="F108" s="52">
        <v>0</v>
      </c>
      <c r="G108" s="52">
        <v>0</v>
      </c>
      <c r="H108" s="52">
        <v>0</v>
      </c>
      <c r="I108" s="52">
        <v>0</v>
      </c>
      <c r="J108" s="52">
        <v>0</v>
      </c>
      <c r="K108" s="52">
        <v>0</v>
      </c>
      <c r="L108" s="52">
        <v>0</v>
      </c>
      <c r="M108" s="52">
        <v>0</v>
      </c>
      <c r="O108" s="52">
        <f t="shared" si="49"/>
        <v>0</v>
      </c>
      <c r="P108" s="52">
        <f t="shared" si="64"/>
        <v>0</v>
      </c>
      <c r="Q108" s="52">
        <f t="shared" si="65"/>
        <v>0</v>
      </c>
      <c r="R108" s="52">
        <f t="shared" si="66"/>
        <v>0</v>
      </c>
      <c r="S108" s="52">
        <f t="shared" si="67"/>
        <v>0</v>
      </c>
      <c r="T108" s="52">
        <f t="shared" si="68"/>
        <v>0</v>
      </c>
      <c r="U108" s="52">
        <f t="shared" si="69"/>
        <v>0</v>
      </c>
      <c r="V108" s="52">
        <f t="shared" si="70"/>
        <v>0</v>
      </c>
      <c r="W108" s="52">
        <f t="shared" si="71"/>
        <v>0</v>
      </c>
      <c r="X108" s="52">
        <f t="shared" si="72"/>
        <v>0</v>
      </c>
      <c r="Y108" s="52">
        <f t="shared" si="63"/>
        <v>0</v>
      </c>
      <c r="Z108" s="52">
        <f t="shared" si="63"/>
        <v>0</v>
      </c>
    </row>
    <row r="109" spans="1:26" ht="11.25">
      <c r="A109" s="53" t="s">
        <v>108</v>
      </c>
      <c r="B109" s="52">
        <v>0</v>
      </c>
      <c r="C109" s="52">
        <v>0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  <c r="I109" s="52">
        <v>242.38</v>
      </c>
      <c r="J109" s="52">
        <v>2834.71</v>
      </c>
      <c r="K109" s="52">
        <v>2834.71</v>
      </c>
      <c r="L109" s="52">
        <v>2834.71</v>
      </c>
      <c r="M109" s="52">
        <v>2987.71</v>
      </c>
      <c r="O109" s="52">
        <f t="shared" si="49"/>
        <v>0</v>
      </c>
      <c r="P109" s="52">
        <f t="shared" si="64"/>
        <v>0</v>
      </c>
      <c r="Q109" s="52">
        <f t="shared" si="65"/>
        <v>0</v>
      </c>
      <c r="R109" s="52">
        <f t="shared" si="66"/>
        <v>0</v>
      </c>
      <c r="S109" s="52">
        <f t="shared" si="67"/>
        <v>0</v>
      </c>
      <c r="T109" s="52">
        <f t="shared" si="68"/>
        <v>0</v>
      </c>
      <c r="U109" s="52">
        <f t="shared" si="69"/>
        <v>0</v>
      </c>
      <c r="V109" s="52">
        <f t="shared" si="70"/>
        <v>242.38</v>
      </c>
      <c r="W109" s="52">
        <f t="shared" si="71"/>
        <v>2592.33</v>
      </c>
      <c r="X109" s="52">
        <f t="shared" si="72"/>
        <v>0</v>
      </c>
      <c r="Y109" s="52">
        <f t="shared" si="63"/>
        <v>0</v>
      </c>
      <c r="Z109" s="52">
        <f t="shared" si="63"/>
        <v>153</v>
      </c>
    </row>
    <row r="110" spans="1:26" ht="11.25">
      <c r="A110" s="53" t="s">
        <v>136</v>
      </c>
      <c r="B110" s="52">
        <v>0</v>
      </c>
      <c r="C110" s="52">
        <v>0</v>
      </c>
      <c r="D110" s="52">
        <v>0</v>
      </c>
      <c r="E110" s="52">
        <v>0</v>
      </c>
      <c r="F110" s="52">
        <v>0</v>
      </c>
      <c r="G110" s="52">
        <v>2742.67</v>
      </c>
      <c r="H110" s="52">
        <v>5092.85</v>
      </c>
      <c r="I110" s="52">
        <v>9399.99</v>
      </c>
      <c r="J110" s="52">
        <v>18492.06</v>
      </c>
      <c r="K110" s="52">
        <v>30643.67</v>
      </c>
      <c r="L110" s="52">
        <v>102295.99</v>
      </c>
      <c r="M110" s="52">
        <v>78611.21</v>
      </c>
      <c r="O110" s="52">
        <f t="shared" si="49"/>
        <v>0</v>
      </c>
      <c r="P110" s="52">
        <f t="shared" si="64"/>
        <v>0</v>
      </c>
      <c r="Q110" s="52">
        <f t="shared" si="65"/>
        <v>0</v>
      </c>
      <c r="R110" s="52">
        <f t="shared" si="66"/>
        <v>0</v>
      </c>
      <c r="S110" s="52">
        <f t="shared" si="67"/>
        <v>0</v>
      </c>
      <c r="T110" s="52">
        <f t="shared" si="68"/>
        <v>2742.67</v>
      </c>
      <c r="U110" s="52">
        <f t="shared" si="69"/>
        <v>2350.1800000000003</v>
      </c>
      <c r="V110" s="52">
        <f t="shared" si="70"/>
        <v>4307.139999999999</v>
      </c>
      <c r="W110" s="52">
        <f t="shared" si="71"/>
        <v>9092.070000000002</v>
      </c>
      <c r="X110" s="52">
        <f t="shared" si="72"/>
        <v>12151.609999999997</v>
      </c>
      <c r="Y110" s="52">
        <f t="shared" si="63"/>
        <v>71652.32</v>
      </c>
      <c r="Z110" s="52">
        <f t="shared" si="63"/>
        <v>-23684.78</v>
      </c>
    </row>
    <row r="111" spans="1:26" ht="11.25">
      <c r="A111" s="53" t="s">
        <v>137</v>
      </c>
      <c r="B111" s="52">
        <v>0</v>
      </c>
      <c r="C111" s="52">
        <v>0</v>
      </c>
      <c r="D111" s="52">
        <v>0</v>
      </c>
      <c r="E111" s="52">
        <v>0</v>
      </c>
      <c r="F111" s="52">
        <v>0</v>
      </c>
      <c r="G111" s="52">
        <v>5289.23</v>
      </c>
      <c r="H111" s="52">
        <v>13672.43</v>
      </c>
      <c r="I111" s="52">
        <v>23252.96</v>
      </c>
      <c r="J111" s="52">
        <v>48244.29</v>
      </c>
      <c r="K111" s="52">
        <v>57989.88</v>
      </c>
      <c r="L111" s="52">
        <v>77015.54</v>
      </c>
      <c r="M111" s="52">
        <v>87830.04</v>
      </c>
      <c r="O111" s="52">
        <f t="shared" si="49"/>
        <v>0</v>
      </c>
      <c r="P111" s="52">
        <f t="shared" si="64"/>
        <v>0</v>
      </c>
      <c r="Q111" s="52">
        <f t="shared" si="65"/>
        <v>0</v>
      </c>
      <c r="R111" s="52">
        <f t="shared" si="66"/>
        <v>0</v>
      </c>
      <c r="S111" s="52">
        <f t="shared" si="67"/>
        <v>0</v>
      </c>
      <c r="T111" s="52">
        <f t="shared" si="68"/>
        <v>5289.23</v>
      </c>
      <c r="U111" s="52">
        <f t="shared" si="69"/>
        <v>8383.2</v>
      </c>
      <c r="V111" s="52">
        <f t="shared" si="70"/>
        <v>9580.529999999999</v>
      </c>
      <c r="W111" s="52">
        <f t="shared" si="71"/>
        <v>24991.33</v>
      </c>
      <c r="X111" s="52">
        <f t="shared" si="72"/>
        <v>9745.589999999997</v>
      </c>
      <c r="Y111" s="52">
        <f t="shared" si="63"/>
        <v>19025.659999999996</v>
      </c>
      <c r="Z111" s="52">
        <f t="shared" si="63"/>
        <v>10814.5</v>
      </c>
    </row>
    <row r="112" spans="1:26" ht="11.25">
      <c r="A112" s="53" t="s">
        <v>138</v>
      </c>
      <c r="B112" s="52">
        <v>0</v>
      </c>
      <c r="C112" s="52">
        <v>0</v>
      </c>
      <c r="D112" s="52">
        <v>0</v>
      </c>
      <c r="E112" s="52">
        <v>0</v>
      </c>
      <c r="F112" s="52">
        <v>0</v>
      </c>
      <c r="G112" s="52">
        <v>0</v>
      </c>
      <c r="H112" s="52">
        <v>0</v>
      </c>
      <c r="I112" s="52">
        <v>0</v>
      </c>
      <c r="J112" s="52">
        <v>5476.69</v>
      </c>
      <c r="K112" s="52">
        <v>6001.81</v>
      </c>
      <c r="L112" s="52">
        <v>20052.07</v>
      </c>
      <c r="M112" s="52">
        <v>21664.82</v>
      </c>
      <c r="O112" s="52">
        <f t="shared" si="49"/>
        <v>0</v>
      </c>
      <c r="P112" s="52">
        <f t="shared" si="64"/>
        <v>0</v>
      </c>
      <c r="Q112" s="52">
        <f t="shared" si="65"/>
        <v>0</v>
      </c>
      <c r="R112" s="52">
        <f t="shared" si="66"/>
        <v>0</v>
      </c>
      <c r="S112" s="52">
        <f t="shared" si="67"/>
        <v>0</v>
      </c>
      <c r="T112" s="52">
        <f t="shared" si="68"/>
        <v>0</v>
      </c>
      <c r="U112" s="52">
        <f t="shared" si="69"/>
        <v>0</v>
      </c>
      <c r="V112" s="52">
        <f t="shared" si="70"/>
        <v>0</v>
      </c>
      <c r="W112" s="52">
        <f t="shared" si="71"/>
        <v>5476.69</v>
      </c>
      <c r="X112" s="52">
        <f t="shared" si="72"/>
        <v>525.1200000000008</v>
      </c>
      <c r="Y112" s="52">
        <f t="shared" si="63"/>
        <v>14050.259999999998</v>
      </c>
      <c r="Z112" s="52">
        <f t="shared" si="63"/>
        <v>1612.75</v>
      </c>
    </row>
    <row r="113" spans="1:26" ht="11.25">
      <c r="A113" s="53" t="s">
        <v>139</v>
      </c>
      <c r="B113" s="52">
        <v>0</v>
      </c>
      <c r="C113" s="52">
        <v>0</v>
      </c>
      <c r="D113" s="52">
        <v>0</v>
      </c>
      <c r="E113" s="52">
        <v>0</v>
      </c>
      <c r="F113" s="52">
        <v>0</v>
      </c>
      <c r="G113" s="52">
        <v>0</v>
      </c>
      <c r="H113" s="52">
        <v>0</v>
      </c>
      <c r="I113" s="52">
        <v>0</v>
      </c>
      <c r="J113" s="52">
        <v>0</v>
      </c>
      <c r="K113" s="52">
        <v>0</v>
      </c>
      <c r="L113" s="52">
        <v>5863.53</v>
      </c>
      <c r="M113" s="52">
        <v>2737.73</v>
      </c>
      <c r="O113" s="52">
        <f t="shared" si="49"/>
        <v>0</v>
      </c>
      <c r="P113" s="52">
        <f t="shared" si="64"/>
        <v>0</v>
      </c>
      <c r="Q113" s="52">
        <f t="shared" si="65"/>
        <v>0</v>
      </c>
      <c r="R113" s="52">
        <f t="shared" si="66"/>
        <v>0</v>
      </c>
      <c r="S113" s="52">
        <f t="shared" si="67"/>
        <v>0</v>
      </c>
      <c r="T113" s="52">
        <f t="shared" si="68"/>
        <v>0</v>
      </c>
      <c r="U113" s="52">
        <f t="shared" si="69"/>
        <v>0</v>
      </c>
      <c r="V113" s="52">
        <f t="shared" si="70"/>
        <v>0</v>
      </c>
      <c r="W113" s="52">
        <f t="shared" si="71"/>
        <v>0</v>
      </c>
      <c r="X113" s="52">
        <f t="shared" si="72"/>
        <v>0</v>
      </c>
      <c r="Y113" s="52">
        <f t="shared" si="63"/>
        <v>5863.53</v>
      </c>
      <c r="Z113" s="52">
        <f t="shared" si="63"/>
        <v>-3125.7999999999997</v>
      </c>
    </row>
    <row r="114" spans="1:26" ht="11.25">
      <c r="A114" s="53" t="s">
        <v>140</v>
      </c>
      <c r="B114" s="52">
        <v>0</v>
      </c>
      <c r="C114" s="52">
        <v>0</v>
      </c>
      <c r="D114" s="52">
        <v>0</v>
      </c>
      <c r="E114" s="52">
        <v>0</v>
      </c>
      <c r="F114" s="52">
        <v>0</v>
      </c>
      <c r="G114" s="52">
        <v>0</v>
      </c>
      <c r="H114" s="52">
        <v>489.9</v>
      </c>
      <c r="I114" s="52">
        <v>489.9</v>
      </c>
      <c r="J114" s="52">
        <v>489.9</v>
      </c>
      <c r="K114" s="52">
        <v>1038.69</v>
      </c>
      <c r="L114" s="52">
        <v>1277.72</v>
      </c>
      <c r="M114" s="52">
        <v>1277.72</v>
      </c>
      <c r="O114" s="52">
        <f t="shared" si="49"/>
        <v>0</v>
      </c>
      <c r="P114" s="52">
        <f t="shared" si="64"/>
        <v>0</v>
      </c>
      <c r="Q114" s="52">
        <f t="shared" si="65"/>
        <v>0</v>
      </c>
      <c r="R114" s="52">
        <f t="shared" si="66"/>
        <v>0</v>
      </c>
      <c r="S114" s="52">
        <f t="shared" si="67"/>
        <v>0</v>
      </c>
      <c r="T114" s="52">
        <f t="shared" si="68"/>
        <v>0</v>
      </c>
      <c r="U114" s="52">
        <f t="shared" si="69"/>
        <v>489.9</v>
      </c>
      <c r="V114" s="52">
        <f t="shared" si="70"/>
        <v>0</v>
      </c>
      <c r="W114" s="52">
        <f t="shared" si="71"/>
        <v>0</v>
      </c>
      <c r="X114" s="52">
        <f t="shared" si="72"/>
        <v>548.7900000000001</v>
      </c>
      <c r="Y114" s="52">
        <f t="shared" si="63"/>
        <v>239.02999999999997</v>
      </c>
      <c r="Z114" s="52">
        <f t="shared" si="63"/>
        <v>0</v>
      </c>
    </row>
    <row r="115" spans="1:26" ht="11.25">
      <c r="A115" s="53" t="s">
        <v>141</v>
      </c>
      <c r="B115" s="52">
        <v>0</v>
      </c>
      <c r="C115" s="52">
        <v>0</v>
      </c>
      <c r="D115" s="52">
        <v>0</v>
      </c>
      <c r="E115" s="52">
        <v>0</v>
      </c>
      <c r="F115" s="52">
        <v>0</v>
      </c>
      <c r="G115" s="52">
        <v>0</v>
      </c>
      <c r="H115" s="52">
        <v>0</v>
      </c>
      <c r="I115" s="52">
        <v>0</v>
      </c>
      <c r="J115" s="52">
        <v>0</v>
      </c>
      <c r="K115" s="52">
        <v>0</v>
      </c>
      <c r="L115" s="52">
        <v>0</v>
      </c>
      <c r="M115" s="52">
        <v>0</v>
      </c>
      <c r="O115" s="52">
        <f t="shared" si="49"/>
        <v>0</v>
      </c>
      <c r="P115" s="52">
        <f t="shared" si="64"/>
        <v>0</v>
      </c>
      <c r="Q115" s="52">
        <f t="shared" si="65"/>
        <v>0</v>
      </c>
      <c r="R115" s="52">
        <f t="shared" si="66"/>
        <v>0</v>
      </c>
      <c r="S115" s="52">
        <f t="shared" si="67"/>
        <v>0</v>
      </c>
      <c r="T115" s="52">
        <f t="shared" si="68"/>
        <v>0</v>
      </c>
      <c r="U115" s="52">
        <f t="shared" si="69"/>
        <v>0</v>
      </c>
      <c r="V115" s="52">
        <f t="shared" si="70"/>
        <v>0</v>
      </c>
      <c r="W115" s="52">
        <f t="shared" si="71"/>
        <v>0</v>
      </c>
      <c r="X115" s="52">
        <f t="shared" si="72"/>
        <v>0</v>
      </c>
      <c r="Y115" s="52">
        <f aca="true" t="shared" si="73" ref="Y115:Y128">L115-K115</f>
        <v>0</v>
      </c>
      <c r="Z115" s="52">
        <f aca="true" t="shared" si="74" ref="Z115:Z128">M115-L115</f>
        <v>0</v>
      </c>
    </row>
    <row r="116" spans="1:26" ht="11.25">
      <c r="A116" s="53" t="s">
        <v>142</v>
      </c>
      <c r="B116" s="52">
        <v>0</v>
      </c>
      <c r="C116" s="52">
        <v>0</v>
      </c>
      <c r="D116" s="52">
        <v>0</v>
      </c>
      <c r="E116" s="52">
        <v>0</v>
      </c>
      <c r="F116" s="52">
        <v>0</v>
      </c>
      <c r="G116" s="52">
        <v>0</v>
      </c>
      <c r="H116" s="52">
        <v>0</v>
      </c>
      <c r="I116" s="52">
        <v>0</v>
      </c>
      <c r="J116" s="52">
        <v>0</v>
      </c>
      <c r="K116" s="52">
        <v>0</v>
      </c>
      <c r="L116" s="52">
        <v>13476.5</v>
      </c>
      <c r="M116" s="52">
        <v>9462.15</v>
      </c>
      <c r="O116" s="52">
        <f t="shared" si="49"/>
        <v>0</v>
      </c>
      <c r="P116" s="52">
        <f t="shared" si="64"/>
        <v>0</v>
      </c>
      <c r="Q116" s="52">
        <f t="shared" si="65"/>
        <v>0</v>
      </c>
      <c r="R116" s="52">
        <f t="shared" si="66"/>
        <v>0</v>
      </c>
      <c r="S116" s="52">
        <f t="shared" si="67"/>
        <v>0</v>
      </c>
      <c r="T116" s="52">
        <f t="shared" si="68"/>
        <v>0</v>
      </c>
      <c r="U116" s="52">
        <f t="shared" si="69"/>
        <v>0</v>
      </c>
      <c r="V116" s="52">
        <f t="shared" si="70"/>
        <v>0</v>
      </c>
      <c r="W116" s="52">
        <f t="shared" si="71"/>
        <v>0</v>
      </c>
      <c r="X116" s="52">
        <f t="shared" si="72"/>
        <v>0</v>
      </c>
      <c r="Y116" s="52">
        <f t="shared" si="73"/>
        <v>13476.5</v>
      </c>
      <c r="Z116" s="52">
        <f t="shared" si="74"/>
        <v>-4014.3500000000004</v>
      </c>
    </row>
    <row r="117" spans="1:26" ht="11.25">
      <c r="A117" s="53" t="s">
        <v>143</v>
      </c>
      <c r="B117" s="52">
        <v>0</v>
      </c>
      <c r="C117" s="52">
        <v>0</v>
      </c>
      <c r="D117" s="52">
        <v>0</v>
      </c>
      <c r="E117" s="52">
        <v>0</v>
      </c>
      <c r="F117" s="52">
        <v>0</v>
      </c>
      <c r="G117" s="52">
        <v>0</v>
      </c>
      <c r="H117" s="52">
        <v>0</v>
      </c>
      <c r="I117" s="52">
        <v>0</v>
      </c>
      <c r="J117" s="52">
        <v>0</v>
      </c>
      <c r="K117" s="52">
        <v>1065</v>
      </c>
      <c r="L117" s="52">
        <v>2814.64</v>
      </c>
      <c r="M117" s="52">
        <v>2829.75</v>
      </c>
      <c r="O117" s="52">
        <f t="shared" si="49"/>
        <v>0</v>
      </c>
      <c r="P117" s="52">
        <f t="shared" si="64"/>
        <v>0</v>
      </c>
      <c r="Q117" s="52">
        <f t="shared" si="65"/>
        <v>0</v>
      </c>
      <c r="R117" s="52">
        <f t="shared" si="66"/>
        <v>0</v>
      </c>
      <c r="S117" s="52">
        <f t="shared" si="67"/>
        <v>0</v>
      </c>
      <c r="T117" s="52">
        <f t="shared" si="68"/>
        <v>0</v>
      </c>
      <c r="U117" s="52">
        <f t="shared" si="69"/>
        <v>0</v>
      </c>
      <c r="V117" s="52">
        <f t="shared" si="70"/>
        <v>0</v>
      </c>
      <c r="W117" s="52">
        <f t="shared" si="71"/>
        <v>0</v>
      </c>
      <c r="X117" s="52">
        <f t="shared" si="72"/>
        <v>1065</v>
      </c>
      <c r="Y117" s="52">
        <f t="shared" si="73"/>
        <v>1749.6399999999999</v>
      </c>
      <c r="Z117" s="52">
        <f t="shared" si="74"/>
        <v>15.110000000000127</v>
      </c>
    </row>
    <row r="118" spans="1:26" ht="11.25">
      <c r="A118" s="53" t="s">
        <v>144</v>
      </c>
      <c r="B118" s="52">
        <v>0</v>
      </c>
      <c r="C118" s="52">
        <v>0</v>
      </c>
      <c r="D118" s="52">
        <v>0</v>
      </c>
      <c r="E118" s="52">
        <v>0</v>
      </c>
      <c r="F118" s="52">
        <v>0</v>
      </c>
      <c r="G118" s="52">
        <v>0</v>
      </c>
      <c r="H118" s="52">
        <v>0</v>
      </c>
      <c r="I118" s="52">
        <v>0</v>
      </c>
      <c r="J118" s="52">
        <v>0</v>
      </c>
      <c r="K118" s="52">
        <v>1125.9</v>
      </c>
      <c r="L118" s="52">
        <v>1982.62</v>
      </c>
      <c r="M118" s="52">
        <v>1982.62</v>
      </c>
      <c r="O118" s="52">
        <f t="shared" si="49"/>
        <v>0</v>
      </c>
      <c r="P118" s="52">
        <f t="shared" si="64"/>
        <v>0</v>
      </c>
      <c r="Q118" s="52">
        <f t="shared" si="65"/>
        <v>0</v>
      </c>
      <c r="R118" s="52">
        <f t="shared" si="66"/>
        <v>0</v>
      </c>
      <c r="S118" s="52">
        <f t="shared" si="67"/>
        <v>0</v>
      </c>
      <c r="T118" s="52">
        <f t="shared" si="68"/>
        <v>0</v>
      </c>
      <c r="U118" s="52">
        <f t="shared" si="69"/>
        <v>0</v>
      </c>
      <c r="V118" s="52">
        <f t="shared" si="70"/>
        <v>0</v>
      </c>
      <c r="W118" s="52">
        <f t="shared" si="71"/>
        <v>0</v>
      </c>
      <c r="X118" s="52">
        <f t="shared" si="72"/>
        <v>1125.9</v>
      </c>
      <c r="Y118" s="52">
        <f t="shared" si="73"/>
        <v>856.7199999999998</v>
      </c>
      <c r="Z118" s="52">
        <f t="shared" si="74"/>
        <v>0</v>
      </c>
    </row>
    <row r="119" spans="1:26" ht="11.25">
      <c r="A119" s="53" t="s">
        <v>145</v>
      </c>
      <c r="B119" s="52">
        <v>0</v>
      </c>
      <c r="C119" s="52">
        <v>0</v>
      </c>
      <c r="D119" s="52">
        <v>0</v>
      </c>
      <c r="E119" s="52">
        <v>0</v>
      </c>
      <c r="F119" s="52">
        <v>0</v>
      </c>
      <c r="G119" s="52">
        <v>0</v>
      </c>
      <c r="H119" s="52">
        <v>0</v>
      </c>
      <c r="I119" s="52">
        <v>0</v>
      </c>
      <c r="J119" s="52">
        <v>0</v>
      </c>
      <c r="K119" s="52">
        <v>2731.98</v>
      </c>
      <c r="L119" s="52">
        <v>2815.2</v>
      </c>
      <c r="M119" s="52">
        <v>12855.57</v>
      </c>
      <c r="O119" s="52">
        <f t="shared" si="49"/>
        <v>0</v>
      </c>
      <c r="P119" s="52">
        <f t="shared" si="64"/>
        <v>0</v>
      </c>
      <c r="Q119" s="52">
        <f t="shared" si="65"/>
        <v>0</v>
      </c>
      <c r="R119" s="52">
        <f t="shared" si="66"/>
        <v>0</v>
      </c>
      <c r="S119" s="52">
        <f t="shared" si="67"/>
        <v>0</v>
      </c>
      <c r="T119" s="52">
        <f t="shared" si="68"/>
        <v>0</v>
      </c>
      <c r="U119" s="52">
        <f t="shared" si="69"/>
        <v>0</v>
      </c>
      <c r="V119" s="52">
        <f t="shared" si="70"/>
        <v>0</v>
      </c>
      <c r="W119" s="52">
        <f t="shared" si="71"/>
        <v>0</v>
      </c>
      <c r="X119" s="52">
        <f t="shared" si="72"/>
        <v>2731.98</v>
      </c>
      <c r="Y119" s="52">
        <f t="shared" si="73"/>
        <v>83.2199999999998</v>
      </c>
      <c r="Z119" s="52">
        <f t="shared" si="74"/>
        <v>10040.369999999999</v>
      </c>
    </row>
    <row r="120" spans="1:26" ht="11.25">
      <c r="A120" s="53" t="s">
        <v>146</v>
      </c>
      <c r="B120" s="52">
        <v>0</v>
      </c>
      <c r="C120" s="52">
        <v>0</v>
      </c>
      <c r="D120" s="52">
        <v>0</v>
      </c>
      <c r="E120" s="52">
        <v>0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52">
        <v>0</v>
      </c>
      <c r="L120" s="52">
        <v>0</v>
      </c>
      <c r="M120" s="52">
        <v>0</v>
      </c>
      <c r="O120" s="52">
        <f t="shared" si="49"/>
        <v>0</v>
      </c>
      <c r="P120" s="52">
        <f t="shared" si="64"/>
        <v>0</v>
      </c>
      <c r="Q120" s="52">
        <f t="shared" si="65"/>
        <v>0</v>
      </c>
      <c r="R120" s="52">
        <f t="shared" si="66"/>
        <v>0</v>
      </c>
      <c r="S120" s="52">
        <f t="shared" si="67"/>
        <v>0</v>
      </c>
      <c r="T120" s="52">
        <f t="shared" si="68"/>
        <v>0</v>
      </c>
      <c r="U120" s="52">
        <f t="shared" si="69"/>
        <v>0</v>
      </c>
      <c r="V120" s="52">
        <f t="shared" si="70"/>
        <v>0</v>
      </c>
      <c r="W120" s="52">
        <f t="shared" si="71"/>
        <v>0</v>
      </c>
      <c r="X120" s="52">
        <f t="shared" si="72"/>
        <v>0</v>
      </c>
      <c r="Y120" s="52">
        <f t="shared" si="73"/>
        <v>0</v>
      </c>
      <c r="Z120" s="52">
        <f t="shared" si="74"/>
        <v>0</v>
      </c>
    </row>
    <row r="121" spans="1:26" ht="11.25">
      <c r="A121" s="53" t="s">
        <v>147</v>
      </c>
      <c r="B121" s="52">
        <v>0</v>
      </c>
      <c r="C121" s="52">
        <v>0</v>
      </c>
      <c r="D121" s="52">
        <v>0</v>
      </c>
      <c r="E121" s="52">
        <v>0</v>
      </c>
      <c r="F121" s="52">
        <v>0</v>
      </c>
      <c r="G121" s="52">
        <v>0</v>
      </c>
      <c r="H121" s="52">
        <v>0</v>
      </c>
      <c r="I121" s="52">
        <v>0</v>
      </c>
      <c r="J121" s="52">
        <v>32</v>
      </c>
      <c r="K121" s="52">
        <v>32</v>
      </c>
      <c r="L121" s="52">
        <v>32</v>
      </c>
      <c r="M121" s="52">
        <v>32</v>
      </c>
      <c r="O121" s="52">
        <f t="shared" si="49"/>
        <v>0</v>
      </c>
      <c r="P121" s="52">
        <f t="shared" si="64"/>
        <v>0</v>
      </c>
      <c r="Q121" s="52">
        <f t="shared" si="65"/>
        <v>0</v>
      </c>
      <c r="R121" s="52">
        <f t="shared" si="66"/>
        <v>0</v>
      </c>
      <c r="S121" s="52">
        <f t="shared" si="67"/>
        <v>0</v>
      </c>
      <c r="T121" s="52">
        <f t="shared" si="68"/>
        <v>0</v>
      </c>
      <c r="U121" s="52">
        <f t="shared" si="69"/>
        <v>0</v>
      </c>
      <c r="V121" s="52">
        <f t="shared" si="70"/>
        <v>0</v>
      </c>
      <c r="W121" s="52">
        <f t="shared" si="71"/>
        <v>32</v>
      </c>
      <c r="X121" s="52">
        <f t="shared" si="72"/>
        <v>0</v>
      </c>
      <c r="Y121" s="52">
        <f t="shared" si="73"/>
        <v>0</v>
      </c>
      <c r="Z121" s="52">
        <f t="shared" si="74"/>
        <v>0</v>
      </c>
    </row>
    <row r="122" spans="1:26" ht="11.25">
      <c r="A122" s="53" t="s">
        <v>108</v>
      </c>
      <c r="B122" s="52">
        <v>0</v>
      </c>
      <c r="C122" s="52">
        <v>0</v>
      </c>
      <c r="D122" s="52">
        <v>0</v>
      </c>
      <c r="E122" s="52">
        <v>0</v>
      </c>
      <c r="F122" s="52">
        <v>0</v>
      </c>
      <c r="G122" s="52">
        <v>0</v>
      </c>
      <c r="H122" s="52">
        <v>0</v>
      </c>
      <c r="I122" s="52">
        <v>0</v>
      </c>
      <c r="J122" s="52">
        <v>0</v>
      </c>
      <c r="K122" s="52">
        <v>0</v>
      </c>
      <c r="L122" s="52">
        <v>0</v>
      </c>
      <c r="M122" s="52">
        <v>0</v>
      </c>
      <c r="O122" s="52">
        <f t="shared" si="49"/>
        <v>0</v>
      </c>
      <c r="P122" s="52">
        <f t="shared" si="64"/>
        <v>0</v>
      </c>
      <c r="Q122" s="52">
        <f t="shared" si="65"/>
        <v>0</v>
      </c>
      <c r="R122" s="52">
        <f t="shared" si="66"/>
        <v>0</v>
      </c>
      <c r="S122" s="52">
        <f t="shared" si="67"/>
        <v>0</v>
      </c>
      <c r="T122" s="52">
        <f t="shared" si="68"/>
        <v>0</v>
      </c>
      <c r="U122" s="52">
        <f t="shared" si="69"/>
        <v>0</v>
      </c>
      <c r="V122" s="52">
        <f t="shared" si="70"/>
        <v>0</v>
      </c>
      <c r="W122" s="52">
        <f t="shared" si="71"/>
        <v>0</v>
      </c>
      <c r="X122" s="52">
        <f t="shared" si="72"/>
        <v>0</v>
      </c>
      <c r="Y122" s="52">
        <f t="shared" si="73"/>
        <v>0</v>
      </c>
      <c r="Z122" s="52">
        <f t="shared" si="74"/>
        <v>0</v>
      </c>
    </row>
    <row r="123" spans="1:26" ht="11.25">
      <c r="A123" s="53" t="s">
        <v>148</v>
      </c>
      <c r="B123" s="52">
        <v>0</v>
      </c>
      <c r="C123" s="52">
        <v>0</v>
      </c>
      <c r="D123" s="52">
        <v>0</v>
      </c>
      <c r="E123" s="52">
        <v>0</v>
      </c>
      <c r="F123" s="52">
        <v>0</v>
      </c>
      <c r="G123" s="52">
        <v>0</v>
      </c>
      <c r="H123" s="52">
        <v>0</v>
      </c>
      <c r="I123" s="52">
        <v>0</v>
      </c>
      <c r="J123" s="52">
        <v>0</v>
      </c>
      <c r="K123" s="52">
        <v>0</v>
      </c>
      <c r="L123" s="52">
        <v>27.56</v>
      </c>
      <c r="M123" s="52">
        <v>0</v>
      </c>
      <c r="O123" s="52">
        <f t="shared" si="49"/>
        <v>0</v>
      </c>
      <c r="P123" s="52">
        <f t="shared" si="64"/>
        <v>0</v>
      </c>
      <c r="Q123" s="52">
        <f t="shared" si="65"/>
        <v>0</v>
      </c>
      <c r="R123" s="52">
        <f t="shared" si="66"/>
        <v>0</v>
      </c>
      <c r="S123" s="52">
        <f t="shared" si="67"/>
        <v>0</v>
      </c>
      <c r="T123" s="52">
        <f t="shared" si="68"/>
        <v>0</v>
      </c>
      <c r="U123" s="52">
        <f t="shared" si="69"/>
        <v>0</v>
      </c>
      <c r="V123" s="52">
        <f t="shared" si="70"/>
        <v>0</v>
      </c>
      <c r="W123" s="52">
        <f t="shared" si="71"/>
        <v>0</v>
      </c>
      <c r="X123" s="52">
        <f t="shared" si="72"/>
        <v>0</v>
      </c>
      <c r="Y123" s="52">
        <f t="shared" si="73"/>
        <v>27.56</v>
      </c>
      <c r="Z123" s="52">
        <f t="shared" si="74"/>
        <v>-27.56</v>
      </c>
    </row>
    <row r="124" spans="1:26" ht="11.25">
      <c r="A124" s="53" t="s">
        <v>149</v>
      </c>
      <c r="B124" s="52">
        <v>0</v>
      </c>
      <c r="C124" s="52">
        <v>0</v>
      </c>
      <c r="D124" s="52">
        <v>0</v>
      </c>
      <c r="E124" s="52">
        <v>0</v>
      </c>
      <c r="F124" s="52">
        <v>0</v>
      </c>
      <c r="G124" s="52">
        <v>0</v>
      </c>
      <c r="H124" s="52">
        <v>0</v>
      </c>
      <c r="I124" s="52">
        <v>0</v>
      </c>
      <c r="J124" s="52">
        <v>0</v>
      </c>
      <c r="K124" s="52">
        <v>0</v>
      </c>
      <c r="L124" s="52">
        <v>96</v>
      </c>
      <c r="M124" s="52">
        <v>5237.05</v>
      </c>
      <c r="O124" s="52">
        <f t="shared" si="49"/>
        <v>0</v>
      </c>
      <c r="P124" s="52">
        <f t="shared" si="64"/>
        <v>0</v>
      </c>
      <c r="Q124" s="52">
        <f t="shared" si="65"/>
        <v>0</v>
      </c>
      <c r="R124" s="52">
        <f t="shared" si="66"/>
        <v>0</v>
      </c>
      <c r="S124" s="52">
        <f t="shared" si="67"/>
        <v>0</v>
      </c>
      <c r="T124" s="52">
        <f t="shared" si="68"/>
        <v>0</v>
      </c>
      <c r="U124" s="52">
        <f t="shared" si="69"/>
        <v>0</v>
      </c>
      <c r="V124" s="52">
        <f t="shared" si="70"/>
        <v>0</v>
      </c>
      <c r="W124" s="52">
        <f t="shared" si="71"/>
        <v>0</v>
      </c>
      <c r="X124" s="52">
        <f t="shared" si="72"/>
        <v>0</v>
      </c>
      <c r="Y124" s="52">
        <f t="shared" si="73"/>
        <v>96</v>
      </c>
      <c r="Z124" s="52">
        <f t="shared" si="74"/>
        <v>5141.05</v>
      </c>
    </row>
    <row r="125" spans="1:26" ht="11.25">
      <c r="A125" s="53" t="s">
        <v>150</v>
      </c>
      <c r="B125" s="52">
        <v>0</v>
      </c>
      <c r="C125" s="52">
        <v>0</v>
      </c>
      <c r="D125" s="52">
        <v>0</v>
      </c>
      <c r="E125" s="52">
        <v>0</v>
      </c>
      <c r="F125" s="52">
        <v>0</v>
      </c>
      <c r="G125" s="52">
        <v>0</v>
      </c>
      <c r="H125" s="52">
        <v>0</v>
      </c>
      <c r="I125" s="52">
        <v>0</v>
      </c>
      <c r="J125" s="52">
        <v>0</v>
      </c>
      <c r="K125" s="52">
        <v>-232</v>
      </c>
      <c r="L125" s="52">
        <v>6164.7</v>
      </c>
      <c r="M125" s="52">
        <v>6286.38</v>
      </c>
      <c r="O125" s="52">
        <f t="shared" si="49"/>
        <v>0</v>
      </c>
      <c r="P125" s="52">
        <f t="shared" si="64"/>
        <v>0</v>
      </c>
      <c r="Q125" s="52">
        <f t="shared" si="65"/>
        <v>0</v>
      </c>
      <c r="R125" s="52">
        <f t="shared" si="66"/>
        <v>0</v>
      </c>
      <c r="S125" s="52">
        <f t="shared" si="67"/>
        <v>0</v>
      </c>
      <c r="T125" s="52">
        <f t="shared" si="68"/>
        <v>0</v>
      </c>
      <c r="U125" s="52">
        <f t="shared" si="69"/>
        <v>0</v>
      </c>
      <c r="V125" s="52">
        <f t="shared" si="70"/>
        <v>0</v>
      </c>
      <c r="W125" s="52">
        <f t="shared" si="71"/>
        <v>0</v>
      </c>
      <c r="X125" s="52">
        <f t="shared" si="72"/>
        <v>-232</v>
      </c>
      <c r="Y125" s="52">
        <f t="shared" si="73"/>
        <v>6396.7</v>
      </c>
      <c r="Z125" s="52">
        <f t="shared" si="74"/>
        <v>121.68000000000029</v>
      </c>
    </row>
    <row r="126" spans="1:26" ht="11.25">
      <c r="A126" s="53" t="s">
        <v>151</v>
      </c>
      <c r="B126" s="52">
        <v>0</v>
      </c>
      <c r="C126" s="52">
        <v>0</v>
      </c>
      <c r="D126" s="52">
        <v>0</v>
      </c>
      <c r="E126" s="52">
        <v>0</v>
      </c>
      <c r="F126" s="52">
        <v>0</v>
      </c>
      <c r="G126" s="52">
        <v>0</v>
      </c>
      <c r="H126" s="52">
        <v>0</v>
      </c>
      <c r="I126" s="52">
        <v>0</v>
      </c>
      <c r="J126" s="52">
        <v>0</v>
      </c>
      <c r="K126" s="52">
        <v>0</v>
      </c>
      <c r="L126" s="52">
        <v>0</v>
      </c>
      <c r="M126" s="52">
        <v>0</v>
      </c>
      <c r="O126" s="52">
        <f t="shared" si="49"/>
        <v>0</v>
      </c>
      <c r="P126" s="52">
        <f t="shared" si="64"/>
        <v>0</v>
      </c>
      <c r="Q126" s="52">
        <f t="shared" si="65"/>
        <v>0</v>
      </c>
      <c r="R126" s="52">
        <f t="shared" si="66"/>
        <v>0</v>
      </c>
      <c r="S126" s="52">
        <f t="shared" si="67"/>
        <v>0</v>
      </c>
      <c r="T126" s="52">
        <f t="shared" si="68"/>
        <v>0</v>
      </c>
      <c r="U126" s="52">
        <f t="shared" si="69"/>
        <v>0</v>
      </c>
      <c r="V126" s="52">
        <f t="shared" si="70"/>
        <v>0</v>
      </c>
      <c r="W126" s="52">
        <f t="shared" si="71"/>
        <v>0</v>
      </c>
      <c r="X126" s="52">
        <f t="shared" si="72"/>
        <v>0</v>
      </c>
      <c r="Y126" s="52">
        <f t="shared" si="73"/>
        <v>0</v>
      </c>
      <c r="Z126" s="52">
        <f t="shared" si="74"/>
        <v>0</v>
      </c>
    </row>
    <row r="127" spans="1:26" ht="11.25">
      <c r="A127" s="53" t="s">
        <v>122</v>
      </c>
      <c r="B127" s="52">
        <v>0</v>
      </c>
      <c r="C127" s="52">
        <v>0</v>
      </c>
      <c r="D127" s="52">
        <v>0</v>
      </c>
      <c r="E127" s="52">
        <v>0</v>
      </c>
      <c r="F127" s="52">
        <v>0</v>
      </c>
      <c r="G127" s="52">
        <v>0</v>
      </c>
      <c r="H127" s="52">
        <v>0</v>
      </c>
      <c r="I127" s="52">
        <v>0</v>
      </c>
      <c r="J127" s="52">
        <v>128</v>
      </c>
      <c r="K127" s="52">
        <v>6345.3</v>
      </c>
      <c r="L127" s="52">
        <v>9580.82</v>
      </c>
      <c r="M127" s="52">
        <v>11955.49</v>
      </c>
      <c r="O127" s="52">
        <f>B127</f>
        <v>0</v>
      </c>
      <c r="P127" s="52">
        <f aca="true" t="shared" si="75" ref="P127:X127">C127-B127</f>
        <v>0</v>
      </c>
      <c r="Q127" s="52">
        <f t="shared" si="75"/>
        <v>0</v>
      </c>
      <c r="R127" s="52">
        <f t="shared" si="75"/>
        <v>0</v>
      </c>
      <c r="S127" s="52">
        <f t="shared" si="75"/>
        <v>0</v>
      </c>
      <c r="T127" s="52">
        <f t="shared" si="75"/>
        <v>0</v>
      </c>
      <c r="U127" s="52">
        <f t="shared" si="75"/>
        <v>0</v>
      </c>
      <c r="V127" s="52">
        <f t="shared" si="75"/>
        <v>0</v>
      </c>
      <c r="W127" s="52">
        <f t="shared" si="75"/>
        <v>128</v>
      </c>
      <c r="X127" s="52">
        <f t="shared" si="75"/>
        <v>6217.3</v>
      </c>
      <c r="Y127" s="52">
        <f t="shared" si="73"/>
        <v>3235.5199999999995</v>
      </c>
      <c r="Z127" s="52">
        <f t="shared" si="74"/>
        <v>2374.67</v>
      </c>
    </row>
    <row r="128" spans="1:26" ht="11.25">
      <c r="A128" s="53" t="s">
        <v>153</v>
      </c>
      <c r="B128" s="52">
        <v>0</v>
      </c>
      <c r="C128" s="52">
        <v>0</v>
      </c>
      <c r="D128" s="52">
        <v>0</v>
      </c>
      <c r="E128" s="52">
        <v>0</v>
      </c>
      <c r="F128" s="52">
        <v>0</v>
      </c>
      <c r="G128" s="52">
        <v>0</v>
      </c>
      <c r="H128" s="52">
        <v>0</v>
      </c>
      <c r="I128" s="52">
        <v>0</v>
      </c>
      <c r="J128" s="52">
        <v>0</v>
      </c>
      <c r="K128" s="52">
        <v>0</v>
      </c>
      <c r="L128" s="52">
        <v>0</v>
      </c>
      <c r="M128" s="52">
        <v>0</v>
      </c>
      <c r="O128" s="52">
        <f t="shared" si="49"/>
        <v>0</v>
      </c>
      <c r="P128" s="52">
        <f t="shared" si="64"/>
        <v>0</v>
      </c>
      <c r="Q128" s="52">
        <f t="shared" si="65"/>
        <v>0</v>
      </c>
      <c r="R128" s="52">
        <f t="shared" si="66"/>
        <v>0</v>
      </c>
      <c r="S128" s="52">
        <f t="shared" si="67"/>
        <v>0</v>
      </c>
      <c r="T128" s="52">
        <f t="shared" si="68"/>
        <v>0</v>
      </c>
      <c r="U128" s="52">
        <f t="shared" si="69"/>
        <v>0</v>
      </c>
      <c r="V128" s="52">
        <f t="shared" si="70"/>
        <v>0</v>
      </c>
      <c r="W128" s="52">
        <f t="shared" si="71"/>
        <v>0</v>
      </c>
      <c r="X128" s="52">
        <f t="shared" si="72"/>
        <v>0</v>
      </c>
      <c r="Y128" s="52">
        <f t="shared" si="73"/>
        <v>0</v>
      </c>
      <c r="Z128" s="52">
        <f t="shared" si="74"/>
        <v>0</v>
      </c>
    </row>
    <row r="129" spans="1:26" ht="11.25">
      <c r="A129" s="56" t="s">
        <v>170</v>
      </c>
      <c r="B129" s="57">
        <f aca="true" t="shared" si="76" ref="B129:M129">SUM(B99:B128)</f>
        <v>0</v>
      </c>
      <c r="C129" s="57">
        <f t="shared" si="76"/>
        <v>0</v>
      </c>
      <c r="D129" s="57">
        <f t="shared" si="76"/>
        <v>0</v>
      </c>
      <c r="E129" s="57">
        <f t="shared" si="76"/>
        <v>0</v>
      </c>
      <c r="F129" s="57">
        <f t="shared" si="76"/>
        <v>0</v>
      </c>
      <c r="G129" s="57">
        <f t="shared" si="76"/>
        <v>35287.509999999995</v>
      </c>
      <c r="H129" s="57">
        <f t="shared" si="76"/>
        <v>48048.380000000005</v>
      </c>
      <c r="I129" s="57">
        <f t="shared" si="76"/>
        <v>50872</v>
      </c>
      <c r="J129" s="57">
        <f t="shared" si="76"/>
        <v>105601.68</v>
      </c>
      <c r="K129" s="57">
        <f t="shared" si="76"/>
        <v>160844.34</v>
      </c>
      <c r="L129" s="57">
        <f t="shared" si="76"/>
        <v>342017.45000000007</v>
      </c>
      <c r="M129" s="57">
        <f t="shared" si="76"/>
        <v>357940.82</v>
      </c>
      <c r="O129" s="57">
        <f aca="true" t="shared" si="77" ref="O129:X129">SUM(O99:O128)</f>
        <v>0</v>
      </c>
      <c r="P129" s="57">
        <f t="shared" si="77"/>
        <v>0</v>
      </c>
      <c r="Q129" s="57">
        <f t="shared" si="77"/>
        <v>0</v>
      </c>
      <c r="R129" s="57">
        <f t="shared" si="77"/>
        <v>0</v>
      </c>
      <c r="S129" s="57">
        <f t="shared" si="77"/>
        <v>0</v>
      </c>
      <c r="T129" s="57">
        <f t="shared" si="77"/>
        <v>35287.509999999995</v>
      </c>
      <c r="U129" s="57">
        <f t="shared" si="77"/>
        <v>12760.870000000003</v>
      </c>
      <c r="V129" s="57">
        <f t="shared" si="77"/>
        <v>2823.619999999997</v>
      </c>
      <c r="W129" s="57">
        <f t="shared" si="77"/>
        <v>54729.68000000001</v>
      </c>
      <c r="X129" s="57">
        <f t="shared" si="77"/>
        <v>55242.66</v>
      </c>
      <c r="Y129" s="57">
        <f>SUM(Y99:Y128)</f>
        <v>181173.11000000004</v>
      </c>
      <c r="Z129" s="57">
        <f>SUM(Z99:Z128)</f>
        <v>15923.370000000004</v>
      </c>
    </row>
    <row r="130" ht="11.25">
      <c r="M130" s="66">
        <f>M129+M98</f>
        <v>679993.6199999999</v>
      </c>
    </row>
    <row r="131" spans="1:26" ht="11.25">
      <c r="A131" s="42"/>
      <c r="B131" s="43" t="s">
        <v>156</v>
      </c>
      <c r="C131" s="43" t="s">
        <v>157</v>
      </c>
      <c r="D131" s="43" t="s">
        <v>158</v>
      </c>
      <c r="E131" s="43" t="s">
        <v>159</v>
      </c>
      <c r="F131" s="43" t="s">
        <v>160</v>
      </c>
      <c r="G131" s="43" t="s">
        <v>161</v>
      </c>
      <c r="H131" s="43" t="s">
        <v>162</v>
      </c>
      <c r="I131" s="43" t="s">
        <v>163</v>
      </c>
      <c r="J131" s="43" t="s">
        <v>164</v>
      </c>
      <c r="K131" s="43" t="s">
        <v>165</v>
      </c>
      <c r="L131" s="44" t="s">
        <v>166</v>
      </c>
      <c r="M131" s="63" t="s">
        <v>173</v>
      </c>
      <c r="O131" s="46" t="s">
        <v>156</v>
      </c>
      <c r="P131" s="43" t="s">
        <v>157</v>
      </c>
      <c r="Q131" s="43" t="s">
        <v>158</v>
      </c>
      <c r="R131" s="43" t="s">
        <v>159</v>
      </c>
      <c r="S131" s="43" t="s">
        <v>160</v>
      </c>
      <c r="T131" s="43" t="s">
        <v>161</v>
      </c>
      <c r="U131" s="43" t="s">
        <v>162</v>
      </c>
      <c r="V131" s="43" t="s">
        <v>163</v>
      </c>
      <c r="W131" s="43" t="s">
        <v>164</v>
      </c>
      <c r="X131" s="43" t="s">
        <v>165</v>
      </c>
      <c r="Y131" s="43" t="s">
        <v>166</v>
      </c>
      <c r="Z131" s="63" t="s">
        <v>173</v>
      </c>
    </row>
    <row r="132" spans="1:26" ht="11.25">
      <c r="A132" s="47"/>
      <c r="B132" s="58" t="s">
        <v>171</v>
      </c>
      <c r="C132" s="58" t="s">
        <v>171</v>
      </c>
      <c r="D132" s="58" t="s">
        <v>171</v>
      </c>
      <c r="E132" s="58" t="s">
        <v>171</v>
      </c>
      <c r="F132" s="58" t="s">
        <v>171</v>
      </c>
      <c r="G132" s="58" t="s">
        <v>171</v>
      </c>
      <c r="H132" s="58" t="s">
        <v>171</v>
      </c>
      <c r="I132" s="58" t="s">
        <v>171</v>
      </c>
      <c r="J132" s="58" t="s">
        <v>171</v>
      </c>
      <c r="K132" s="58" t="s">
        <v>171</v>
      </c>
      <c r="L132" s="59" t="s">
        <v>171</v>
      </c>
      <c r="M132" s="59" t="s">
        <v>171</v>
      </c>
      <c r="O132" s="60" t="s">
        <v>171</v>
      </c>
      <c r="P132" s="58" t="s">
        <v>171</v>
      </c>
      <c r="Q132" s="58" t="s">
        <v>171</v>
      </c>
      <c r="R132" s="58" t="s">
        <v>171</v>
      </c>
      <c r="S132" s="58" t="s">
        <v>171</v>
      </c>
      <c r="T132" s="58" t="s">
        <v>171</v>
      </c>
      <c r="U132" s="58" t="s">
        <v>171</v>
      </c>
      <c r="V132" s="58" t="s">
        <v>171</v>
      </c>
      <c r="W132" s="58" t="s">
        <v>171</v>
      </c>
      <c r="X132" s="58" t="s">
        <v>171</v>
      </c>
      <c r="Y132" s="58" t="s">
        <v>171</v>
      </c>
      <c r="Z132" s="59" t="s">
        <v>171</v>
      </c>
    </row>
    <row r="133" spans="1:28" ht="11.25">
      <c r="A133" s="51" t="s">
        <v>167</v>
      </c>
      <c r="B133" s="52">
        <f aca="true" t="shared" si="78" ref="B133:B161">B69+B5</f>
        <v>-14269.19</v>
      </c>
      <c r="C133" s="52">
        <f aca="true" t="shared" si="79" ref="C133:M133">C69+C5</f>
        <v>-2477.41</v>
      </c>
      <c r="D133" s="52">
        <f t="shared" si="79"/>
        <v>149819.11</v>
      </c>
      <c r="E133" s="52">
        <f t="shared" si="79"/>
        <v>117607.89</v>
      </c>
      <c r="F133" s="52">
        <f t="shared" si="79"/>
        <v>26629.38</v>
      </c>
      <c r="G133" s="52">
        <f t="shared" si="79"/>
        <v>1571.2499999999998</v>
      </c>
      <c r="H133" s="52">
        <f t="shared" si="79"/>
        <v>1714.1499999999999</v>
      </c>
      <c r="I133" s="52">
        <f t="shared" si="79"/>
        <v>1714.1499999999999</v>
      </c>
      <c r="J133" s="52">
        <f t="shared" si="79"/>
        <v>1714.1499999999999</v>
      </c>
      <c r="K133" s="52">
        <f t="shared" si="79"/>
        <v>1714.1499999999999</v>
      </c>
      <c r="L133" s="52">
        <f aca="true" t="shared" si="80" ref="L133:L161">L69+L5</f>
        <v>1714.1499999999999</v>
      </c>
      <c r="M133" s="52">
        <f t="shared" si="79"/>
        <v>2112.0699999999997</v>
      </c>
      <c r="O133" s="52">
        <f aca="true" t="shared" si="81" ref="O133:O161">B133</f>
        <v>-14269.19</v>
      </c>
      <c r="P133" s="52">
        <f aca="true" t="shared" si="82" ref="P133:P158">C133-B133</f>
        <v>11791.78</v>
      </c>
      <c r="Q133" s="52">
        <f aca="true" t="shared" si="83" ref="Q133:Q158">D133-C133</f>
        <v>152296.52</v>
      </c>
      <c r="R133" s="52">
        <f aca="true" t="shared" si="84" ref="R133:R158">E133-D133</f>
        <v>-32211.219999999987</v>
      </c>
      <c r="S133" s="52">
        <f aca="true" t="shared" si="85" ref="S133:S158">F133-E133</f>
        <v>-90978.51</v>
      </c>
      <c r="T133" s="52">
        <f aca="true" t="shared" si="86" ref="T133:T158">G133-F133</f>
        <v>-25058.13</v>
      </c>
      <c r="U133" s="52">
        <f aca="true" t="shared" si="87" ref="U133:U158">H133-G133</f>
        <v>142.9000000000001</v>
      </c>
      <c r="V133" s="52">
        <f aca="true" t="shared" si="88" ref="V133:V158">I133-H133</f>
        <v>0</v>
      </c>
      <c r="W133" s="52">
        <f aca="true" t="shared" si="89" ref="W133:W158">J133-I133</f>
        <v>0</v>
      </c>
      <c r="X133" s="52">
        <f aca="true" t="shared" si="90" ref="X133:X158">K133-J133</f>
        <v>0</v>
      </c>
      <c r="Y133" s="52">
        <f aca="true" t="shared" si="91" ref="Y133:Z148">L133-K133</f>
        <v>0</v>
      </c>
      <c r="Z133" s="52">
        <f t="shared" si="91"/>
        <v>397.91999999999985</v>
      </c>
      <c r="AB133" s="61">
        <f aca="true" t="shared" si="92" ref="AB133:AB161">SUM(U133:Z133)</f>
        <v>540.8199999999999</v>
      </c>
    </row>
    <row r="134" spans="1:28" ht="11.25">
      <c r="A134" s="51" t="s">
        <v>99</v>
      </c>
      <c r="B134" s="52">
        <f t="shared" si="78"/>
        <v>49667.52</v>
      </c>
      <c r="C134" s="52">
        <f aca="true" t="shared" si="93" ref="C134:K134">C70+C6</f>
        <v>83125.33</v>
      </c>
      <c r="D134" s="52">
        <f t="shared" si="93"/>
        <v>83986.5</v>
      </c>
      <c r="E134" s="52">
        <f t="shared" si="93"/>
        <v>91712.33</v>
      </c>
      <c r="F134" s="52">
        <f t="shared" si="93"/>
        <v>96634.35</v>
      </c>
      <c r="G134" s="52">
        <f t="shared" si="93"/>
        <v>96634.35</v>
      </c>
      <c r="H134" s="52">
        <f t="shared" si="93"/>
        <v>96684.67</v>
      </c>
      <c r="I134" s="52">
        <f t="shared" si="93"/>
        <v>96684.67</v>
      </c>
      <c r="J134" s="52">
        <f t="shared" si="93"/>
        <v>96684.67</v>
      </c>
      <c r="K134" s="52">
        <f t="shared" si="93"/>
        <v>96684.67</v>
      </c>
      <c r="L134" s="52">
        <f t="shared" si="80"/>
        <v>96684.67</v>
      </c>
      <c r="M134" s="52">
        <f aca="true" t="shared" si="94" ref="M134:M161">M70+M6</f>
        <v>98755.76</v>
      </c>
      <c r="O134" s="52">
        <f t="shared" si="81"/>
        <v>49667.52</v>
      </c>
      <c r="P134" s="52">
        <f t="shared" si="82"/>
        <v>33457.810000000005</v>
      </c>
      <c r="Q134" s="52">
        <f t="shared" si="83"/>
        <v>861.1699999999983</v>
      </c>
      <c r="R134" s="52">
        <f t="shared" si="84"/>
        <v>7725.830000000002</v>
      </c>
      <c r="S134" s="52">
        <f t="shared" si="85"/>
        <v>4922.020000000004</v>
      </c>
      <c r="T134" s="52">
        <f t="shared" si="86"/>
        <v>0</v>
      </c>
      <c r="U134" s="52">
        <f t="shared" si="87"/>
        <v>50.31999999999243</v>
      </c>
      <c r="V134" s="52">
        <f t="shared" si="88"/>
        <v>0</v>
      </c>
      <c r="W134" s="52">
        <f t="shared" si="89"/>
        <v>0</v>
      </c>
      <c r="X134" s="52">
        <f t="shared" si="90"/>
        <v>0</v>
      </c>
      <c r="Y134" s="52">
        <f t="shared" si="91"/>
        <v>0</v>
      </c>
      <c r="Z134" s="52">
        <f t="shared" si="91"/>
        <v>2071.0899999999965</v>
      </c>
      <c r="AB134" s="61">
        <f t="shared" si="92"/>
        <v>2121.409999999989</v>
      </c>
    </row>
    <row r="135" spans="1:28" ht="11.25">
      <c r="A135" s="53" t="s">
        <v>100</v>
      </c>
      <c r="B135" s="52">
        <f t="shared" si="78"/>
        <v>0</v>
      </c>
      <c r="C135" s="52">
        <f aca="true" t="shared" si="95" ref="C135:K135">C71+C7</f>
        <v>0</v>
      </c>
      <c r="D135" s="52">
        <f t="shared" si="95"/>
        <v>0</v>
      </c>
      <c r="E135" s="52">
        <f t="shared" si="95"/>
        <v>0</v>
      </c>
      <c r="F135" s="52">
        <f t="shared" si="95"/>
        <v>0</v>
      </c>
      <c r="G135" s="52">
        <f t="shared" si="95"/>
        <v>0</v>
      </c>
      <c r="H135" s="52">
        <f t="shared" si="95"/>
        <v>0</v>
      </c>
      <c r="I135" s="52">
        <f t="shared" si="95"/>
        <v>0</v>
      </c>
      <c r="J135" s="52">
        <f t="shared" si="95"/>
        <v>0</v>
      </c>
      <c r="K135" s="52">
        <f t="shared" si="95"/>
        <v>0</v>
      </c>
      <c r="L135" s="52">
        <f t="shared" si="80"/>
        <v>0</v>
      </c>
      <c r="M135" s="52">
        <f t="shared" si="94"/>
        <v>0</v>
      </c>
      <c r="O135" s="52">
        <f t="shared" si="81"/>
        <v>0</v>
      </c>
      <c r="P135" s="52">
        <f t="shared" si="82"/>
        <v>0</v>
      </c>
      <c r="Q135" s="52">
        <f t="shared" si="83"/>
        <v>0</v>
      </c>
      <c r="R135" s="52">
        <f t="shared" si="84"/>
        <v>0</v>
      </c>
      <c r="S135" s="52">
        <f t="shared" si="85"/>
        <v>0</v>
      </c>
      <c r="T135" s="52">
        <f t="shared" si="86"/>
        <v>0</v>
      </c>
      <c r="U135" s="52">
        <f t="shared" si="87"/>
        <v>0</v>
      </c>
      <c r="V135" s="52">
        <f t="shared" si="88"/>
        <v>0</v>
      </c>
      <c r="W135" s="52">
        <f t="shared" si="89"/>
        <v>0</v>
      </c>
      <c r="X135" s="52">
        <f t="shared" si="90"/>
        <v>0</v>
      </c>
      <c r="Y135" s="52">
        <f t="shared" si="91"/>
        <v>0</v>
      </c>
      <c r="Z135" s="52">
        <f t="shared" si="91"/>
        <v>0</v>
      </c>
      <c r="AB135" s="61">
        <f t="shared" si="92"/>
        <v>0</v>
      </c>
    </row>
    <row r="136" spans="1:28" ht="11.25">
      <c r="A136" s="53" t="s">
        <v>101</v>
      </c>
      <c r="B136" s="52">
        <f t="shared" si="78"/>
        <v>7425.74</v>
      </c>
      <c r="C136" s="52">
        <f aca="true" t="shared" si="96" ref="C136:K136">C72+C8</f>
        <v>67603.43</v>
      </c>
      <c r="D136" s="52">
        <f t="shared" si="96"/>
        <v>70810.49</v>
      </c>
      <c r="E136" s="52">
        <f t="shared" si="96"/>
        <v>71003.1</v>
      </c>
      <c r="F136" s="52">
        <f t="shared" si="96"/>
        <v>71003.1</v>
      </c>
      <c r="G136" s="52">
        <f t="shared" si="96"/>
        <v>71003.1</v>
      </c>
      <c r="H136" s="52">
        <f t="shared" si="96"/>
        <v>71003.1</v>
      </c>
      <c r="I136" s="52">
        <f t="shared" si="96"/>
        <v>74545.59</v>
      </c>
      <c r="J136" s="52">
        <f t="shared" si="96"/>
        <v>74545.59</v>
      </c>
      <c r="K136" s="52">
        <f t="shared" si="96"/>
        <v>74545.59</v>
      </c>
      <c r="L136" s="52">
        <f t="shared" si="80"/>
        <v>74545.59</v>
      </c>
      <c r="M136" s="52">
        <f t="shared" si="94"/>
        <v>74545.59</v>
      </c>
      <c r="O136" s="52">
        <f t="shared" si="81"/>
        <v>7425.74</v>
      </c>
      <c r="P136" s="52">
        <f t="shared" si="82"/>
        <v>60177.689999999995</v>
      </c>
      <c r="Q136" s="52">
        <f t="shared" si="83"/>
        <v>3207.060000000012</v>
      </c>
      <c r="R136" s="52">
        <f t="shared" si="84"/>
        <v>192.61000000000058</v>
      </c>
      <c r="S136" s="52">
        <f t="shared" si="85"/>
        <v>0</v>
      </c>
      <c r="T136" s="52">
        <f t="shared" si="86"/>
        <v>0</v>
      </c>
      <c r="U136" s="52">
        <f t="shared" si="87"/>
        <v>0</v>
      </c>
      <c r="V136" s="52">
        <f t="shared" si="88"/>
        <v>3542.4899999999907</v>
      </c>
      <c r="W136" s="52">
        <f t="shared" si="89"/>
        <v>0</v>
      </c>
      <c r="X136" s="52">
        <f t="shared" si="90"/>
        <v>0</v>
      </c>
      <c r="Y136" s="52">
        <f t="shared" si="91"/>
        <v>0</v>
      </c>
      <c r="Z136" s="52">
        <f t="shared" si="91"/>
        <v>0</v>
      </c>
      <c r="AB136" s="61">
        <f t="shared" si="92"/>
        <v>3542.4899999999907</v>
      </c>
    </row>
    <row r="137" spans="1:28" ht="11.25">
      <c r="A137" s="53" t="s">
        <v>102</v>
      </c>
      <c r="B137" s="52">
        <f t="shared" si="78"/>
        <v>16778.53</v>
      </c>
      <c r="C137" s="52">
        <f aca="true" t="shared" si="97" ref="C137:K137">C73+C9</f>
        <v>56556.81</v>
      </c>
      <c r="D137" s="52">
        <f t="shared" si="97"/>
        <v>135532.9</v>
      </c>
      <c r="E137" s="52">
        <f t="shared" si="97"/>
        <v>191964.66999999998</v>
      </c>
      <c r="F137" s="52">
        <f t="shared" si="97"/>
        <v>194642.77</v>
      </c>
      <c r="G137" s="52">
        <f t="shared" si="97"/>
        <v>325724.61</v>
      </c>
      <c r="H137" s="52">
        <f t="shared" si="97"/>
        <v>214563.72</v>
      </c>
      <c r="I137" s="52">
        <f t="shared" si="97"/>
        <v>214563.72</v>
      </c>
      <c r="J137" s="52">
        <f t="shared" si="97"/>
        <v>214563.72</v>
      </c>
      <c r="K137" s="52">
        <f t="shared" si="97"/>
        <v>218936.94</v>
      </c>
      <c r="L137" s="52">
        <f t="shared" si="80"/>
        <v>218936.94</v>
      </c>
      <c r="M137" s="52">
        <f t="shared" si="94"/>
        <v>218936.94</v>
      </c>
      <c r="O137" s="52">
        <f t="shared" si="81"/>
        <v>16778.53</v>
      </c>
      <c r="P137" s="52">
        <f t="shared" si="82"/>
        <v>39778.28</v>
      </c>
      <c r="Q137" s="52">
        <f t="shared" si="83"/>
        <v>78976.09</v>
      </c>
      <c r="R137" s="52">
        <f t="shared" si="84"/>
        <v>56431.76999999999</v>
      </c>
      <c r="S137" s="52">
        <f t="shared" si="85"/>
        <v>2678.100000000006</v>
      </c>
      <c r="T137" s="52">
        <f t="shared" si="86"/>
        <v>131081.84</v>
      </c>
      <c r="U137" s="52">
        <f t="shared" si="87"/>
        <v>-111160.88999999998</v>
      </c>
      <c r="V137" s="52">
        <f t="shared" si="88"/>
        <v>0</v>
      </c>
      <c r="W137" s="52">
        <f t="shared" si="89"/>
        <v>0</v>
      </c>
      <c r="X137" s="52">
        <f t="shared" si="90"/>
        <v>4373.220000000001</v>
      </c>
      <c r="Y137" s="52">
        <f t="shared" si="91"/>
        <v>0</v>
      </c>
      <c r="Z137" s="52">
        <f t="shared" si="91"/>
        <v>0</v>
      </c>
      <c r="AB137" s="61">
        <f t="shared" si="92"/>
        <v>-106787.66999999998</v>
      </c>
    </row>
    <row r="138" spans="1:28" ht="11.25">
      <c r="A138" s="53" t="s">
        <v>103</v>
      </c>
      <c r="B138" s="52">
        <f t="shared" si="78"/>
        <v>24791.949999999997</v>
      </c>
      <c r="C138" s="52">
        <f aca="true" t="shared" si="98" ref="C138:K138">C74+C10</f>
        <v>31126.17</v>
      </c>
      <c r="D138" s="52">
        <f t="shared" si="98"/>
        <v>30694.84</v>
      </c>
      <c r="E138" s="52">
        <f t="shared" si="98"/>
        <v>33070.58</v>
      </c>
      <c r="F138" s="52">
        <f t="shared" si="98"/>
        <v>33070.58</v>
      </c>
      <c r="G138" s="52">
        <f t="shared" si="98"/>
        <v>33070.58</v>
      </c>
      <c r="H138" s="52">
        <f t="shared" si="98"/>
        <v>33070.58</v>
      </c>
      <c r="I138" s="52">
        <f t="shared" si="98"/>
        <v>33070.58</v>
      </c>
      <c r="J138" s="52">
        <f t="shared" si="98"/>
        <v>33070.58</v>
      </c>
      <c r="K138" s="52">
        <f t="shared" si="98"/>
        <v>33070.58</v>
      </c>
      <c r="L138" s="52">
        <f t="shared" si="80"/>
        <v>33070.58</v>
      </c>
      <c r="M138" s="52">
        <f t="shared" si="94"/>
        <v>33210.58</v>
      </c>
      <c r="O138" s="52">
        <f t="shared" si="81"/>
        <v>24791.949999999997</v>
      </c>
      <c r="P138" s="52">
        <f t="shared" si="82"/>
        <v>6334.220000000001</v>
      </c>
      <c r="Q138" s="52">
        <f t="shared" si="83"/>
        <v>-431.3299999999981</v>
      </c>
      <c r="R138" s="52">
        <f t="shared" si="84"/>
        <v>2375.7400000000016</v>
      </c>
      <c r="S138" s="52">
        <f t="shared" si="85"/>
        <v>0</v>
      </c>
      <c r="T138" s="52">
        <f t="shared" si="86"/>
        <v>0</v>
      </c>
      <c r="U138" s="52">
        <f t="shared" si="87"/>
        <v>0</v>
      </c>
      <c r="V138" s="52">
        <f t="shared" si="88"/>
        <v>0</v>
      </c>
      <c r="W138" s="52">
        <f t="shared" si="89"/>
        <v>0</v>
      </c>
      <c r="X138" s="52">
        <f t="shared" si="90"/>
        <v>0</v>
      </c>
      <c r="Y138" s="52">
        <f t="shared" si="91"/>
        <v>0</v>
      </c>
      <c r="Z138" s="52">
        <f t="shared" si="91"/>
        <v>140</v>
      </c>
      <c r="AB138" s="61">
        <f t="shared" si="92"/>
        <v>140</v>
      </c>
    </row>
    <row r="139" spans="1:28" ht="11.25">
      <c r="A139" s="53" t="s">
        <v>104</v>
      </c>
      <c r="B139" s="52">
        <f t="shared" si="78"/>
        <v>32936.38</v>
      </c>
      <c r="C139" s="52">
        <f aca="true" t="shared" si="99" ref="C139:K139">C75+C11</f>
        <v>32884.22</v>
      </c>
      <c r="D139" s="52">
        <f t="shared" si="99"/>
        <v>32884.22</v>
      </c>
      <c r="E139" s="52">
        <f t="shared" si="99"/>
        <v>32884.22</v>
      </c>
      <c r="F139" s="52">
        <f t="shared" si="99"/>
        <v>32884.22</v>
      </c>
      <c r="G139" s="52">
        <f t="shared" si="99"/>
        <v>35726.89</v>
      </c>
      <c r="H139" s="52">
        <f t="shared" si="99"/>
        <v>35726.89</v>
      </c>
      <c r="I139" s="52">
        <f t="shared" si="99"/>
        <v>35726.89</v>
      </c>
      <c r="J139" s="52">
        <f t="shared" si="99"/>
        <v>35726.89</v>
      </c>
      <c r="K139" s="52">
        <f t="shared" si="99"/>
        <v>35726.89</v>
      </c>
      <c r="L139" s="52">
        <f t="shared" si="80"/>
        <v>35726.89</v>
      </c>
      <c r="M139" s="52">
        <f t="shared" si="94"/>
        <v>35726.89</v>
      </c>
      <c r="O139" s="52">
        <f t="shared" si="81"/>
        <v>32936.38</v>
      </c>
      <c r="P139" s="52">
        <f t="shared" si="82"/>
        <v>-52.15999999999622</v>
      </c>
      <c r="Q139" s="52">
        <f t="shared" si="83"/>
        <v>0</v>
      </c>
      <c r="R139" s="52">
        <f t="shared" si="84"/>
        <v>0</v>
      </c>
      <c r="S139" s="52">
        <f t="shared" si="85"/>
        <v>0</v>
      </c>
      <c r="T139" s="52">
        <f t="shared" si="86"/>
        <v>2842.6699999999983</v>
      </c>
      <c r="U139" s="52">
        <f t="shared" si="87"/>
        <v>0</v>
      </c>
      <c r="V139" s="52">
        <f t="shared" si="88"/>
        <v>0</v>
      </c>
      <c r="W139" s="52">
        <f t="shared" si="89"/>
        <v>0</v>
      </c>
      <c r="X139" s="52">
        <f t="shared" si="90"/>
        <v>0</v>
      </c>
      <c r="Y139" s="52">
        <f t="shared" si="91"/>
        <v>0</v>
      </c>
      <c r="Z139" s="52">
        <f t="shared" si="91"/>
        <v>0</v>
      </c>
      <c r="AB139" s="61">
        <f t="shared" si="92"/>
        <v>0</v>
      </c>
    </row>
    <row r="140" spans="1:28" ht="11.25">
      <c r="A140" s="53" t="s">
        <v>105</v>
      </c>
      <c r="B140" s="52">
        <f t="shared" si="78"/>
        <v>2672.48</v>
      </c>
      <c r="C140" s="52">
        <f aca="true" t="shared" si="100" ref="C140:K140">C76+C12</f>
        <v>24337.23</v>
      </c>
      <c r="D140" s="52">
        <f t="shared" si="100"/>
        <v>24337.23</v>
      </c>
      <c r="E140" s="52">
        <f t="shared" si="100"/>
        <v>24337.23</v>
      </c>
      <c r="F140" s="52">
        <f t="shared" si="100"/>
        <v>24337.23</v>
      </c>
      <c r="G140" s="52">
        <f t="shared" si="100"/>
        <v>24337.23</v>
      </c>
      <c r="H140" s="52">
        <f t="shared" si="100"/>
        <v>24337.23</v>
      </c>
      <c r="I140" s="52">
        <f t="shared" si="100"/>
        <v>24337.23</v>
      </c>
      <c r="J140" s="52">
        <f t="shared" si="100"/>
        <v>24337.23</v>
      </c>
      <c r="K140" s="52">
        <f t="shared" si="100"/>
        <v>24337.23</v>
      </c>
      <c r="L140" s="52">
        <f t="shared" si="80"/>
        <v>24337.23</v>
      </c>
      <c r="M140" s="52">
        <f t="shared" si="94"/>
        <v>24337.23</v>
      </c>
      <c r="O140" s="52">
        <f t="shared" si="81"/>
        <v>2672.48</v>
      </c>
      <c r="P140" s="52">
        <f t="shared" si="82"/>
        <v>21664.75</v>
      </c>
      <c r="Q140" s="52">
        <f t="shared" si="83"/>
        <v>0</v>
      </c>
      <c r="R140" s="52">
        <f t="shared" si="84"/>
        <v>0</v>
      </c>
      <c r="S140" s="52">
        <f t="shared" si="85"/>
        <v>0</v>
      </c>
      <c r="T140" s="52">
        <f t="shared" si="86"/>
        <v>0</v>
      </c>
      <c r="U140" s="52">
        <f t="shared" si="87"/>
        <v>0</v>
      </c>
      <c r="V140" s="52">
        <f t="shared" si="88"/>
        <v>0</v>
      </c>
      <c r="W140" s="52">
        <f t="shared" si="89"/>
        <v>0</v>
      </c>
      <c r="X140" s="52">
        <f t="shared" si="90"/>
        <v>0</v>
      </c>
      <c r="Y140" s="52">
        <f t="shared" si="91"/>
        <v>0</v>
      </c>
      <c r="Z140" s="52">
        <f t="shared" si="91"/>
        <v>0</v>
      </c>
      <c r="AB140" s="61">
        <f t="shared" si="92"/>
        <v>0</v>
      </c>
    </row>
    <row r="141" spans="1:28" ht="11.25">
      <c r="A141" s="53" t="s">
        <v>106</v>
      </c>
      <c r="B141" s="52">
        <f t="shared" si="78"/>
        <v>0</v>
      </c>
      <c r="C141" s="52">
        <f aca="true" t="shared" si="101" ref="C141:K141">C77+C13</f>
        <v>0</v>
      </c>
      <c r="D141" s="52">
        <f t="shared" si="101"/>
        <v>0</v>
      </c>
      <c r="E141" s="52">
        <f t="shared" si="101"/>
        <v>0</v>
      </c>
      <c r="F141" s="52">
        <f t="shared" si="101"/>
        <v>0</v>
      </c>
      <c r="G141" s="52">
        <f t="shared" si="101"/>
        <v>0</v>
      </c>
      <c r="H141" s="52">
        <f t="shared" si="101"/>
        <v>0</v>
      </c>
      <c r="I141" s="52">
        <f t="shared" si="101"/>
        <v>0</v>
      </c>
      <c r="J141" s="52">
        <f t="shared" si="101"/>
        <v>0</v>
      </c>
      <c r="K141" s="52">
        <f t="shared" si="101"/>
        <v>0</v>
      </c>
      <c r="L141" s="52">
        <f t="shared" si="80"/>
        <v>0</v>
      </c>
      <c r="M141" s="52">
        <f t="shared" si="94"/>
        <v>0</v>
      </c>
      <c r="O141" s="52">
        <f t="shared" si="81"/>
        <v>0</v>
      </c>
      <c r="P141" s="52">
        <f t="shared" si="82"/>
        <v>0</v>
      </c>
      <c r="Q141" s="52">
        <f t="shared" si="83"/>
        <v>0</v>
      </c>
      <c r="R141" s="52">
        <f t="shared" si="84"/>
        <v>0</v>
      </c>
      <c r="S141" s="52">
        <f t="shared" si="85"/>
        <v>0</v>
      </c>
      <c r="T141" s="52">
        <f t="shared" si="86"/>
        <v>0</v>
      </c>
      <c r="U141" s="52">
        <f t="shared" si="87"/>
        <v>0</v>
      </c>
      <c r="V141" s="52">
        <f t="shared" si="88"/>
        <v>0</v>
      </c>
      <c r="W141" s="52">
        <f t="shared" si="89"/>
        <v>0</v>
      </c>
      <c r="X141" s="52">
        <f t="shared" si="90"/>
        <v>0</v>
      </c>
      <c r="Y141" s="52">
        <f t="shared" si="91"/>
        <v>0</v>
      </c>
      <c r="Z141" s="52">
        <f t="shared" si="91"/>
        <v>0</v>
      </c>
      <c r="AB141" s="61">
        <f t="shared" si="92"/>
        <v>0</v>
      </c>
    </row>
    <row r="142" spans="1:28" ht="11.25">
      <c r="A142" s="53" t="s">
        <v>107</v>
      </c>
      <c r="B142" s="52">
        <f t="shared" si="78"/>
        <v>0</v>
      </c>
      <c r="C142" s="52">
        <f aca="true" t="shared" si="102" ref="C142:K142">C78+C14</f>
        <v>0</v>
      </c>
      <c r="D142" s="52">
        <f t="shared" si="102"/>
        <v>0</v>
      </c>
      <c r="E142" s="52">
        <f t="shared" si="102"/>
        <v>0</v>
      </c>
      <c r="F142" s="52">
        <f t="shared" si="102"/>
        <v>0</v>
      </c>
      <c r="G142" s="52">
        <f t="shared" si="102"/>
        <v>0</v>
      </c>
      <c r="H142" s="52">
        <f t="shared" si="102"/>
        <v>0</v>
      </c>
      <c r="I142" s="52">
        <f t="shared" si="102"/>
        <v>0</v>
      </c>
      <c r="J142" s="52">
        <f t="shared" si="102"/>
        <v>0</v>
      </c>
      <c r="K142" s="52">
        <f t="shared" si="102"/>
        <v>0</v>
      </c>
      <c r="L142" s="52">
        <f t="shared" si="80"/>
        <v>0</v>
      </c>
      <c r="M142" s="52">
        <f t="shared" si="94"/>
        <v>0</v>
      </c>
      <c r="O142" s="52">
        <f t="shared" si="81"/>
        <v>0</v>
      </c>
      <c r="P142" s="52">
        <f t="shared" si="82"/>
        <v>0</v>
      </c>
      <c r="Q142" s="52">
        <f t="shared" si="83"/>
        <v>0</v>
      </c>
      <c r="R142" s="52">
        <f t="shared" si="84"/>
        <v>0</v>
      </c>
      <c r="S142" s="52">
        <f t="shared" si="85"/>
        <v>0</v>
      </c>
      <c r="T142" s="52">
        <f t="shared" si="86"/>
        <v>0</v>
      </c>
      <c r="U142" s="52">
        <f t="shared" si="87"/>
        <v>0</v>
      </c>
      <c r="V142" s="52">
        <f t="shared" si="88"/>
        <v>0</v>
      </c>
      <c r="W142" s="52">
        <f t="shared" si="89"/>
        <v>0</v>
      </c>
      <c r="X142" s="52">
        <f t="shared" si="90"/>
        <v>0</v>
      </c>
      <c r="Y142" s="52">
        <f t="shared" si="91"/>
        <v>0</v>
      </c>
      <c r="Z142" s="52">
        <f t="shared" si="91"/>
        <v>0</v>
      </c>
      <c r="AB142" s="61">
        <f t="shared" si="92"/>
        <v>0</v>
      </c>
    </row>
    <row r="143" spans="1:28" ht="11.25">
      <c r="A143" s="53" t="s">
        <v>108</v>
      </c>
      <c r="B143" s="52">
        <f t="shared" si="78"/>
        <v>46119.32</v>
      </c>
      <c r="C143" s="52">
        <f aca="true" t="shared" si="103" ref="C143:K143">C79+C15</f>
        <v>47353.33</v>
      </c>
      <c r="D143" s="52">
        <f t="shared" si="103"/>
        <v>58150.97</v>
      </c>
      <c r="E143" s="52">
        <f t="shared" si="103"/>
        <v>58639.45</v>
      </c>
      <c r="F143" s="52">
        <f t="shared" si="103"/>
        <v>59194.18</v>
      </c>
      <c r="G143" s="52">
        <f t="shared" si="103"/>
        <v>59194.18</v>
      </c>
      <c r="H143" s="52">
        <f t="shared" si="103"/>
        <v>59194.18</v>
      </c>
      <c r="I143" s="52">
        <f t="shared" si="103"/>
        <v>59194.18</v>
      </c>
      <c r="J143" s="52">
        <f t="shared" si="103"/>
        <v>59194.18</v>
      </c>
      <c r="K143" s="52">
        <f t="shared" si="103"/>
        <v>60120.89</v>
      </c>
      <c r="L143" s="52">
        <f t="shared" si="80"/>
        <v>60120.89</v>
      </c>
      <c r="M143" s="52">
        <f t="shared" si="94"/>
        <v>60120.89</v>
      </c>
      <c r="O143" s="52">
        <f t="shared" si="81"/>
        <v>46119.32</v>
      </c>
      <c r="P143" s="52">
        <f t="shared" si="82"/>
        <v>1234.010000000002</v>
      </c>
      <c r="Q143" s="52">
        <f t="shared" si="83"/>
        <v>10797.64</v>
      </c>
      <c r="R143" s="52">
        <f t="shared" si="84"/>
        <v>488.4799999999959</v>
      </c>
      <c r="S143" s="52">
        <f t="shared" si="85"/>
        <v>554.7300000000032</v>
      </c>
      <c r="T143" s="52">
        <f t="shared" si="86"/>
        <v>0</v>
      </c>
      <c r="U143" s="52">
        <f t="shared" si="87"/>
        <v>0</v>
      </c>
      <c r="V143" s="52">
        <f t="shared" si="88"/>
        <v>0</v>
      </c>
      <c r="W143" s="52">
        <f t="shared" si="89"/>
        <v>0</v>
      </c>
      <c r="X143" s="52">
        <f t="shared" si="90"/>
        <v>926.7099999999991</v>
      </c>
      <c r="Y143" s="52">
        <f t="shared" si="91"/>
        <v>0</v>
      </c>
      <c r="Z143" s="52">
        <f t="shared" si="91"/>
        <v>0</v>
      </c>
      <c r="AB143" s="61">
        <f t="shared" si="92"/>
        <v>926.7099999999991</v>
      </c>
    </row>
    <row r="144" spans="1:28" ht="11.25">
      <c r="A144" s="53" t="s">
        <v>109</v>
      </c>
      <c r="B144" s="52">
        <f t="shared" si="78"/>
        <v>13.33</v>
      </c>
      <c r="C144" s="52">
        <f aca="true" t="shared" si="104" ref="C144:K144">C80+C16</f>
        <v>17704.71</v>
      </c>
      <c r="D144" s="52">
        <f t="shared" si="104"/>
        <v>19157.02</v>
      </c>
      <c r="E144" s="52">
        <f t="shared" si="104"/>
        <v>19459.81</v>
      </c>
      <c r="F144" s="52">
        <f t="shared" si="104"/>
        <v>19459.81</v>
      </c>
      <c r="G144" s="52">
        <f t="shared" si="104"/>
        <v>19459.81</v>
      </c>
      <c r="H144" s="52">
        <f t="shared" si="104"/>
        <v>19459.81</v>
      </c>
      <c r="I144" s="52">
        <f t="shared" si="104"/>
        <v>19459.81</v>
      </c>
      <c r="J144" s="52">
        <f t="shared" si="104"/>
        <v>19459.81</v>
      </c>
      <c r="K144" s="52">
        <f t="shared" si="104"/>
        <v>19459.81</v>
      </c>
      <c r="L144" s="52">
        <f t="shared" si="80"/>
        <v>19459.81</v>
      </c>
      <c r="M144" s="52">
        <f t="shared" si="94"/>
        <v>19459.81</v>
      </c>
      <c r="O144" s="52">
        <f t="shared" si="81"/>
        <v>13.33</v>
      </c>
      <c r="P144" s="52">
        <f t="shared" si="82"/>
        <v>17691.379999999997</v>
      </c>
      <c r="Q144" s="52">
        <f t="shared" si="83"/>
        <v>1452.3100000000013</v>
      </c>
      <c r="R144" s="52">
        <f t="shared" si="84"/>
        <v>302.7900000000009</v>
      </c>
      <c r="S144" s="52">
        <f t="shared" si="85"/>
        <v>0</v>
      </c>
      <c r="T144" s="52">
        <f t="shared" si="86"/>
        <v>0</v>
      </c>
      <c r="U144" s="52">
        <f t="shared" si="87"/>
        <v>0</v>
      </c>
      <c r="V144" s="52">
        <f t="shared" si="88"/>
        <v>0</v>
      </c>
      <c r="W144" s="52">
        <f t="shared" si="89"/>
        <v>0</v>
      </c>
      <c r="X144" s="52">
        <f t="shared" si="90"/>
        <v>0</v>
      </c>
      <c r="Y144" s="52">
        <f t="shared" si="91"/>
        <v>0</v>
      </c>
      <c r="Z144" s="52">
        <f t="shared" si="91"/>
        <v>0</v>
      </c>
      <c r="AB144" s="61">
        <f t="shared" si="92"/>
        <v>0</v>
      </c>
    </row>
    <row r="145" spans="1:28" ht="11.25">
      <c r="A145" s="53" t="s">
        <v>110</v>
      </c>
      <c r="B145" s="52">
        <f t="shared" si="78"/>
        <v>6836.44</v>
      </c>
      <c r="C145" s="52">
        <f aca="true" t="shared" si="105" ref="C145:K145">C81+C17</f>
        <v>21101.44</v>
      </c>
      <c r="D145" s="52">
        <f t="shared" si="105"/>
        <v>24439</v>
      </c>
      <c r="E145" s="52">
        <f t="shared" si="105"/>
        <v>25820.94</v>
      </c>
      <c r="F145" s="52">
        <f t="shared" si="105"/>
        <v>25820.94</v>
      </c>
      <c r="G145" s="52">
        <f t="shared" si="105"/>
        <v>25820.94</v>
      </c>
      <c r="H145" s="52">
        <f t="shared" si="105"/>
        <v>25820.94</v>
      </c>
      <c r="I145" s="52">
        <f t="shared" si="105"/>
        <v>25820.94</v>
      </c>
      <c r="J145" s="52">
        <f t="shared" si="105"/>
        <v>25820.94</v>
      </c>
      <c r="K145" s="52">
        <f t="shared" si="105"/>
        <v>25820.94</v>
      </c>
      <c r="L145" s="52">
        <f t="shared" si="80"/>
        <v>25820.94</v>
      </c>
      <c r="M145" s="52">
        <f t="shared" si="94"/>
        <v>25820.94</v>
      </c>
      <c r="O145" s="52">
        <f t="shared" si="81"/>
        <v>6836.44</v>
      </c>
      <c r="P145" s="52">
        <f t="shared" si="82"/>
        <v>14265</v>
      </c>
      <c r="Q145" s="52">
        <f t="shared" si="83"/>
        <v>3337.5600000000013</v>
      </c>
      <c r="R145" s="52">
        <f t="shared" si="84"/>
        <v>1381.9399999999987</v>
      </c>
      <c r="S145" s="52">
        <f t="shared" si="85"/>
        <v>0</v>
      </c>
      <c r="T145" s="52">
        <f t="shared" si="86"/>
        <v>0</v>
      </c>
      <c r="U145" s="52">
        <f t="shared" si="87"/>
        <v>0</v>
      </c>
      <c r="V145" s="52">
        <f t="shared" si="88"/>
        <v>0</v>
      </c>
      <c r="W145" s="52">
        <f t="shared" si="89"/>
        <v>0</v>
      </c>
      <c r="X145" s="52">
        <f t="shared" si="90"/>
        <v>0</v>
      </c>
      <c r="Y145" s="52">
        <f t="shared" si="91"/>
        <v>0</v>
      </c>
      <c r="Z145" s="52">
        <f t="shared" si="91"/>
        <v>0</v>
      </c>
      <c r="AB145" s="61">
        <f t="shared" si="92"/>
        <v>0</v>
      </c>
    </row>
    <row r="146" spans="1:28" ht="11.25">
      <c r="A146" s="53" t="s">
        <v>111</v>
      </c>
      <c r="B146" s="52">
        <f t="shared" si="78"/>
        <v>1543.92</v>
      </c>
      <c r="C146" s="52">
        <f aca="true" t="shared" si="106" ref="C146:K146">C82+C18</f>
        <v>13873.05</v>
      </c>
      <c r="D146" s="52">
        <f t="shared" si="106"/>
        <v>23095.37</v>
      </c>
      <c r="E146" s="52">
        <f t="shared" si="106"/>
        <v>23281.83</v>
      </c>
      <c r="F146" s="52">
        <f t="shared" si="106"/>
        <v>23404.96</v>
      </c>
      <c r="G146" s="52">
        <f t="shared" si="106"/>
        <v>23404.96</v>
      </c>
      <c r="H146" s="52">
        <f t="shared" si="106"/>
        <v>23404.96</v>
      </c>
      <c r="I146" s="52">
        <f t="shared" si="106"/>
        <v>23404.96</v>
      </c>
      <c r="J146" s="52">
        <f t="shared" si="106"/>
        <v>23404.96</v>
      </c>
      <c r="K146" s="52">
        <f t="shared" si="106"/>
        <v>23404.96</v>
      </c>
      <c r="L146" s="52">
        <f t="shared" si="80"/>
        <v>23404.96</v>
      </c>
      <c r="M146" s="52">
        <f t="shared" si="94"/>
        <v>23404.96</v>
      </c>
      <c r="O146" s="52">
        <f t="shared" si="81"/>
        <v>1543.92</v>
      </c>
      <c r="P146" s="52">
        <f t="shared" si="82"/>
        <v>12329.13</v>
      </c>
      <c r="Q146" s="52">
        <f t="shared" si="83"/>
        <v>9222.32</v>
      </c>
      <c r="R146" s="52">
        <f t="shared" si="84"/>
        <v>186.46000000000276</v>
      </c>
      <c r="S146" s="52">
        <f t="shared" si="85"/>
        <v>123.12999999999738</v>
      </c>
      <c r="T146" s="52">
        <f t="shared" si="86"/>
        <v>0</v>
      </c>
      <c r="U146" s="52">
        <f t="shared" si="87"/>
        <v>0</v>
      </c>
      <c r="V146" s="52">
        <f t="shared" si="88"/>
        <v>0</v>
      </c>
      <c r="W146" s="52">
        <f t="shared" si="89"/>
        <v>0</v>
      </c>
      <c r="X146" s="52">
        <f t="shared" si="90"/>
        <v>0</v>
      </c>
      <c r="Y146" s="52">
        <f t="shared" si="91"/>
        <v>0</v>
      </c>
      <c r="Z146" s="52">
        <f t="shared" si="91"/>
        <v>0</v>
      </c>
      <c r="AB146" s="61">
        <f t="shared" si="92"/>
        <v>0</v>
      </c>
    </row>
    <row r="147" spans="1:28" ht="11.25">
      <c r="A147" s="53" t="s">
        <v>112</v>
      </c>
      <c r="B147" s="52">
        <f t="shared" si="78"/>
        <v>10151.31</v>
      </c>
      <c r="C147" s="52">
        <f aca="true" t="shared" si="107" ref="C147:K147">C83+C19</f>
        <v>12922.98</v>
      </c>
      <c r="D147" s="52">
        <f t="shared" si="107"/>
        <v>16202.779999999999</v>
      </c>
      <c r="E147" s="52">
        <f t="shared" si="107"/>
        <v>16458.4</v>
      </c>
      <c r="F147" s="52">
        <f t="shared" si="107"/>
        <v>17807.92</v>
      </c>
      <c r="G147" s="52">
        <f t="shared" si="107"/>
        <v>17807.92</v>
      </c>
      <c r="H147" s="52">
        <f t="shared" si="107"/>
        <v>17807.92</v>
      </c>
      <c r="I147" s="52">
        <f t="shared" si="107"/>
        <v>17807.92</v>
      </c>
      <c r="J147" s="52">
        <f t="shared" si="107"/>
        <v>17807.92</v>
      </c>
      <c r="K147" s="52">
        <f t="shared" si="107"/>
        <v>17807.92</v>
      </c>
      <c r="L147" s="52">
        <f t="shared" si="80"/>
        <v>17807.92</v>
      </c>
      <c r="M147" s="52">
        <f t="shared" si="94"/>
        <v>17807.92</v>
      </c>
      <c r="O147" s="52">
        <f t="shared" si="81"/>
        <v>10151.31</v>
      </c>
      <c r="P147" s="52">
        <f t="shared" si="82"/>
        <v>2771.67</v>
      </c>
      <c r="Q147" s="52">
        <f t="shared" si="83"/>
        <v>3279.7999999999993</v>
      </c>
      <c r="R147" s="52">
        <f t="shared" si="84"/>
        <v>255.62000000000262</v>
      </c>
      <c r="S147" s="52">
        <f t="shared" si="85"/>
        <v>1349.5199999999968</v>
      </c>
      <c r="T147" s="52">
        <f t="shared" si="86"/>
        <v>0</v>
      </c>
      <c r="U147" s="52">
        <f t="shared" si="87"/>
        <v>0</v>
      </c>
      <c r="V147" s="52">
        <f t="shared" si="88"/>
        <v>0</v>
      </c>
      <c r="W147" s="52">
        <f t="shared" si="89"/>
        <v>0</v>
      </c>
      <c r="X147" s="52">
        <f t="shared" si="90"/>
        <v>0</v>
      </c>
      <c r="Y147" s="52">
        <f t="shared" si="91"/>
        <v>0</v>
      </c>
      <c r="Z147" s="52">
        <f t="shared" si="91"/>
        <v>0</v>
      </c>
      <c r="AB147" s="61">
        <f t="shared" si="92"/>
        <v>0</v>
      </c>
    </row>
    <row r="148" spans="1:28" ht="11.25">
      <c r="A148" s="53" t="s">
        <v>113</v>
      </c>
      <c r="B148" s="52">
        <f t="shared" si="78"/>
        <v>0</v>
      </c>
      <c r="C148" s="52">
        <f aca="true" t="shared" si="108" ref="C148:K148">C84+C20</f>
        <v>0</v>
      </c>
      <c r="D148" s="52">
        <f t="shared" si="108"/>
        <v>2060.81</v>
      </c>
      <c r="E148" s="52">
        <f t="shared" si="108"/>
        <v>35490.46</v>
      </c>
      <c r="F148" s="52">
        <f t="shared" si="108"/>
        <v>37627.07</v>
      </c>
      <c r="G148" s="52">
        <f t="shared" si="108"/>
        <v>37627.07</v>
      </c>
      <c r="H148" s="52">
        <f t="shared" si="108"/>
        <v>37861.06</v>
      </c>
      <c r="I148" s="52">
        <f t="shared" si="108"/>
        <v>37861.06</v>
      </c>
      <c r="J148" s="52">
        <f t="shared" si="108"/>
        <v>37861.06</v>
      </c>
      <c r="K148" s="52">
        <f t="shared" si="108"/>
        <v>37861.06</v>
      </c>
      <c r="L148" s="52">
        <f t="shared" si="80"/>
        <v>37861.06</v>
      </c>
      <c r="M148" s="52">
        <f t="shared" si="94"/>
        <v>38831.43</v>
      </c>
      <c r="O148" s="52">
        <f t="shared" si="81"/>
        <v>0</v>
      </c>
      <c r="P148" s="52">
        <f t="shared" si="82"/>
        <v>0</v>
      </c>
      <c r="Q148" s="52">
        <f t="shared" si="83"/>
        <v>2060.81</v>
      </c>
      <c r="R148" s="52">
        <f t="shared" si="84"/>
        <v>33429.65</v>
      </c>
      <c r="S148" s="52">
        <f t="shared" si="85"/>
        <v>2136.6100000000006</v>
      </c>
      <c r="T148" s="52">
        <f t="shared" si="86"/>
        <v>0</v>
      </c>
      <c r="U148" s="52">
        <f t="shared" si="87"/>
        <v>233.98999999999796</v>
      </c>
      <c r="V148" s="52">
        <f t="shared" si="88"/>
        <v>0</v>
      </c>
      <c r="W148" s="52">
        <f t="shared" si="89"/>
        <v>0</v>
      </c>
      <c r="X148" s="52">
        <f t="shared" si="90"/>
        <v>0</v>
      </c>
      <c r="Y148" s="52">
        <f t="shared" si="91"/>
        <v>0</v>
      </c>
      <c r="Z148" s="52">
        <f t="shared" si="91"/>
        <v>970.3700000000026</v>
      </c>
      <c r="AB148" s="61">
        <f t="shared" si="92"/>
        <v>1204.3600000000006</v>
      </c>
    </row>
    <row r="149" spans="1:28" ht="11.25">
      <c r="A149" s="53" t="s">
        <v>114</v>
      </c>
      <c r="B149" s="52">
        <f t="shared" si="78"/>
        <v>0</v>
      </c>
      <c r="C149" s="52">
        <f aca="true" t="shared" si="109" ref="C149:K149">C85+C21</f>
        <v>7774.79</v>
      </c>
      <c r="D149" s="52">
        <f t="shared" si="109"/>
        <v>45800.95</v>
      </c>
      <c r="E149" s="52">
        <f t="shared" si="109"/>
        <v>46530.87</v>
      </c>
      <c r="F149" s="52">
        <f t="shared" si="109"/>
        <v>47093.65</v>
      </c>
      <c r="G149" s="52">
        <f t="shared" si="109"/>
        <v>47186.979999999996</v>
      </c>
      <c r="H149" s="52">
        <f t="shared" si="109"/>
        <v>47186.979999999996</v>
      </c>
      <c r="I149" s="52">
        <f t="shared" si="109"/>
        <v>47186.979999999996</v>
      </c>
      <c r="J149" s="52">
        <f t="shared" si="109"/>
        <v>47186.979999999996</v>
      </c>
      <c r="K149" s="52">
        <f t="shared" si="109"/>
        <v>47186.979999999996</v>
      </c>
      <c r="L149" s="52">
        <f t="shared" si="80"/>
        <v>47186.979999999996</v>
      </c>
      <c r="M149" s="52">
        <f t="shared" si="94"/>
        <v>55291.03</v>
      </c>
      <c r="O149" s="52">
        <f t="shared" si="81"/>
        <v>0</v>
      </c>
      <c r="P149" s="52">
        <f t="shared" si="82"/>
        <v>7774.79</v>
      </c>
      <c r="Q149" s="52">
        <f t="shared" si="83"/>
        <v>38026.159999999996</v>
      </c>
      <c r="R149" s="52">
        <f t="shared" si="84"/>
        <v>729.9200000000055</v>
      </c>
      <c r="S149" s="52">
        <f t="shared" si="85"/>
        <v>562.7799999999988</v>
      </c>
      <c r="T149" s="52">
        <f t="shared" si="86"/>
        <v>93.32999999999447</v>
      </c>
      <c r="U149" s="52">
        <f t="shared" si="87"/>
        <v>0</v>
      </c>
      <c r="V149" s="52">
        <f t="shared" si="88"/>
        <v>0</v>
      </c>
      <c r="W149" s="52">
        <f t="shared" si="89"/>
        <v>0</v>
      </c>
      <c r="X149" s="52">
        <f t="shared" si="90"/>
        <v>0</v>
      </c>
      <c r="Y149" s="52">
        <f aca="true" t="shared" si="110" ref="Y149:Z161">L149-K149</f>
        <v>0</v>
      </c>
      <c r="Z149" s="52">
        <f t="shared" si="110"/>
        <v>8104.050000000003</v>
      </c>
      <c r="AB149" s="61">
        <f t="shared" si="92"/>
        <v>8104.050000000003</v>
      </c>
    </row>
    <row r="150" spans="1:28" ht="11.25">
      <c r="A150" s="53" t="s">
        <v>115</v>
      </c>
      <c r="B150" s="52">
        <f t="shared" si="78"/>
        <v>6759.37</v>
      </c>
      <c r="C150" s="52">
        <f aca="true" t="shared" si="111" ref="C150:K150">C86+C22</f>
        <v>-10501.09</v>
      </c>
      <c r="D150" s="52">
        <f t="shared" si="111"/>
        <v>-3950.51</v>
      </c>
      <c r="E150" s="52">
        <f t="shared" si="111"/>
        <v>15297.42</v>
      </c>
      <c r="F150" s="52">
        <f t="shared" si="111"/>
        <v>13644.3</v>
      </c>
      <c r="G150" s="52">
        <f t="shared" si="111"/>
        <v>13644.3</v>
      </c>
      <c r="H150" s="52">
        <f t="shared" si="111"/>
        <v>13644.3</v>
      </c>
      <c r="I150" s="52">
        <f t="shared" si="111"/>
        <v>13644.3</v>
      </c>
      <c r="J150" s="52">
        <f t="shared" si="111"/>
        <v>13644.3</v>
      </c>
      <c r="K150" s="52">
        <f t="shared" si="111"/>
        <v>13644.3</v>
      </c>
      <c r="L150" s="52">
        <f t="shared" si="80"/>
        <v>13644.3</v>
      </c>
      <c r="M150" s="52">
        <f t="shared" si="94"/>
        <v>13644.3</v>
      </c>
      <c r="O150" s="52">
        <f t="shared" si="81"/>
        <v>6759.37</v>
      </c>
      <c r="P150" s="52">
        <f t="shared" si="82"/>
        <v>-17260.46</v>
      </c>
      <c r="Q150" s="52">
        <f t="shared" si="83"/>
        <v>6550.58</v>
      </c>
      <c r="R150" s="52">
        <f t="shared" si="84"/>
        <v>19247.93</v>
      </c>
      <c r="S150" s="52">
        <f t="shared" si="85"/>
        <v>-1653.1200000000008</v>
      </c>
      <c r="T150" s="52">
        <f t="shared" si="86"/>
        <v>0</v>
      </c>
      <c r="U150" s="52">
        <f t="shared" si="87"/>
        <v>0</v>
      </c>
      <c r="V150" s="52">
        <f t="shared" si="88"/>
        <v>0</v>
      </c>
      <c r="W150" s="52">
        <f t="shared" si="89"/>
        <v>0</v>
      </c>
      <c r="X150" s="52">
        <f t="shared" si="90"/>
        <v>0</v>
      </c>
      <c r="Y150" s="52">
        <f t="shared" si="110"/>
        <v>0</v>
      </c>
      <c r="Z150" s="52">
        <f t="shared" si="110"/>
        <v>0</v>
      </c>
      <c r="AB150" s="61">
        <f t="shared" si="92"/>
        <v>0</v>
      </c>
    </row>
    <row r="151" spans="1:28" ht="11.25">
      <c r="A151" s="53" t="s">
        <v>116</v>
      </c>
      <c r="B151" s="52">
        <f t="shared" si="78"/>
        <v>1011.7</v>
      </c>
      <c r="C151" s="52">
        <f aca="true" t="shared" si="112" ref="C151:K151">C87+C23</f>
        <v>6960.95</v>
      </c>
      <c r="D151" s="52">
        <f t="shared" si="112"/>
        <v>7019.42</v>
      </c>
      <c r="E151" s="52">
        <f t="shared" si="112"/>
        <v>7259.389999999999</v>
      </c>
      <c r="F151" s="52">
        <f t="shared" si="112"/>
        <v>10694.869999999999</v>
      </c>
      <c r="G151" s="52">
        <f t="shared" si="112"/>
        <v>10694.869999999999</v>
      </c>
      <c r="H151" s="52">
        <f t="shared" si="112"/>
        <v>10694.869999999999</v>
      </c>
      <c r="I151" s="52">
        <f t="shared" si="112"/>
        <v>10694.869999999999</v>
      </c>
      <c r="J151" s="52">
        <f t="shared" si="112"/>
        <v>10694.869999999999</v>
      </c>
      <c r="K151" s="52">
        <f t="shared" si="112"/>
        <v>10694.869999999999</v>
      </c>
      <c r="L151" s="52">
        <f t="shared" si="80"/>
        <v>10694.869999999999</v>
      </c>
      <c r="M151" s="52">
        <f t="shared" si="94"/>
        <v>10694.869999999999</v>
      </c>
      <c r="O151" s="52">
        <f t="shared" si="81"/>
        <v>1011.7</v>
      </c>
      <c r="P151" s="52">
        <f t="shared" si="82"/>
        <v>5949.25</v>
      </c>
      <c r="Q151" s="52">
        <f t="shared" si="83"/>
        <v>58.470000000000255</v>
      </c>
      <c r="R151" s="52">
        <f t="shared" si="84"/>
        <v>239.96999999999935</v>
      </c>
      <c r="S151" s="52">
        <f t="shared" si="85"/>
        <v>3435.4799999999996</v>
      </c>
      <c r="T151" s="52">
        <f t="shared" si="86"/>
        <v>0</v>
      </c>
      <c r="U151" s="52">
        <f t="shared" si="87"/>
        <v>0</v>
      </c>
      <c r="V151" s="52">
        <f t="shared" si="88"/>
        <v>0</v>
      </c>
      <c r="W151" s="52">
        <f t="shared" si="89"/>
        <v>0</v>
      </c>
      <c r="X151" s="52">
        <f t="shared" si="90"/>
        <v>0</v>
      </c>
      <c r="Y151" s="52">
        <f t="shared" si="110"/>
        <v>0</v>
      </c>
      <c r="Z151" s="52">
        <f t="shared" si="110"/>
        <v>0</v>
      </c>
      <c r="AB151" s="61">
        <f t="shared" si="92"/>
        <v>0</v>
      </c>
    </row>
    <row r="152" spans="1:28" ht="11.25">
      <c r="A152" s="53" t="s">
        <v>117</v>
      </c>
      <c r="B152" s="52">
        <f t="shared" si="78"/>
        <v>0</v>
      </c>
      <c r="C152" s="52">
        <f aca="true" t="shared" si="113" ref="C152:K152">C88+C24</f>
        <v>15545.41</v>
      </c>
      <c r="D152" s="52">
        <f t="shared" si="113"/>
        <v>15595.390000000001</v>
      </c>
      <c r="E152" s="52">
        <f t="shared" si="113"/>
        <v>15643.070000000002</v>
      </c>
      <c r="F152" s="52">
        <f t="shared" si="113"/>
        <v>15643.070000000002</v>
      </c>
      <c r="G152" s="52">
        <f t="shared" si="113"/>
        <v>15643.070000000002</v>
      </c>
      <c r="H152" s="52">
        <f t="shared" si="113"/>
        <v>15643.070000000002</v>
      </c>
      <c r="I152" s="52">
        <f t="shared" si="113"/>
        <v>15643.070000000002</v>
      </c>
      <c r="J152" s="52">
        <f t="shared" si="113"/>
        <v>15643.070000000002</v>
      </c>
      <c r="K152" s="52">
        <f t="shared" si="113"/>
        <v>15643.070000000002</v>
      </c>
      <c r="L152" s="52">
        <f t="shared" si="80"/>
        <v>15643.070000000002</v>
      </c>
      <c r="M152" s="52">
        <f t="shared" si="94"/>
        <v>15643.070000000002</v>
      </c>
      <c r="O152" s="52">
        <f t="shared" si="81"/>
        <v>0</v>
      </c>
      <c r="P152" s="52">
        <f t="shared" si="82"/>
        <v>15545.41</v>
      </c>
      <c r="Q152" s="52">
        <f t="shared" si="83"/>
        <v>49.98000000000138</v>
      </c>
      <c r="R152" s="52">
        <f t="shared" si="84"/>
        <v>47.68000000000029</v>
      </c>
      <c r="S152" s="52">
        <f t="shared" si="85"/>
        <v>0</v>
      </c>
      <c r="T152" s="52">
        <f t="shared" si="86"/>
        <v>0</v>
      </c>
      <c r="U152" s="52">
        <f t="shared" si="87"/>
        <v>0</v>
      </c>
      <c r="V152" s="52">
        <f t="shared" si="88"/>
        <v>0</v>
      </c>
      <c r="W152" s="52">
        <f t="shared" si="89"/>
        <v>0</v>
      </c>
      <c r="X152" s="52">
        <f t="shared" si="90"/>
        <v>0</v>
      </c>
      <c r="Y152" s="52">
        <f t="shared" si="110"/>
        <v>0</v>
      </c>
      <c r="Z152" s="52">
        <f t="shared" si="110"/>
        <v>0</v>
      </c>
      <c r="AB152" s="61">
        <f t="shared" si="92"/>
        <v>0</v>
      </c>
    </row>
    <row r="153" spans="1:28" ht="11.25">
      <c r="A153" s="53" t="s">
        <v>118</v>
      </c>
      <c r="B153" s="52">
        <f t="shared" si="78"/>
        <v>0</v>
      </c>
      <c r="C153" s="52">
        <f aca="true" t="shared" si="114" ref="C153:K153">C89+C25</f>
        <v>10392.48</v>
      </c>
      <c r="D153" s="52">
        <f t="shared" si="114"/>
        <v>10513.68</v>
      </c>
      <c r="E153" s="52">
        <f t="shared" si="114"/>
        <v>10959.09</v>
      </c>
      <c r="F153" s="52">
        <f t="shared" si="114"/>
        <v>10959.09</v>
      </c>
      <c r="G153" s="52">
        <f t="shared" si="114"/>
        <v>10959.09</v>
      </c>
      <c r="H153" s="52">
        <f t="shared" si="114"/>
        <v>10959.09</v>
      </c>
      <c r="I153" s="52">
        <f t="shared" si="114"/>
        <v>10959.09</v>
      </c>
      <c r="J153" s="52">
        <f t="shared" si="114"/>
        <v>10959.09</v>
      </c>
      <c r="K153" s="52">
        <f t="shared" si="114"/>
        <v>10959.09</v>
      </c>
      <c r="L153" s="52">
        <f t="shared" si="80"/>
        <v>10959.09</v>
      </c>
      <c r="M153" s="52">
        <f t="shared" si="94"/>
        <v>10959.09</v>
      </c>
      <c r="O153" s="52">
        <f t="shared" si="81"/>
        <v>0</v>
      </c>
      <c r="P153" s="52">
        <f t="shared" si="82"/>
        <v>10392.48</v>
      </c>
      <c r="Q153" s="52">
        <f t="shared" si="83"/>
        <v>121.20000000000073</v>
      </c>
      <c r="R153" s="52">
        <f t="shared" si="84"/>
        <v>445.40999999999985</v>
      </c>
      <c r="S153" s="52">
        <f t="shared" si="85"/>
        <v>0</v>
      </c>
      <c r="T153" s="52">
        <f t="shared" si="86"/>
        <v>0</v>
      </c>
      <c r="U153" s="52">
        <f t="shared" si="87"/>
        <v>0</v>
      </c>
      <c r="V153" s="52">
        <f t="shared" si="88"/>
        <v>0</v>
      </c>
      <c r="W153" s="52">
        <f t="shared" si="89"/>
        <v>0</v>
      </c>
      <c r="X153" s="52">
        <f t="shared" si="90"/>
        <v>0</v>
      </c>
      <c r="Y153" s="52">
        <f t="shared" si="110"/>
        <v>0</v>
      </c>
      <c r="Z153" s="52">
        <f t="shared" si="110"/>
        <v>0</v>
      </c>
      <c r="AB153" s="61">
        <f t="shared" si="92"/>
        <v>0</v>
      </c>
    </row>
    <row r="154" spans="1:28" ht="11.25">
      <c r="A154" s="53" t="s">
        <v>119</v>
      </c>
      <c r="B154" s="52">
        <f t="shared" si="78"/>
        <v>817.5</v>
      </c>
      <c r="C154" s="52">
        <f aca="true" t="shared" si="115" ref="C154:K154">C90+C26</f>
        <v>10533.36</v>
      </c>
      <c r="D154" s="52">
        <f t="shared" si="115"/>
        <v>10589.36</v>
      </c>
      <c r="E154" s="52">
        <f t="shared" si="115"/>
        <v>10664.75</v>
      </c>
      <c r="F154" s="52">
        <f t="shared" si="115"/>
        <v>10664.75</v>
      </c>
      <c r="G154" s="52">
        <f t="shared" si="115"/>
        <v>10664.75</v>
      </c>
      <c r="H154" s="52">
        <f t="shared" si="115"/>
        <v>10664.75</v>
      </c>
      <c r="I154" s="52">
        <f t="shared" si="115"/>
        <v>10664.75</v>
      </c>
      <c r="J154" s="52">
        <f t="shared" si="115"/>
        <v>10664.75</v>
      </c>
      <c r="K154" s="52">
        <f t="shared" si="115"/>
        <v>10664.75</v>
      </c>
      <c r="L154" s="52">
        <f t="shared" si="80"/>
        <v>10664.75</v>
      </c>
      <c r="M154" s="52">
        <f t="shared" si="94"/>
        <v>10664.75</v>
      </c>
      <c r="O154" s="52">
        <f t="shared" si="81"/>
        <v>817.5</v>
      </c>
      <c r="P154" s="52">
        <f t="shared" si="82"/>
        <v>9715.86</v>
      </c>
      <c r="Q154" s="52">
        <f t="shared" si="83"/>
        <v>56</v>
      </c>
      <c r="R154" s="52">
        <f t="shared" si="84"/>
        <v>75.38999999999942</v>
      </c>
      <c r="S154" s="52">
        <f t="shared" si="85"/>
        <v>0</v>
      </c>
      <c r="T154" s="52">
        <f t="shared" si="86"/>
        <v>0</v>
      </c>
      <c r="U154" s="52">
        <f t="shared" si="87"/>
        <v>0</v>
      </c>
      <c r="V154" s="52">
        <f t="shared" si="88"/>
        <v>0</v>
      </c>
      <c r="W154" s="52">
        <f t="shared" si="89"/>
        <v>0</v>
      </c>
      <c r="X154" s="52">
        <f t="shared" si="90"/>
        <v>0</v>
      </c>
      <c r="Y154" s="52">
        <f t="shared" si="110"/>
        <v>0</v>
      </c>
      <c r="Z154" s="52">
        <f t="shared" si="110"/>
        <v>0</v>
      </c>
      <c r="AB154" s="61">
        <f t="shared" si="92"/>
        <v>0</v>
      </c>
    </row>
    <row r="155" spans="1:28" ht="11.25">
      <c r="A155" s="53" t="s">
        <v>120</v>
      </c>
      <c r="B155" s="52">
        <f t="shared" si="78"/>
        <v>5874.32</v>
      </c>
      <c r="C155" s="52">
        <f aca="true" t="shared" si="116" ref="C155:K155">C91+C27</f>
        <v>6482.99</v>
      </c>
      <c r="D155" s="52">
        <f t="shared" si="116"/>
        <v>6482.99</v>
      </c>
      <c r="E155" s="52">
        <f t="shared" si="116"/>
        <v>6482.99</v>
      </c>
      <c r="F155" s="52">
        <f t="shared" si="116"/>
        <v>6482.99</v>
      </c>
      <c r="G155" s="52">
        <f t="shared" si="116"/>
        <v>6482.99</v>
      </c>
      <c r="H155" s="52">
        <f t="shared" si="116"/>
        <v>6482.99</v>
      </c>
      <c r="I155" s="52">
        <f t="shared" si="116"/>
        <v>6482.99</v>
      </c>
      <c r="J155" s="52">
        <f t="shared" si="116"/>
        <v>6482.99</v>
      </c>
      <c r="K155" s="52">
        <f t="shared" si="116"/>
        <v>6482.99</v>
      </c>
      <c r="L155" s="52">
        <f t="shared" si="80"/>
        <v>6482.99</v>
      </c>
      <c r="M155" s="52">
        <f t="shared" si="94"/>
        <v>6482.99</v>
      </c>
      <c r="O155" s="52">
        <f t="shared" si="81"/>
        <v>5874.32</v>
      </c>
      <c r="P155" s="52">
        <f t="shared" si="82"/>
        <v>608.6700000000001</v>
      </c>
      <c r="Q155" s="52">
        <f t="shared" si="83"/>
        <v>0</v>
      </c>
      <c r="R155" s="52">
        <f t="shared" si="84"/>
        <v>0</v>
      </c>
      <c r="S155" s="52">
        <f t="shared" si="85"/>
        <v>0</v>
      </c>
      <c r="T155" s="52">
        <f t="shared" si="86"/>
        <v>0</v>
      </c>
      <c r="U155" s="52">
        <f t="shared" si="87"/>
        <v>0</v>
      </c>
      <c r="V155" s="52">
        <f t="shared" si="88"/>
        <v>0</v>
      </c>
      <c r="W155" s="52">
        <f t="shared" si="89"/>
        <v>0</v>
      </c>
      <c r="X155" s="52">
        <f t="shared" si="90"/>
        <v>0</v>
      </c>
      <c r="Y155" s="52">
        <f t="shared" si="110"/>
        <v>0</v>
      </c>
      <c r="Z155" s="52">
        <f t="shared" si="110"/>
        <v>0</v>
      </c>
      <c r="AB155" s="61">
        <f t="shared" si="92"/>
        <v>0</v>
      </c>
    </row>
    <row r="156" spans="1:28" ht="11.25">
      <c r="A156" s="53" t="s">
        <v>121</v>
      </c>
      <c r="B156" s="52">
        <f t="shared" si="78"/>
        <v>10820.06</v>
      </c>
      <c r="C156" s="52">
        <f aca="true" t="shared" si="117" ref="C156:K156">C92+C28</f>
        <v>48304.85</v>
      </c>
      <c r="D156" s="52">
        <f t="shared" si="117"/>
        <v>50303.759999999995</v>
      </c>
      <c r="E156" s="52">
        <f t="shared" si="117"/>
        <v>50617.27</v>
      </c>
      <c r="F156" s="52">
        <f t="shared" si="117"/>
        <v>50617.27</v>
      </c>
      <c r="G156" s="52">
        <f t="shared" si="117"/>
        <v>50617.27</v>
      </c>
      <c r="H156" s="52">
        <f t="shared" si="117"/>
        <v>50617.27</v>
      </c>
      <c r="I156" s="52">
        <f t="shared" si="117"/>
        <v>50617.27</v>
      </c>
      <c r="J156" s="52">
        <f t="shared" si="117"/>
        <v>50617.27</v>
      </c>
      <c r="K156" s="52">
        <f t="shared" si="117"/>
        <v>50617.27</v>
      </c>
      <c r="L156" s="52">
        <f t="shared" si="80"/>
        <v>50617.27</v>
      </c>
      <c r="M156" s="52">
        <f t="shared" si="94"/>
        <v>50617.27</v>
      </c>
      <c r="O156" s="52">
        <f t="shared" si="81"/>
        <v>10820.06</v>
      </c>
      <c r="P156" s="52">
        <f t="shared" si="82"/>
        <v>37484.79</v>
      </c>
      <c r="Q156" s="52">
        <f t="shared" si="83"/>
        <v>1998.9099999999962</v>
      </c>
      <c r="R156" s="52">
        <f t="shared" si="84"/>
        <v>313.51000000000204</v>
      </c>
      <c r="S156" s="52">
        <f t="shared" si="85"/>
        <v>0</v>
      </c>
      <c r="T156" s="52">
        <f t="shared" si="86"/>
        <v>0</v>
      </c>
      <c r="U156" s="52">
        <f t="shared" si="87"/>
        <v>0</v>
      </c>
      <c r="V156" s="52">
        <f t="shared" si="88"/>
        <v>0</v>
      </c>
      <c r="W156" s="52">
        <f t="shared" si="89"/>
        <v>0</v>
      </c>
      <c r="X156" s="52">
        <f t="shared" si="90"/>
        <v>0</v>
      </c>
      <c r="Y156" s="52">
        <f t="shared" si="110"/>
        <v>0</v>
      </c>
      <c r="Z156" s="52">
        <f t="shared" si="110"/>
        <v>0</v>
      </c>
      <c r="AB156" s="61">
        <f t="shared" si="92"/>
        <v>0</v>
      </c>
    </row>
    <row r="157" spans="1:28" ht="11.25">
      <c r="A157" s="53" t="s">
        <v>122</v>
      </c>
      <c r="B157" s="52">
        <f t="shared" si="78"/>
        <v>0</v>
      </c>
      <c r="C157" s="52">
        <f aca="true" t="shared" si="118" ref="C157:K157">C93+C29</f>
        <v>0</v>
      </c>
      <c r="D157" s="52">
        <f t="shared" si="118"/>
        <v>0</v>
      </c>
      <c r="E157" s="52">
        <f t="shared" si="118"/>
        <v>0</v>
      </c>
      <c r="F157" s="52">
        <f t="shared" si="118"/>
        <v>0</v>
      </c>
      <c r="G157" s="52">
        <f t="shared" si="118"/>
        <v>0</v>
      </c>
      <c r="H157" s="52">
        <f t="shared" si="118"/>
        <v>0</v>
      </c>
      <c r="I157" s="52">
        <f t="shared" si="118"/>
        <v>0</v>
      </c>
      <c r="J157" s="52">
        <f t="shared" si="118"/>
        <v>0</v>
      </c>
      <c r="K157" s="52">
        <f t="shared" si="118"/>
        <v>0</v>
      </c>
      <c r="L157" s="52">
        <f t="shared" si="80"/>
        <v>0</v>
      </c>
      <c r="M157" s="52">
        <f t="shared" si="94"/>
        <v>0</v>
      </c>
      <c r="O157" s="52">
        <f t="shared" si="81"/>
        <v>0</v>
      </c>
      <c r="P157" s="52">
        <f t="shared" si="82"/>
        <v>0</v>
      </c>
      <c r="Q157" s="52">
        <f t="shared" si="83"/>
        <v>0</v>
      </c>
      <c r="R157" s="52">
        <f t="shared" si="84"/>
        <v>0</v>
      </c>
      <c r="S157" s="52">
        <f t="shared" si="85"/>
        <v>0</v>
      </c>
      <c r="T157" s="52">
        <f t="shared" si="86"/>
        <v>0</v>
      </c>
      <c r="U157" s="52">
        <f t="shared" si="87"/>
        <v>0</v>
      </c>
      <c r="V157" s="52">
        <f t="shared" si="88"/>
        <v>0</v>
      </c>
      <c r="W157" s="52">
        <f t="shared" si="89"/>
        <v>0</v>
      </c>
      <c r="X157" s="52">
        <f t="shared" si="90"/>
        <v>0</v>
      </c>
      <c r="Y157" s="52">
        <f t="shared" si="110"/>
        <v>0</v>
      </c>
      <c r="Z157" s="52">
        <f t="shared" si="110"/>
        <v>0</v>
      </c>
      <c r="AB157" s="61">
        <f t="shared" si="92"/>
        <v>0</v>
      </c>
    </row>
    <row r="158" spans="1:28" ht="11.25">
      <c r="A158" s="53" t="s">
        <v>123</v>
      </c>
      <c r="B158" s="52">
        <f t="shared" si="78"/>
        <v>3463.4</v>
      </c>
      <c r="C158" s="52">
        <f aca="true" t="shared" si="119" ref="C158:K158">C94+C30</f>
        <v>76645.15000000001</v>
      </c>
      <c r="D158" s="52">
        <f t="shared" si="119"/>
        <v>77514.79000000001</v>
      </c>
      <c r="E158" s="52">
        <f t="shared" si="119"/>
        <v>77514.79000000001</v>
      </c>
      <c r="F158" s="52">
        <f t="shared" si="119"/>
        <v>77629.66</v>
      </c>
      <c r="G158" s="52">
        <f t="shared" si="119"/>
        <v>77629.66</v>
      </c>
      <c r="H158" s="52">
        <f t="shared" si="119"/>
        <v>77629.66</v>
      </c>
      <c r="I158" s="52">
        <f t="shared" si="119"/>
        <v>77629.66</v>
      </c>
      <c r="J158" s="52">
        <f t="shared" si="119"/>
        <v>77629.66</v>
      </c>
      <c r="K158" s="52">
        <f t="shared" si="119"/>
        <v>77629.66</v>
      </c>
      <c r="L158" s="52">
        <f t="shared" si="80"/>
        <v>77629.66</v>
      </c>
      <c r="M158" s="52">
        <f t="shared" si="94"/>
        <v>77629.66</v>
      </c>
      <c r="O158" s="52">
        <f t="shared" si="81"/>
        <v>3463.4</v>
      </c>
      <c r="P158" s="52">
        <f t="shared" si="82"/>
        <v>73181.75000000001</v>
      </c>
      <c r="Q158" s="52">
        <f t="shared" si="83"/>
        <v>869.6399999999994</v>
      </c>
      <c r="R158" s="52">
        <f t="shared" si="84"/>
        <v>0</v>
      </c>
      <c r="S158" s="52">
        <f t="shared" si="85"/>
        <v>114.86999999999534</v>
      </c>
      <c r="T158" s="52">
        <f t="shared" si="86"/>
        <v>0</v>
      </c>
      <c r="U158" s="52">
        <f t="shared" si="87"/>
        <v>0</v>
      </c>
      <c r="V158" s="52">
        <f t="shared" si="88"/>
        <v>0</v>
      </c>
      <c r="W158" s="52">
        <f t="shared" si="89"/>
        <v>0</v>
      </c>
      <c r="X158" s="52">
        <f t="shared" si="90"/>
        <v>0</v>
      </c>
      <c r="Y158" s="52">
        <f t="shared" si="110"/>
        <v>0</v>
      </c>
      <c r="Z158" s="52">
        <f t="shared" si="110"/>
        <v>0</v>
      </c>
      <c r="AB158" s="61">
        <f t="shared" si="92"/>
        <v>0</v>
      </c>
    </row>
    <row r="159" spans="1:28" ht="11.25">
      <c r="A159" s="53" t="s">
        <v>124</v>
      </c>
      <c r="B159" s="52">
        <f t="shared" si="78"/>
        <v>3022</v>
      </c>
      <c r="C159" s="52">
        <f aca="true" t="shared" si="120" ref="C159:K159">C95+C31</f>
        <v>3854.15</v>
      </c>
      <c r="D159" s="52">
        <f t="shared" si="120"/>
        <v>5579.29</v>
      </c>
      <c r="E159" s="52">
        <f t="shared" si="120"/>
        <v>5579.29</v>
      </c>
      <c r="F159" s="52">
        <f t="shared" si="120"/>
        <v>5579.29</v>
      </c>
      <c r="G159" s="52">
        <f t="shared" si="120"/>
        <v>5579.29</v>
      </c>
      <c r="H159" s="52">
        <f t="shared" si="120"/>
        <v>5579.29</v>
      </c>
      <c r="I159" s="52">
        <f t="shared" si="120"/>
        <v>5579.29</v>
      </c>
      <c r="J159" s="52">
        <f t="shared" si="120"/>
        <v>5579.29</v>
      </c>
      <c r="K159" s="52">
        <f t="shared" si="120"/>
        <v>5579.29</v>
      </c>
      <c r="L159" s="52">
        <f t="shared" si="80"/>
        <v>5579.29</v>
      </c>
      <c r="M159" s="52">
        <f t="shared" si="94"/>
        <v>5579.29</v>
      </c>
      <c r="O159" s="52">
        <f t="shared" si="81"/>
        <v>3022</v>
      </c>
      <c r="P159" s="52">
        <f aca="true" t="shared" si="121" ref="P159:T161">C159-B159</f>
        <v>832.1500000000001</v>
      </c>
      <c r="Q159" s="52">
        <f t="shared" si="121"/>
        <v>1725.1399999999999</v>
      </c>
      <c r="R159" s="52">
        <f t="shared" si="121"/>
        <v>0</v>
      </c>
      <c r="S159" s="52">
        <f t="shared" si="121"/>
        <v>0</v>
      </c>
      <c r="T159" s="52">
        <f t="shared" si="121"/>
        <v>0</v>
      </c>
      <c r="U159" s="52">
        <f aca="true" t="shared" si="122" ref="U159:X161">H159-G159</f>
        <v>0</v>
      </c>
      <c r="V159" s="52">
        <f t="shared" si="122"/>
        <v>0</v>
      </c>
      <c r="W159" s="52">
        <f t="shared" si="122"/>
        <v>0</v>
      </c>
      <c r="X159" s="52">
        <f t="shared" si="122"/>
        <v>0</v>
      </c>
      <c r="Y159" s="52">
        <f t="shared" si="110"/>
        <v>0</v>
      </c>
      <c r="Z159" s="52">
        <f t="shared" si="110"/>
        <v>0</v>
      </c>
      <c r="AB159" s="61">
        <f t="shared" si="92"/>
        <v>0</v>
      </c>
    </row>
    <row r="160" spans="1:28" ht="11.25">
      <c r="A160" s="53" t="s">
        <v>125</v>
      </c>
      <c r="B160" s="52">
        <f t="shared" si="78"/>
        <v>0</v>
      </c>
      <c r="C160" s="52">
        <f aca="true" t="shared" si="123" ref="C160:K160">C96+C32</f>
        <v>0</v>
      </c>
      <c r="D160" s="52">
        <f t="shared" si="123"/>
        <v>0</v>
      </c>
      <c r="E160" s="52">
        <f t="shared" si="123"/>
        <v>0</v>
      </c>
      <c r="F160" s="52">
        <f t="shared" si="123"/>
        <v>0</v>
      </c>
      <c r="G160" s="52">
        <f t="shared" si="123"/>
        <v>0</v>
      </c>
      <c r="H160" s="52">
        <f t="shared" si="123"/>
        <v>0</v>
      </c>
      <c r="I160" s="52">
        <f t="shared" si="123"/>
        <v>0</v>
      </c>
      <c r="J160" s="52">
        <f t="shared" si="123"/>
        <v>0</v>
      </c>
      <c r="K160" s="52">
        <f t="shared" si="123"/>
        <v>0</v>
      </c>
      <c r="L160" s="52">
        <f t="shared" si="80"/>
        <v>0</v>
      </c>
      <c r="M160" s="52">
        <f t="shared" si="94"/>
        <v>0</v>
      </c>
      <c r="O160" s="52">
        <f t="shared" si="81"/>
        <v>0</v>
      </c>
      <c r="P160" s="52">
        <f t="shared" si="121"/>
        <v>0</v>
      </c>
      <c r="Q160" s="52">
        <f t="shared" si="121"/>
        <v>0</v>
      </c>
      <c r="R160" s="52">
        <f t="shared" si="121"/>
        <v>0</v>
      </c>
      <c r="S160" s="52">
        <f t="shared" si="121"/>
        <v>0</v>
      </c>
      <c r="T160" s="52">
        <f t="shared" si="121"/>
        <v>0</v>
      </c>
      <c r="U160" s="52">
        <f t="shared" si="122"/>
        <v>0</v>
      </c>
      <c r="V160" s="52">
        <f t="shared" si="122"/>
        <v>0</v>
      </c>
      <c r="W160" s="52">
        <f t="shared" si="122"/>
        <v>0</v>
      </c>
      <c r="X160" s="52">
        <f t="shared" si="122"/>
        <v>0</v>
      </c>
      <c r="Y160" s="52">
        <f t="shared" si="110"/>
        <v>0</v>
      </c>
      <c r="Z160" s="52">
        <f t="shared" si="110"/>
        <v>0</v>
      </c>
      <c r="AB160" s="61">
        <f t="shared" si="92"/>
        <v>0</v>
      </c>
    </row>
    <row r="161" spans="1:28" ht="11.25">
      <c r="A161" s="53" t="s">
        <v>126</v>
      </c>
      <c r="B161" s="52">
        <f t="shared" si="78"/>
        <v>78.22</v>
      </c>
      <c r="C161" s="52">
        <f aca="true" t="shared" si="124" ref="C161:K161">C97+C33</f>
        <v>9904.210000000001</v>
      </c>
      <c r="D161" s="52">
        <f t="shared" si="124"/>
        <v>13623.43</v>
      </c>
      <c r="E161" s="52">
        <f t="shared" si="124"/>
        <v>13623.43</v>
      </c>
      <c r="F161" s="52">
        <f t="shared" si="124"/>
        <v>13623.43</v>
      </c>
      <c r="G161" s="52">
        <f t="shared" si="124"/>
        <v>13623.43</v>
      </c>
      <c r="H161" s="52">
        <f t="shared" si="124"/>
        <v>13623.43</v>
      </c>
      <c r="I161" s="52">
        <f t="shared" si="124"/>
        <v>13623.43</v>
      </c>
      <c r="J161" s="52">
        <f t="shared" si="124"/>
        <v>13623.43</v>
      </c>
      <c r="K161" s="52">
        <f t="shared" si="124"/>
        <v>13623.43</v>
      </c>
      <c r="L161" s="52">
        <f t="shared" si="80"/>
        <v>13623.43</v>
      </c>
      <c r="M161" s="52">
        <f t="shared" si="94"/>
        <v>13623.43</v>
      </c>
      <c r="O161" s="52">
        <f t="shared" si="81"/>
        <v>78.22</v>
      </c>
      <c r="P161" s="52">
        <f t="shared" si="121"/>
        <v>9825.990000000002</v>
      </c>
      <c r="Q161" s="52">
        <f t="shared" si="121"/>
        <v>3719.2199999999993</v>
      </c>
      <c r="R161" s="52">
        <f t="shared" si="121"/>
        <v>0</v>
      </c>
      <c r="S161" s="52">
        <f t="shared" si="121"/>
        <v>0</v>
      </c>
      <c r="T161" s="52">
        <f t="shared" si="121"/>
        <v>0</v>
      </c>
      <c r="U161" s="52">
        <f t="shared" si="122"/>
        <v>0</v>
      </c>
      <c r="V161" s="52">
        <f t="shared" si="122"/>
        <v>0</v>
      </c>
      <c r="W161" s="52">
        <f t="shared" si="122"/>
        <v>0</v>
      </c>
      <c r="X161" s="52">
        <f t="shared" si="122"/>
        <v>0</v>
      </c>
      <c r="Y161" s="52">
        <f t="shared" si="110"/>
        <v>0</v>
      </c>
      <c r="Z161" s="52">
        <f t="shared" si="110"/>
        <v>0</v>
      </c>
      <c r="AB161" s="61">
        <f t="shared" si="92"/>
        <v>0</v>
      </c>
    </row>
    <row r="162" spans="1:26" ht="11.25">
      <c r="A162" s="54" t="s">
        <v>168</v>
      </c>
      <c r="B162" s="55">
        <f aca="true" t="shared" si="125" ref="B162:M162">SUM(B133:B161)</f>
        <v>216514.3</v>
      </c>
      <c r="C162" s="55">
        <f t="shared" si="125"/>
        <v>592008.5399999998</v>
      </c>
      <c r="D162" s="55">
        <f t="shared" si="125"/>
        <v>910243.7900000003</v>
      </c>
      <c r="E162" s="55">
        <f t="shared" si="125"/>
        <v>1001903.27</v>
      </c>
      <c r="F162" s="55">
        <f t="shared" si="125"/>
        <v>925148.8800000001</v>
      </c>
      <c r="G162" s="55">
        <f t="shared" si="125"/>
        <v>1034108.5900000001</v>
      </c>
      <c r="H162" s="55">
        <f t="shared" si="125"/>
        <v>923374.91</v>
      </c>
      <c r="I162" s="55">
        <f t="shared" si="125"/>
        <v>926917.4</v>
      </c>
      <c r="J162" s="55">
        <f t="shared" si="125"/>
        <v>926917.4</v>
      </c>
      <c r="K162" s="55">
        <f t="shared" si="125"/>
        <v>932217.33</v>
      </c>
      <c r="L162" s="55">
        <f t="shared" si="125"/>
        <v>932217.33</v>
      </c>
      <c r="M162" s="55">
        <f t="shared" si="125"/>
        <v>943900.7600000001</v>
      </c>
      <c r="O162" s="55">
        <f aca="true" t="shared" si="126" ref="O162:X162">SUM(O133:O161)</f>
        <v>216514.3</v>
      </c>
      <c r="P162" s="55">
        <f t="shared" si="126"/>
        <v>375494.2400000001</v>
      </c>
      <c r="Q162" s="55">
        <f t="shared" si="126"/>
        <v>318235.24999999994</v>
      </c>
      <c r="R162" s="55">
        <f t="shared" si="126"/>
        <v>91659.48000000001</v>
      </c>
      <c r="S162" s="55">
        <f t="shared" si="126"/>
        <v>-76754.38999999998</v>
      </c>
      <c r="T162" s="55">
        <f t="shared" si="126"/>
        <v>108959.70999999999</v>
      </c>
      <c r="U162" s="55">
        <f t="shared" si="126"/>
        <v>-110733.68</v>
      </c>
      <c r="V162" s="55">
        <f t="shared" si="126"/>
        <v>3542.4899999999907</v>
      </c>
      <c r="W162" s="55">
        <f t="shared" si="126"/>
        <v>0</v>
      </c>
      <c r="X162" s="55">
        <f t="shared" si="126"/>
        <v>5299.93</v>
      </c>
      <c r="Y162" s="55">
        <f>SUM(Y133:Y161)</f>
        <v>0</v>
      </c>
      <c r="Z162" s="55">
        <f>SUM(Z133:Z161)</f>
        <v>11683.430000000002</v>
      </c>
    </row>
    <row r="163" spans="1:26" ht="11.25">
      <c r="A163" s="42"/>
      <c r="B163" s="43" t="s">
        <v>156</v>
      </c>
      <c r="C163" s="43" t="s">
        <v>157</v>
      </c>
      <c r="D163" s="43" t="s">
        <v>158</v>
      </c>
      <c r="E163" s="43" t="s">
        <v>159</v>
      </c>
      <c r="F163" s="43" t="s">
        <v>160</v>
      </c>
      <c r="G163" s="43" t="s">
        <v>161</v>
      </c>
      <c r="H163" s="43" t="s">
        <v>162</v>
      </c>
      <c r="I163" s="43" t="s">
        <v>163</v>
      </c>
      <c r="J163" s="43" t="s">
        <v>164</v>
      </c>
      <c r="K163" s="43" t="s">
        <v>165</v>
      </c>
      <c r="L163" s="44" t="s">
        <v>166</v>
      </c>
      <c r="M163" s="63" t="s">
        <v>173</v>
      </c>
      <c r="O163" s="46" t="s">
        <v>156</v>
      </c>
      <c r="P163" s="43" t="s">
        <v>157</v>
      </c>
      <c r="Q163" s="43" t="s">
        <v>158</v>
      </c>
      <c r="R163" s="43" t="s">
        <v>159</v>
      </c>
      <c r="S163" s="43" t="s">
        <v>160</v>
      </c>
      <c r="T163" s="43" t="s">
        <v>161</v>
      </c>
      <c r="U163" s="43" t="s">
        <v>162</v>
      </c>
      <c r="V163" s="43" t="s">
        <v>163</v>
      </c>
      <c r="W163" s="43" t="s">
        <v>164</v>
      </c>
      <c r="X163" s="43" t="s">
        <v>165</v>
      </c>
      <c r="Y163" s="43" t="s">
        <v>166</v>
      </c>
      <c r="Z163" s="63" t="s">
        <v>173</v>
      </c>
    </row>
    <row r="164" spans="1:26" ht="11.25">
      <c r="A164" s="47"/>
      <c r="B164" s="58" t="s">
        <v>171</v>
      </c>
      <c r="C164" s="58" t="s">
        <v>171</v>
      </c>
      <c r="D164" s="58" t="s">
        <v>171</v>
      </c>
      <c r="E164" s="58" t="s">
        <v>171</v>
      </c>
      <c r="F164" s="58" t="s">
        <v>171</v>
      </c>
      <c r="G164" s="58" t="s">
        <v>171</v>
      </c>
      <c r="H164" s="58" t="s">
        <v>171</v>
      </c>
      <c r="I164" s="58" t="s">
        <v>171</v>
      </c>
      <c r="J164" s="58" t="s">
        <v>171</v>
      </c>
      <c r="K164" s="58" t="s">
        <v>171</v>
      </c>
      <c r="L164" s="59" t="s">
        <v>171</v>
      </c>
      <c r="M164" s="59" t="s">
        <v>171</v>
      </c>
      <c r="O164" s="60" t="s">
        <v>171</v>
      </c>
      <c r="P164" s="58" t="s">
        <v>171</v>
      </c>
      <c r="Q164" s="58" t="s">
        <v>171</v>
      </c>
      <c r="R164" s="58" t="s">
        <v>171</v>
      </c>
      <c r="S164" s="58" t="s">
        <v>171</v>
      </c>
      <c r="T164" s="58" t="s">
        <v>171</v>
      </c>
      <c r="U164" s="58" t="s">
        <v>171</v>
      </c>
      <c r="V164" s="58" t="s">
        <v>171</v>
      </c>
      <c r="W164" s="58" t="s">
        <v>171</v>
      </c>
      <c r="X164" s="58" t="s">
        <v>171</v>
      </c>
      <c r="Y164" s="58" t="s">
        <v>171</v>
      </c>
      <c r="Z164" s="59" t="s">
        <v>171</v>
      </c>
    </row>
    <row r="165" spans="1:28" ht="11.25">
      <c r="A165" s="51" t="s">
        <v>169</v>
      </c>
      <c r="B165" s="52">
        <f aca="true" t="shared" si="127" ref="B165:M165">B99+B35</f>
        <v>0</v>
      </c>
      <c r="C165" s="52">
        <f t="shared" si="127"/>
        <v>0</v>
      </c>
      <c r="D165" s="52">
        <f t="shared" si="127"/>
        <v>0</v>
      </c>
      <c r="E165" s="52">
        <f t="shared" si="127"/>
        <v>0</v>
      </c>
      <c r="F165" s="52">
        <f t="shared" si="127"/>
        <v>121800</v>
      </c>
      <c r="G165" s="52">
        <f t="shared" si="127"/>
        <v>38103.07</v>
      </c>
      <c r="H165" s="52">
        <f t="shared" si="127"/>
        <v>31038.73</v>
      </c>
      <c r="I165" s="52">
        <f t="shared" si="127"/>
        <v>27470.53</v>
      </c>
      <c r="J165" s="52">
        <f t="shared" si="127"/>
        <v>22568.87</v>
      </c>
      <c r="K165" s="52">
        <f t="shared" si="127"/>
        <v>31170.879999999997</v>
      </c>
      <c r="L165" s="52">
        <f t="shared" si="127"/>
        <v>21227.15</v>
      </c>
      <c r="M165" s="52">
        <f t="shared" si="127"/>
        <v>65040.95</v>
      </c>
      <c r="O165" s="52">
        <f>B165</f>
        <v>0</v>
      </c>
      <c r="P165" s="52">
        <f aca="true" t="shared" si="128" ref="P165:P190">C165-B165</f>
        <v>0</v>
      </c>
      <c r="Q165" s="52">
        <f aca="true" t="shared" si="129" ref="Q165:Q190">D165-C165</f>
        <v>0</v>
      </c>
      <c r="R165" s="52">
        <f aca="true" t="shared" si="130" ref="R165:R190">E165-D165</f>
        <v>0</v>
      </c>
      <c r="S165" s="52">
        <f aca="true" t="shared" si="131" ref="S165:S190">F165-E165</f>
        <v>121800</v>
      </c>
      <c r="T165" s="52">
        <f aca="true" t="shared" si="132" ref="T165:T190">G165-F165</f>
        <v>-83696.93</v>
      </c>
      <c r="U165" s="52">
        <f aca="true" t="shared" si="133" ref="U165:U190">H165-G165</f>
        <v>-7064.34</v>
      </c>
      <c r="V165" s="52">
        <f aca="true" t="shared" si="134" ref="V165:V190">I165-H165</f>
        <v>-3568.2000000000007</v>
      </c>
      <c r="W165" s="52">
        <f aca="true" t="shared" si="135" ref="W165:W190">J165-I165</f>
        <v>-4901.66</v>
      </c>
      <c r="X165" s="52">
        <f aca="true" t="shared" si="136" ref="X165:X190">K165-J165</f>
        <v>8602.009999999998</v>
      </c>
      <c r="Y165" s="52">
        <f aca="true" t="shared" si="137" ref="Y165:Z180">L165-K165</f>
        <v>-9943.729999999996</v>
      </c>
      <c r="Z165" s="52">
        <f t="shared" si="137"/>
        <v>43813.799999999996</v>
      </c>
      <c r="AB165" s="61">
        <f>SUM(U165:Z165)</f>
        <v>26937.879999999997</v>
      </c>
    </row>
    <row r="166" spans="1:28" ht="11.25">
      <c r="A166" s="53" t="s">
        <v>127</v>
      </c>
      <c r="B166" s="52">
        <f aca="true" t="shared" si="138" ref="B166:M166">B100+B36</f>
        <v>0</v>
      </c>
      <c r="C166" s="52">
        <f t="shared" si="138"/>
        <v>0</v>
      </c>
      <c r="D166" s="52">
        <f t="shared" si="138"/>
        <v>0</v>
      </c>
      <c r="E166" s="52">
        <f t="shared" si="138"/>
        <v>0</v>
      </c>
      <c r="F166" s="52">
        <f t="shared" si="138"/>
        <v>0</v>
      </c>
      <c r="G166" s="52">
        <f t="shared" si="138"/>
        <v>85552.54</v>
      </c>
      <c r="H166" s="52">
        <f t="shared" si="138"/>
        <v>94078.53</v>
      </c>
      <c r="I166" s="52">
        <f t="shared" si="138"/>
        <v>86367.3</v>
      </c>
      <c r="J166" s="52">
        <f t="shared" si="138"/>
        <v>110699.33</v>
      </c>
      <c r="K166" s="52">
        <f t="shared" si="138"/>
        <v>146195.32</v>
      </c>
      <c r="L166" s="52">
        <f t="shared" si="138"/>
        <v>147224.81</v>
      </c>
      <c r="M166" s="52">
        <f t="shared" si="138"/>
        <v>168287.72999999998</v>
      </c>
      <c r="O166" s="52">
        <f aca="true" t="shared" si="139" ref="O166:O192">B166</f>
        <v>0</v>
      </c>
      <c r="P166" s="52">
        <f t="shared" si="128"/>
        <v>0</v>
      </c>
      <c r="Q166" s="52">
        <f t="shared" si="129"/>
        <v>0</v>
      </c>
      <c r="R166" s="52">
        <f t="shared" si="130"/>
        <v>0</v>
      </c>
      <c r="S166" s="52">
        <f t="shared" si="131"/>
        <v>0</v>
      </c>
      <c r="T166" s="52">
        <f t="shared" si="132"/>
        <v>85552.54</v>
      </c>
      <c r="U166" s="52">
        <f t="shared" si="133"/>
        <v>8525.990000000005</v>
      </c>
      <c r="V166" s="52">
        <f t="shared" si="134"/>
        <v>-7711.229999999996</v>
      </c>
      <c r="W166" s="52">
        <f t="shared" si="135"/>
        <v>24332.03</v>
      </c>
      <c r="X166" s="52">
        <f t="shared" si="136"/>
        <v>35495.990000000005</v>
      </c>
      <c r="Y166" s="52">
        <f t="shared" si="137"/>
        <v>1029.4899999999907</v>
      </c>
      <c r="Z166" s="52">
        <f t="shared" si="137"/>
        <v>21062.919999999984</v>
      </c>
      <c r="AB166" s="61">
        <f>SUM(U166:Z166)</f>
        <v>82735.18999999999</v>
      </c>
    </row>
    <row r="167" spans="1:28" ht="11.25">
      <c r="A167" s="53" t="s">
        <v>128</v>
      </c>
      <c r="B167" s="52">
        <f aca="true" t="shared" si="140" ref="B167:M167">B101+B37</f>
        <v>0</v>
      </c>
      <c r="C167" s="52">
        <f t="shared" si="140"/>
        <v>0</v>
      </c>
      <c r="D167" s="52">
        <f t="shared" si="140"/>
        <v>0</v>
      </c>
      <c r="E167" s="52">
        <f t="shared" si="140"/>
        <v>0</v>
      </c>
      <c r="F167" s="52">
        <f t="shared" si="140"/>
        <v>0</v>
      </c>
      <c r="G167" s="52">
        <f t="shared" si="140"/>
        <v>0</v>
      </c>
      <c r="H167" s="52">
        <f t="shared" si="140"/>
        <v>0</v>
      </c>
      <c r="I167" s="52">
        <f t="shared" si="140"/>
        <v>5959.4</v>
      </c>
      <c r="J167" s="52">
        <f t="shared" si="140"/>
        <v>9752.09</v>
      </c>
      <c r="K167" s="52">
        <f t="shared" si="140"/>
        <v>9816.56</v>
      </c>
      <c r="L167" s="52">
        <f t="shared" si="140"/>
        <v>10009.5</v>
      </c>
      <c r="M167" s="52">
        <f t="shared" si="140"/>
        <v>10009.5</v>
      </c>
      <c r="O167" s="52">
        <f t="shared" si="139"/>
        <v>0</v>
      </c>
      <c r="P167" s="52">
        <f t="shared" si="128"/>
        <v>0</v>
      </c>
      <c r="Q167" s="52">
        <f t="shared" si="129"/>
        <v>0</v>
      </c>
      <c r="R167" s="52">
        <f t="shared" si="130"/>
        <v>0</v>
      </c>
      <c r="S167" s="52">
        <f t="shared" si="131"/>
        <v>0</v>
      </c>
      <c r="T167" s="52">
        <f t="shared" si="132"/>
        <v>0</v>
      </c>
      <c r="U167" s="52">
        <f t="shared" si="133"/>
        <v>0</v>
      </c>
      <c r="V167" s="52">
        <f t="shared" si="134"/>
        <v>5959.4</v>
      </c>
      <c r="W167" s="52">
        <f t="shared" si="135"/>
        <v>3792.6900000000005</v>
      </c>
      <c r="X167" s="52">
        <f t="shared" si="136"/>
        <v>64.46999999999935</v>
      </c>
      <c r="Y167" s="52">
        <f t="shared" si="137"/>
        <v>192.9400000000005</v>
      </c>
      <c r="Z167" s="52">
        <f t="shared" si="137"/>
        <v>0</v>
      </c>
      <c r="AB167" s="61">
        <f aca="true" t="shared" si="141" ref="AB167:AB194">SUM(U167:Z167)</f>
        <v>10009.5</v>
      </c>
    </row>
    <row r="168" spans="1:28" ht="11.25">
      <c r="A168" s="53" t="s">
        <v>129</v>
      </c>
      <c r="B168" s="52">
        <f aca="true" t="shared" si="142" ref="B168:M168">B102+B38</f>
        <v>0</v>
      </c>
      <c r="C168" s="52">
        <f t="shared" si="142"/>
        <v>0</v>
      </c>
      <c r="D168" s="52">
        <f t="shared" si="142"/>
        <v>0</v>
      </c>
      <c r="E168" s="52">
        <f t="shared" si="142"/>
        <v>0</v>
      </c>
      <c r="F168" s="52">
        <f t="shared" si="142"/>
        <v>0</v>
      </c>
      <c r="G168" s="52">
        <f t="shared" si="142"/>
        <v>0</v>
      </c>
      <c r="H168" s="52">
        <f t="shared" si="142"/>
        <v>0</v>
      </c>
      <c r="I168" s="52">
        <f t="shared" si="142"/>
        <v>0</v>
      </c>
      <c r="J168" s="52">
        <f t="shared" si="142"/>
        <v>5971.4</v>
      </c>
      <c r="K168" s="52">
        <f t="shared" si="142"/>
        <v>11892.4</v>
      </c>
      <c r="L168" s="52">
        <f t="shared" si="142"/>
        <v>14505.02</v>
      </c>
      <c r="M168" s="52">
        <f t="shared" si="142"/>
        <v>14724.18</v>
      </c>
      <c r="O168" s="52">
        <f t="shared" si="139"/>
        <v>0</v>
      </c>
      <c r="P168" s="52">
        <f t="shared" si="128"/>
        <v>0</v>
      </c>
      <c r="Q168" s="52">
        <f t="shared" si="129"/>
        <v>0</v>
      </c>
      <c r="R168" s="52">
        <f t="shared" si="130"/>
        <v>0</v>
      </c>
      <c r="S168" s="52">
        <f t="shared" si="131"/>
        <v>0</v>
      </c>
      <c r="T168" s="52">
        <f t="shared" si="132"/>
        <v>0</v>
      </c>
      <c r="U168" s="52">
        <f t="shared" si="133"/>
        <v>0</v>
      </c>
      <c r="V168" s="52">
        <f t="shared" si="134"/>
        <v>0</v>
      </c>
      <c r="W168" s="52">
        <f t="shared" si="135"/>
        <v>5971.4</v>
      </c>
      <c r="X168" s="52">
        <f t="shared" si="136"/>
        <v>5921</v>
      </c>
      <c r="Y168" s="52">
        <f t="shared" si="137"/>
        <v>2612.620000000001</v>
      </c>
      <c r="Z168" s="52">
        <f t="shared" si="137"/>
        <v>219.15999999999985</v>
      </c>
      <c r="AB168" s="61">
        <f t="shared" si="141"/>
        <v>14724.18</v>
      </c>
    </row>
    <row r="169" spans="1:28" ht="11.25">
      <c r="A169" s="53" t="s">
        <v>130</v>
      </c>
      <c r="B169" s="52">
        <f aca="true" t="shared" si="143" ref="B169:M169">B103+B39</f>
        <v>0</v>
      </c>
      <c r="C169" s="52">
        <f t="shared" si="143"/>
        <v>0</v>
      </c>
      <c r="D169" s="52">
        <f t="shared" si="143"/>
        <v>0</v>
      </c>
      <c r="E169" s="52">
        <f t="shared" si="143"/>
        <v>0</v>
      </c>
      <c r="F169" s="52">
        <f t="shared" si="143"/>
        <v>0</v>
      </c>
      <c r="G169" s="52">
        <f t="shared" si="143"/>
        <v>0</v>
      </c>
      <c r="H169" s="52">
        <f t="shared" si="143"/>
        <v>0</v>
      </c>
      <c r="I169" s="52">
        <f t="shared" si="143"/>
        <v>0</v>
      </c>
      <c r="J169" s="52">
        <f t="shared" si="143"/>
        <v>0</v>
      </c>
      <c r="K169" s="52">
        <f t="shared" si="143"/>
        <v>16072.69</v>
      </c>
      <c r="L169" s="52">
        <f t="shared" si="143"/>
        <v>19946.33</v>
      </c>
      <c r="M169" s="52">
        <f t="shared" si="143"/>
        <v>40424.22</v>
      </c>
      <c r="O169" s="52">
        <f t="shared" si="139"/>
        <v>0</v>
      </c>
      <c r="P169" s="52">
        <f t="shared" si="128"/>
        <v>0</v>
      </c>
      <c r="Q169" s="52">
        <f t="shared" si="129"/>
        <v>0</v>
      </c>
      <c r="R169" s="52">
        <f t="shared" si="130"/>
        <v>0</v>
      </c>
      <c r="S169" s="52">
        <f t="shared" si="131"/>
        <v>0</v>
      </c>
      <c r="T169" s="52">
        <f t="shared" si="132"/>
        <v>0</v>
      </c>
      <c r="U169" s="52">
        <f t="shared" si="133"/>
        <v>0</v>
      </c>
      <c r="V169" s="52">
        <f t="shared" si="134"/>
        <v>0</v>
      </c>
      <c r="W169" s="52">
        <f t="shared" si="135"/>
        <v>0</v>
      </c>
      <c r="X169" s="52">
        <f t="shared" si="136"/>
        <v>16072.69</v>
      </c>
      <c r="Y169" s="52">
        <f t="shared" si="137"/>
        <v>3873.6400000000012</v>
      </c>
      <c r="Z169" s="52">
        <f t="shared" si="137"/>
        <v>20477.89</v>
      </c>
      <c r="AB169" s="61">
        <f t="shared" si="141"/>
        <v>40424.22</v>
      </c>
    </row>
    <row r="170" spans="1:28" ht="11.25">
      <c r="A170" s="53" t="s">
        <v>131</v>
      </c>
      <c r="B170" s="52">
        <f aca="true" t="shared" si="144" ref="B170:M170">B104+B40</f>
        <v>0</v>
      </c>
      <c r="C170" s="52">
        <f t="shared" si="144"/>
        <v>0</v>
      </c>
      <c r="D170" s="52">
        <f t="shared" si="144"/>
        <v>0</v>
      </c>
      <c r="E170" s="52">
        <f t="shared" si="144"/>
        <v>0</v>
      </c>
      <c r="F170" s="52">
        <f t="shared" si="144"/>
        <v>0</v>
      </c>
      <c r="G170" s="52">
        <f t="shared" si="144"/>
        <v>0</v>
      </c>
      <c r="H170" s="52">
        <f t="shared" si="144"/>
        <v>0</v>
      </c>
      <c r="I170" s="52">
        <f t="shared" si="144"/>
        <v>0</v>
      </c>
      <c r="J170" s="52">
        <f t="shared" si="144"/>
        <v>0</v>
      </c>
      <c r="K170" s="52">
        <f t="shared" si="144"/>
        <v>0</v>
      </c>
      <c r="L170" s="52">
        <f t="shared" si="144"/>
        <v>22612.43</v>
      </c>
      <c r="M170" s="52">
        <f t="shared" si="144"/>
        <v>21784.870000000003</v>
      </c>
      <c r="O170" s="52">
        <f t="shared" si="139"/>
        <v>0</v>
      </c>
      <c r="P170" s="52">
        <f t="shared" si="128"/>
        <v>0</v>
      </c>
      <c r="Q170" s="52">
        <f t="shared" si="129"/>
        <v>0</v>
      </c>
      <c r="R170" s="52">
        <f t="shared" si="130"/>
        <v>0</v>
      </c>
      <c r="S170" s="52">
        <f t="shared" si="131"/>
        <v>0</v>
      </c>
      <c r="T170" s="52">
        <f t="shared" si="132"/>
        <v>0</v>
      </c>
      <c r="U170" s="52">
        <f t="shared" si="133"/>
        <v>0</v>
      </c>
      <c r="V170" s="52">
        <f t="shared" si="134"/>
        <v>0</v>
      </c>
      <c r="W170" s="52">
        <f t="shared" si="135"/>
        <v>0</v>
      </c>
      <c r="X170" s="52">
        <f t="shared" si="136"/>
        <v>0</v>
      </c>
      <c r="Y170" s="52">
        <f t="shared" si="137"/>
        <v>22612.43</v>
      </c>
      <c r="Z170" s="52">
        <f t="shared" si="137"/>
        <v>-827.5599999999977</v>
      </c>
      <c r="AB170" s="61">
        <f t="shared" si="141"/>
        <v>21784.870000000003</v>
      </c>
    </row>
    <row r="171" spans="1:28" ht="11.25">
      <c r="A171" s="53" t="s">
        <v>132</v>
      </c>
      <c r="B171" s="52">
        <f aca="true" t="shared" si="145" ref="B171:M171">B105+B41</f>
        <v>0</v>
      </c>
      <c r="C171" s="52">
        <f t="shared" si="145"/>
        <v>0</v>
      </c>
      <c r="D171" s="52">
        <f t="shared" si="145"/>
        <v>0</v>
      </c>
      <c r="E171" s="52">
        <f t="shared" si="145"/>
        <v>0</v>
      </c>
      <c r="F171" s="52">
        <f t="shared" si="145"/>
        <v>0</v>
      </c>
      <c r="G171" s="52">
        <f t="shared" si="145"/>
        <v>0</v>
      </c>
      <c r="H171" s="52">
        <f t="shared" si="145"/>
        <v>0</v>
      </c>
      <c r="I171" s="52">
        <f t="shared" si="145"/>
        <v>0</v>
      </c>
      <c r="J171" s="52">
        <f t="shared" si="145"/>
        <v>0</v>
      </c>
      <c r="K171" s="52">
        <f t="shared" si="145"/>
        <v>11066.71</v>
      </c>
      <c r="L171" s="52">
        <f t="shared" si="145"/>
        <v>19357.64</v>
      </c>
      <c r="M171" s="52">
        <f t="shared" si="145"/>
        <v>19982.67</v>
      </c>
      <c r="O171" s="52">
        <f t="shared" si="139"/>
        <v>0</v>
      </c>
      <c r="P171" s="52">
        <f t="shared" si="128"/>
        <v>0</v>
      </c>
      <c r="Q171" s="52">
        <f t="shared" si="129"/>
        <v>0</v>
      </c>
      <c r="R171" s="52">
        <f t="shared" si="130"/>
        <v>0</v>
      </c>
      <c r="S171" s="52">
        <f t="shared" si="131"/>
        <v>0</v>
      </c>
      <c r="T171" s="52">
        <f t="shared" si="132"/>
        <v>0</v>
      </c>
      <c r="U171" s="52">
        <f t="shared" si="133"/>
        <v>0</v>
      </c>
      <c r="V171" s="52">
        <f t="shared" si="134"/>
        <v>0</v>
      </c>
      <c r="W171" s="52">
        <f t="shared" si="135"/>
        <v>0</v>
      </c>
      <c r="X171" s="52">
        <f t="shared" si="136"/>
        <v>11066.71</v>
      </c>
      <c r="Y171" s="52">
        <f t="shared" si="137"/>
        <v>8290.93</v>
      </c>
      <c r="Z171" s="52">
        <f t="shared" si="137"/>
        <v>625.0299999999988</v>
      </c>
      <c r="AB171" s="61">
        <f t="shared" si="141"/>
        <v>19982.67</v>
      </c>
    </row>
    <row r="172" spans="1:28" ht="11.25">
      <c r="A172" s="53" t="s">
        <v>133</v>
      </c>
      <c r="B172" s="52">
        <f aca="true" t="shared" si="146" ref="B172:M172">B106+B42</f>
        <v>0</v>
      </c>
      <c r="C172" s="52">
        <f t="shared" si="146"/>
        <v>0</v>
      </c>
      <c r="D172" s="52">
        <f t="shared" si="146"/>
        <v>0</v>
      </c>
      <c r="E172" s="52">
        <f t="shared" si="146"/>
        <v>0</v>
      </c>
      <c r="F172" s="52">
        <f t="shared" si="146"/>
        <v>0</v>
      </c>
      <c r="G172" s="52">
        <f t="shared" si="146"/>
        <v>0</v>
      </c>
      <c r="H172" s="52">
        <f t="shared" si="146"/>
        <v>0</v>
      </c>
      <c r="I172" s="52">
        <f t="shared" si="146"/>
        <v>0</v>
      </c>
      <c r="J172" s="52">
        <f t="shared" si="146"/>
        <v>0</v>
      </c>
      <c r="K172" s="52">
        <f t="shared" si="146"/>
        <v>23352</v>
      </c>
      <c r="L172" s="52">
        <f t="shared" si="146"/>
        <v>38479.57</v>
      </c>
      <c r="M172" s="52">
        <f t="shared" si="146"/>
        <v>50331.33</v>
      </c>
      <c r="O172" s="52">
        <f t="shared" si="139"/>
        <v>0</v>
      </c>
      <c r="P172" s="52">
        <f t="shared" si="128"/>
        <v>0</v>
      </c>
      <c r="Q172" s="52">
        <f t="shared" si="129"/>
        <v>0</v>
      </c>
      <c r="R172" s="52">
        <f t="shared" si="130"/>
        <v>0</v>
      </c>
      <c r="S172" s="52">
        <f t="shared" si="131"/>
        <v>0</v>
      </c>
      <c r="T172" s="52">
        <f t="shared" si="132"/>
        <v>0</v>
      </c>
      <c r="U172" s="52">
        <f t="shared" si="133"/>
        <v>0</v>
      </c>
      <c r="V172" s="52">
        <f t="shared" si="134"/>
        <v>0</v>
      </c>
      <c r="W172" s="52">
        <f t="shared" si="135"/>
        <v>0</v>
      </c>
      <c r="X172" s="52">
        <f t="shared" si="136"/>
        <v>23352</v>
      </c>
      <c r="Y172" s="52">
        <f t="shared" si="137"/>
        <v>15127.57</v>
      </c>
      <c r="Z172" s="52">
        <f t="shared" si="137"/>
        <v>11851.760000000002</v>
      </c>
      <c r="AB172" s="61">
        <f t="shared" si="141"/>
        <v>50331.33</v>
      </c>
    </row>
    <row r="173" spans="1:28" ht="11.25">
      <c r="A173" s="53" t="s">
        <v>134</v>
      </c>
      <c r="B173" s="52">
        <f aca="true" t="shared" si="147" ref="B173:M173">B107+B43</f>
        <v>0</v>
      </c>
      <c r="C173" s="52">
        <f t="shared" si="147"/>
        <v>0</v>
      </c>
      <c r="D173" s="52">
        <f t="shared" si="147"/>
        <v>0</v>
      </c>
      <c r="E173" s="52">
        <f t="shared" si="147"/>
        <v>0</v>
      </c>
      <c r="F173" s="52">
        <f t="shared" si="147"/>
        <v>0</v>
      </c>
      <c r="G173" s="52">
        <f t="shared" si="147"/>
        <v>1596.2</v>
      </c>
      <c r="H173" s="52">
        <f t="shared" si="147"/>
        <v>1672.14</v>
      </c>
      <c r="I173" s="52">
        <f t="shared" si="147"/>
        <v>1672.14</v>
      </c>
      <c r="J173" s="52">
        <f t="shared" si="147"/>
        <v>1728.14</v>
      </c>
      <c r="K173" s="52">
        <f t="shared" si="147"/>
        <v>4158.139999999999</v>
      </c>
      <c r="L173" s="52">
        <f t="shared" si="147"/>
        <v>7505.82</v>
      </c>
      <c r="M173" s="52">
        <f t="shared" si="147"/>
        <v>48134.25</v>
      </c>
      <c r="O173" s="52">
        <f t="shared" si="139"/>
        <v>0</v>
      </c>
      <c r="P173" s="52">
        <f t="shared" si="128"/>
        <v>0</v>
      </c>
      <c r="Q173" s="52">
        <f t="shared" si="129"/>
        <v>0</v>
      </c>
      <c r="R173" s="52">
        <f t="shared" si="130"/>
        <v>0</v>
      </c>
      <c r="S173" s="52">
        <f t="shared" si="131"/>
        <v>0</v>
      </c>
      <c r="T173" s="52">
        <f t="shared" si="132"/>
        <v>1596.2</v>
      </c>
      <c r="U173" s="52">
        <f t="shared" si="133"/>
        <v>75.94000000000005</v>
      </c>
      <c r="V173" s="52">
        <f t="shared" si="134"/>
        <v>0</v>
      </c>
      <c r="W173" s="52">
        <f t="shared" si="135"/>
        <v>56</v>
      </c>
      <c r="X173" s="52">
        <f t="shared" si="136"/>
        <v>2429.999999999999</v>
      </c>
      <c r="Y173" s="52">
        <f t="shared" si="137"/>
        <v>3347.6800000000003</v>
      </c>
      <c r="Z173" s="52">
        <f t="shared" si="137"/>
        <v>40628.43</v>
      </c>
      <c r="AB173" s="61">
        <f t="shared" si="141"/>
        <v>46538.05</v>
      </c>
    </row>
    <row r="174" spans="1:28" ht="11.25">
      <c r="A174" s="53" t="s">
        <v>135</v>
      </c>
      <c r="B174" s="52">
        <f aca="true" t="shared" si="148" ref="B174:M174">B108+B44</f>
        <v>0</v>
      </c>
      <c r="C174" s="52">
        <f t="shared" si="148"/>
        <v>0</v>
      </c>
      <c r="D174" s="52">
        <f t="shared" si="148"/>
        <v>0</v>
      </c>
      <c r="E174" s="52">
        <f t="shared" si="148"/>
        <v>0</v>
      </c>
      <c r="F174" s="52">
        <f t="shared" si="148"/>
        <v>0</v>
      </c>
      <c r="G174" s="52">
        <f t="shared" si="148"/>
        <v>0</v>
      </c>
      <c r="H174" s="52">
        <f t="shared" si="148"/>
        <v>0</v>
      </c>
      <c r="I174" s="52">
        <f t="shared" si="148"/>
        <v>0</v>
      </c>
      <c r="J174" s="52">
        <f t="shared" si="148"/>
        <v>0</v>
      </c>
      <c r="K174" s="52">
        <f t="shared" si="148"/>
        <v>0</v>
      </c>
      <c r="L174" s="52">
        <f t="shared" si="148"/>
        <v>0</v>
      </c>
      <c r="M174" s="52">
        <f t="shared" si="148"/>
        <v>0</v>
      </c>
      <c r="O174" s="52">
        <f t="shared" si="139"/>
        <v>0</v>
      </c>
      <c r="P174" s="52">
        <f t="shared" si="128"/>
        <v>0</v>
      </c>
      <c r="Q174" s="52">
        <f t="shared" si="129"/>
        <v>0</v>
      </c>
      <c r="R174" s="52">
        <f t="shared" si="130"/>
        <v>0</v>
      </c>
      <c r="S174" s="52">
        <f t="shared" si="131"/>
        <v>0</v>
      </c>
      <c r="T174" s="52">
        <f t="shared" si="132"/>
        <v>0</v>
      </c>
      <c r="U174" s="52">
        <f t="shared" si="133"/>
        <v>0</v>
      </c>
      <c r="V174" s="52">
        <f t="shared" si="134"/>
        <v>0</v>
      </c>
      <c r="W174" s="52">
        <f t="shared" si="135"/>
        <v>0</v>
      </c>
      <c r="X174" s="52">
        <f t="shared" si="136"/>
        <v>0</v>
      </c>
      <c r="Y174" s="52">
        <f t="shared" si="137"/>
        <v>0</v>
      </c>
      <c r="Z174" s="52">
        <f t="shared" si="137"/>
        <v>0</v>
      </c>
      <c r="AB174" s="61">
        <f t="shared" si="141"/>
        <v>0</v>
      </c>
    </row>
    <row r="175" spans="1:28" ht="11.25">
      <c r="A175" s="53" t="s">
        <v>108</v>
      </c>
      <c r="B175" s="52">
        <f aca="true" t="shared" si="149" ref="B175:M175">B109+B45</f>
        <v>0</v>
      </c>
      <c r="C175" s="52">
        <f t="shared" si="149"/>
        <v>0</v>
      </c>
      <c r="D175" s="52">
        <f t="shared" si="149"/>
        <v>0</v>
      </c>
      <c r="E175" s="52">
        <f t="shared" si="149"/>
        <v>0</v>
      </c>
      <c r="F175" s="52">
        <f t="shared" si="149"/>
        <v>0</v>
      </c>
      <c r="G175" s="52">
        <f t="shared" si="149"/>
        <v>0</v>
      </c>
      <c r="H175" s="52">
        <f t="shared" si="149"/>
        <v>0</v>
      </c>
      <c r="I175" s="52">
        <f t="shared" si="149"/>
        <v>6372.58</v>
      </c>
      <c r="J175" s="52">
        <f t="shared" si="149"/>
        <v>8964.91</v>
      </c>
      <c r="K175" s="52">
        <f t="shared" si="149"/>
        <v>8964.91</v>
      </c>
      <c r="L175" s="52">
        <f t="shared" si="149"/>
        <v>8964.91</v>
      </c>
      <c r="M175" s="52">
        <f t="shared" si="149"/>
        <v>9117.91</v>
      </c>
      <c r="O175" s="52">
        <f t="shared" si="139"/>
        <v>0</v>
      </c>
      <c r="P175" s="52">
        <f t="shared" si="128"/>
        <v>0</v>
      </c>
      <c r="Q175" s="52">
        <f t="shared" si="129"/>
        <v>0</v>
      </c>
      <c r="R175" s="52">
        <f t="shared" si="130"/>
        <v>0</v>
      </c>
      <c r="S175" s="52">
        <f t="shared" si="131"/>
        <v>0</v>
      </c>
      <c r="T175" s="52">
        <f t="shared" si="132"/>
        <v>0</v>
      </c>
      <c r="U175" s="52">
        <f t="shared" si="133"/>
        <v>0</v>
      </c>
      <c r="V175" s="52">
        <f t="shared" si="134"/>
        <v>6372.58</v>
      </c>
      <c r="W175" s="52">
        <f t="shared" si="135"/>
        <v>2592.33</v>
      </c>
      <c r="X175" s="52">
        <f t="shared" si="136"/>
        <v>0</v>
      </c>
      <c r="Y175" s="52">
        <f t="shared" si="137"/>
        <v>0</v>
      </c>
      <c r="Z175" s="52">
        <f t="shared" si="137"/>
        <v>153</v>
      </c>
      <c r="AB175" s="61">
        <f t="shared" si="141"/>
        <v>9117.91</v>
      </c>
    </row>
    <row r="176" spans="1:28" ht="11.25">
      <c r="A176" s="53" t="s">
        <v>136</v>
      </c>
      <c r="B176" s="52">
        <f aca="true" t="shared" si="150" ref="B176:M176">B110+B46</f>
        <v>0</v>
      </c>
      <c r="C176" s="52">
        <f t="shared" si="150"/>
        <v>0</v>
      </c>
      <c r="D176" s="52">
        <f t="shared" si="150"/>
        <v>0</v>
      </c>
      <c r="E176" s="52">
        <f t="shared" si="150"/>
        <v>0</v>
      </c>
      <c r="F176" s="52">
        <f t="shared" si="150"/>
        <v>0</v>
      </c>
      <c r="G176" s="52">
        <f t="shared" si="150"/>
        <v>34884.67</v>
      </c>
      <c r="H176" s="52">
        <f t="shared" si="150"/>
        <v>37284.85</v>
      </c>
      <c r="I176" s="52">
        <f t="shared" si="150"/>
        <v>72318.19</v>
      </c>
      <c r="J176" s="52">
        <f t="shared" si="150"/>
        <v>97679.86</v>
      </c>
      <c r="K176" s="52">
        <f t="shared" si="150"/>
        <v>166828.27000000002</v>
      </c>
      <c r="L176" s="52">
        <f t="shared" si="150"/>
        <v>246135.78999999998</v>
      </c>
      <c r="M176" s="52">
        <f t="shared" si="150"/>
        <v>298169.01</v>
      </c>
      <c r="O176" s="52">
        <f t="shared" si="139"/>
        <v>0</v>
      </c>
      <c r="P176" s="52">
        <f t="shared" si="128"/>
        <v>0</v>
      </c>
      <c r="Q176" s="52">
        <f t="shared" si="129"/>
        <v>0</v>
      </c>
      <c r="R176" s="52">
        <f t="shared" si="130"/>
        <v>0</v>
      </c>
      <c r="S176" s="52">
        <f t="shared" si="131"/>
        <v>0</v>
      </c>
      <c r="T176" s="52">
        <f t="shared" si="132"/>
        <v>34884.67</v>
      </c>
      <c r="U176" s="52">
        <f t="shared" si="133"/>
        <v>2400.1800000000003</v>
      </c>
      <c r="V176" s="52">
        <f t="shared" si="134"/>
        <v>35033.340000000004</v>
      </c>
      <c r="W176" s="52">
        <f t="shared" si="135"/>
        <v>25361.67</v>
      </c>
      <c r="X176" s="52">
        <f t="shared" si="136"/>
        <v>69148.41000000002</v>
      </c>
      <c r="Y176" s="52">
        <f t="shared" si="137"/>
        <v>79307.51999999996</v>
      </c>
      <c r="Z176" s="52">
        <f t="shared" si="137"/>
        <v>52033.22000000003</v>
      </c>
      <c r="AB176" s="61">
        <f t="shared" si="141"/>
        <v>263284.34</v>
      </c>
    </row>
    <row r="177" spans="1:28" ht="11.25">
      <c r="A177" s="53" t="s">
        <v>137</v>
      </c>
      <c r="B177" s="52">
        <f aca="true" t="shared" si="151" ref="B177:M177">B111+B47</f>
        <v>0</v>
      </c>
      <c r="C177" s="52">
        <f t="shared" si="151"/>
        <v>0</v>
      </c>
      <c r="D177" s="52">
        <f t="shared" si="151"/>
        <v>0</v>
      </c>
      <c r="E177" s="52">
        <f t="shared" si="151"/>
        <v>0</v>
      </c>
      <c r="F177" s="52">
        <f t="shared" si="151"/>
        <v>0</v>
      </c>
      <c r="G177" s="52">
        <f t="shared" si="151"/>
        <v>67962.83</v>
      </c>
      <c r="H177" s="52">
        <f t="shared" si="151"/>
        <v>106050.43</v>
      </c>
      <c r="I177" s="52">
        <f t="shared" si="151"/>
        <v>131572.16</v>
      </c>
      <c r="J177" s="52">
        <f t="shared" si="151"/>
        <v>156563.49</v>
      </c>
      <c r="K177" s="52">
        <f t="shared" si="151"/>
        <v>172961.28</v>
      </c>
      <c r="L177" s="52">
        <f t="shared" si="151"/>
        <v>191986.94</v>
      </c>
      <c r="M177" s="52">
        <f t="shared" si="151"/>
        <v>257118.53999999998</v>
      </c>
      <c r="O177" s="52">
        <f t="shared" si="139"/>
        <v>0</v>
      </c>
      <c r="P177" s="52">
        <f t="shared" si="128"/>
        <v>0</v>
      </c>
      <c r="Q177" s="52">
        <f t="shared" si="129"/>
        <v>0</v>
      </c>
      <c r="R177" s="52">
        <f t="shared" si="130"/>
        <v>0</v>
      </c>
      <c r="S177" s="52">
        <f t="shared" si="131"/>
        <v>0</v>
      </c>
      <c r="T177" s="52">
        <f t="shared" si="132"/>
        <v>67962.83</v>
      </c>
      <c r="U177" s="52">
        <f t="shared" si="133"/>
        <v>38087.59999999999</v>
      </c>
      <c r="V177" s="52">
        <f t="shared" si="134"/>
        <v>25521.73000000001</v>
      </c>
      <c r="W177" s="52">
        <f t="shared" si="135"/>
        <v>24991.329999999987</v>
      </c>
      <c r="X177" s="52">
        <f t="shared" si="136"/>
        <v>16397.790000000008</v>
      </c>
      <c r="Y177" s="52">
        <f t="shared" si="137"/>
        <v>19025.660000000003</v>
      </c>
      <c r="Z177" s="52">
        <f t="shared" si="137"/>
        <v>65131.59999999998</v>
      </c>
      <c r="AB177" s="61">
        <f t="shared" si="141"/>
        <v>189155.70999999996</v>
      </c>
    </row>
    <row r="178" spans="1:28" ht="11.25">
      <c r="A178" s="53" t="s">
        <v>138</v>
      </c>
      <c r="B178" s="52">
        <f aca="true" t="shared" si="152" ref="B178:M178">B112+B48</f>
        <v>0</v>
      </c>
      <c r="C178" s="52">
        <f t="shared" si="152"/>
        <v>0</v>
      </c>
      <c r="D178" s="52">
        <f t="shared" si="152"/>
        <v>0</v>
      </c>
      <c r="E178" s="52">
        <f t="shared" si="152"/>
        <v>0</v>
      </c>
      <c r="F178" s="52">
        <f t="shared" si="152"/>
        <v>0</v>
      </c>
      <c r="G178" s="52">
        <f t="shared" si="152"/>
        <v>0</v>
      </c>
      <c r="H178" s="52">
        <f t="shared" si="152"/>
        <v>0</v>
      </c>
      <c r="I178" s="52">
        <f t="shared" si="152"/>
        <v>22155.2</v>
      </c>
      <c r="J178" s="52">
        <f t="shared" si="152"/>
        <v>27631.89</v>
      </c>
      <c r="K178" s="52">
        <f t="shared" si="152"/>
        <v>28157.010000000002</v>
      </c>
      <c r="L178" s="52">
        <f t="shared" si="152"/>
        <v>42207.270000000004</v>
      </c>
      <c r="M178" s="52">
        <f t="shared" si="152"/>
        <v>90490.01999999999</v>
      </c>
      <c r="O178" s="52">
        <f t="shared" si="139"/>
        <v>0</v>
      </c>
      <c r="P178" s="52">
        <f t="shared" si="128"/>
        <v>0</v>
      </c>
      <c r="Q178" s="52">
        <f t="shared" si="129"/>
        <v>0</v>
      </c>
      <c r="R178" s="52">
        <f t="shared" si="130"/>
        <v>0</v>
      </c>
      <c r="S178" s="52">
        <f t="shared" si="131"/>
        <v>0</v>
      </c>
      <c r="T178" s="52">
        <f t="shared" si="132"/>
        <v>0</v>
      </c>
      <c r="U178" s="52">
        <f t="shared" si="133"/>
        <v>0</v>
      </c>
      <c r="V178" s="52">
        <f t="shared" si="134"/>
        <v>22155.2</v>
      </c>
      <c r="W178" s="52">
        <f t="shared" si="135"/>
        <v>5476.689999999999</v>
      </c>
      <c r="X178" s="52">
        <f t="shared" si="136"/>
        <v>525.1200000000026</v>
      </c>
      <c r="Y178" s="52">
        <f t="shared" si="137"/>
        <v>14050.260000000002</v>
      </c>
      <c r="Z178" s="52">
        <f t="shared" si="137"/>
        <v>48282.749999999985</v>
      </c>
      <c r="AB178" s="61">
        <f t="shared" si="141"/>
        <v>90490.01999999999</v>
      </c>
    </row>
    <row r="179" spans="1:28" ht="11.25">
      <c r="A179" s="53" t="s">
        <v>139</v>
      </c>
      <c r="B179" s="52">
        <f aca="true" t="shared" si="153" ref="B179:M179">B113+B49</f>
        <v>0</v>
      </c>
      <c r="C179" s="52">
        <f t="shared" si="153"/>
        <v>0</v>
      </c>
      <c r="D179" s="52">
        <f t="shared" si="153"/>
        <v>0</v>
      </c>
      <c r="E179" s="52">
        <f t="shared" si="153"/>
        <v>0</v>
      </c>
      <c r="F179" s="52">
        <f t="shared" si="153"/>
        <v>0</v>
      </c>
      <c r="G179" s="52">
        <f t="shared" si="153"/>
        <v>0</v>
      </c>
      <c r="H179" s="52">
        <f t="shared" si="153"/>
        <v>0</v>
      </c>
      <c r="I179" s="52">
        <f t="shared" si="153"/>
        <v>0</v>
      </c>
      <c r="J179" s="52">
        <f t="shared" si="153"/>
        <v>0</v>
      </c>
      <c r="K179" s="52">
        <f t="shared" si="153"/>
        <v>0</v>
      </c>
      <c r="L179" s="52">
        <f t="shared" si="153"/>
        <v>5863.53</v>
      </c>
      <c r="M179" s="52">
        <f t="shared" si="153"/>
        <v>7958.23</v>
      </c>
      <c r="O179" s="52">
        <f t="shared" si="139"/>
        <v>0</v>
      </c>
      <c r="P179" s="52">
        <f t="shared" si="128"/>
        <v>0</v>
      </c>
      <c r="Q179" s="52">
        <f t="shared" si="129"/>
        <v>0</v>
      </c>
      <c r="R179" s="52">
        <f t="shared" si="130"/>
        <v>0</v>
      </c>
      <c r="S179" s="52">
        <f t="shared" si="131"/>
        <v>0</v>
      </c>
      <c r="T179" s="52">
        <f t="shared" si="132"/>
        <v>0</v>
      </c>
      <c r="U179" s="52">
        <f t="shared" si="133"/>
        <v>0</v>
      </c>
      <c r="V179" s="52">
        <f t="shared" si="134"/>
        <v>0</v>
      </c>
      <c r="W179" s="52">
        <f t="shared" si="135"/>
        <v>0</v>
      </c>
      <c r="X179" s="52">
        <f t="shared" si="136"/>
        <v>0</v>
      </c>
      <c r="Y179" s="52">
        <f t="shared" si="137"/>
        <v>5863.53</v>
      </c>
      <c r="Z179" s="52">
        <f t="shared" si="137"/>
        <v>2094.7</v>
      </c>
      <c r="AB179" s="61">
        <f t="shared" si="141"/>
        <v>7958.23</v>
      </c>
    </row>
    <row r="180" spans="1:28" ht="11.25">
      <c r="A180" s="53" t="s">
        <v>140</v>
      </c>
      <c r="B180" s="52">
        <f aca="true" t="shared" si="154" ref="B180:M180">B114+B50</f>
        <v>0</v>
      </c>
      <c r="C180" s="52">
        <f t="shared" si="154"/>
        <v>0</v>
      </c>
      <c r="D180" s="52">
        <f t="shared" si="154"/>
        <v>0</v>
      </c>
      <c r="E180" s="52">
        <f t="shared" si="154"/>
        <v>0</v>
      </c>
      <c r="F180" s="52">
        <f t="shared" si="154"/>
        <v>0</v>
      </c>
      <c r="G180" s="52">
        <f t="shared" si="154"/>
        <v>12909.2</v>
      </c>
      <c r="H180" s="52">
        <f t="shared" si="154"/>
        <v>13399.1</v>
      </c>
      <c r="I180" s="52">
        <f t="shared" si="154"/>
        <v>13399.1</v>
      </c>
      <c r="J180" s="52">
        <f t="shared" si="154"/>
        <v>13399.1</v>
      </c>
      <c r="K180" s="52">
        <f t="shared" si="154"/>
        <v>17397.69</v>
      </c>
      <c r="L180" s="52">
        <f t="shared" si="154"/>
        <v>17636.72</v>
      </c>
      <c r="M180" s="52">
        <f t="shared" si="154"/>
        <v>17636.72</v>
      </c>
      <c r="O180" s="52">
        <f t="shared" si="139"/>
        <v>0</v>
      </c>
      <c r="P180" s="52">
        <f t="shared" si="128"/>
        <v>0</v>
      </c>
      <c r="Q180" s="52">
        <f t="shared" si="129"/>
        <v>0</v>
      </c>
      <c r="R180" s="52">
        <f t="shared" si="130"/>
        <v>0</v>
      </c>
      <c r="S180" s="52">
        <f t="shared" si="131"/>
        <v>0</v>
      </c>
      <c r="T180" s="52">
        <f t="shared" si="132"/>
        <v>12909.2</v>
      </c>
      <c r="U180" s="52">
        <f t="shared" si="133"/>
        <v>489.89999999999964</v>
      </c>
      <c r="V180" s="52">
        <f t="shared" si="134"/>
        <v>0</v>
      </c>
      <c r="W180" s="52">
        <f t="shared" si="135"/>
        <v>0</v>
      </c>
      <c r="X180" s="52">
        <f t="shared" si="136"/>
        <v>3998.5899999999983</v>
      </c>
      <c r="Y180" s="52">
        <f t="shared" si="137"/>
        <v>239.03000000000247</v>
      </c>
      <c r="Z180" s="52">
        <f t="shared" si="137"/>
        <v>0</v>
      </c>
      <c r="AB180" s="61">
        <f t="shared" si="141"/>
        <v>4727.52</v>
      </c>
    </row>
    <row r="181" spans="1:28" ht="11.25">
      <c r="A181" s="53" t="s">
        <v>141</v>
      </c>
      <c r="B181" s="52">
        <f aca="true" t="shared" si="155" ref="B181:M181">B115+B51</f>
        <v>0</v>
      </c>
      <c r="C181" s="52">
        <f t="shared" si="155"/>
        <v>0</v>
      </c>
      <c r="D181" s="52">
        <f t="shared" si="155"/>
        <v>0</v>
      </c>
      <c r="E181" s="52">
        <f t="shared" si="155"/>
        <v>0</v>
      </c>
      <c r="F181" s="52">
        <f t="shared" si="155"/>
        <v>0</v>
      </c>
      <c r="G181" s="52">
        <f t="shared" si="155"/>
        <v>0</v>
      </c>
      <c r="H181" s="52">
        <f t="shared" si="155"/>
        <v>0</v>
      </c>
      <c r="I181" s="52">
        <f t="shared" si="155"/>
        <v>0</v>
      </c>
      <c r="J181" s="52">
        <f t="shared" si="155"/>
        <v>0</v>
      </c>
      <c r="K181" s="52">
        <f t="shared" si="155"/>
        <v>0</v>
      </c>
      <c r="L181" s="52">
        <f t="shared" si="155"/>
        <v>0</v>
      </c>
      <c r="M181" s="52">
        <f t="shared" si="155"/>
        <v>0</v>
      </c>
      <c r="O181" s="52">
        <f t="shared" si="139"/>
        <v>0</v>
      </c>
      <c r="P181" s="52">
        <f t="shared" si="128"/>
        <v>0</v>
      </c>
      <c r="Q181" s="52">
        <f t="shared" si="129"/>
        <v>0</v>
      </c>
      <c r="R181" s="52">
        <f t="shared" si="130"/>
        <v>0</v>
      </c>
      <c r="S181" s="52">
        <f t="shared" si="131"/>
        <v>0</v>
      </c>
      <c r="T181" s="52">
        <f t="shared" si="132"/>
        <v>0</v>
      </c>
      <c r="U181" s="52">
        <f t="shared" si="133"/>
        <v>0</v>
      </c>
      <c r="V181" s="52">
        <f t="shared" si="134"/>
        <v>0</v>
      </c>
      <c r="W181" s="52">
        <f t="shared" si="135"/>
        <v>0</v>
      </c>
      <c r="X181" s="52">
        <f t="shared" si="136"/>
        <v>0</v>
      </c>
      <c r="Y181" s="52">
        <f aca="true" t="shared" si="156" ref="Y181:Z192">L181-K181</f>
        <v>0</v>
      </c>
      <c r="Z181" s="52">
        <f t="shared" si="156"/>
        <v>0</v>
      </c>
      <c r="AB181" s="61">
        <f t="shared" si="141"/>
        <v>0</v>
      </c>
    </row>
    <row r="182" spans="1:28" ht="11.25">
      <c r="A182" s="53" t="s">
        <v>142</v>
      </c>
      <c r="B182" s="52">
        <f aca="true" t="shared" si="157" ref="B182:M182">B116+B52</f>
        <v>0</v>
      </c>
      <c r="C182" s="52">
        <f t="shared" si="157"/>
        <v>0</v>
      </c>
      <c r="D182" s="52">
        <f t="shared" si="157"/>
        <v>0</v>
      </c>
      <c r="E182" s="52">
        <f t="shared" si="157"/>
        <v>0</v>
      </c>
      <c r="F182" s="52">
        <f t="shared" si="157"/>
        <v>0</v>
      </c>
      <c r="G182" s="52">
        <f t="shared" si="157"/>
        <v>0</v>
      </c>
      <c r="H182" s="52">
        <f t="shared" si="157"/>
        <v>0</v>
      </c>
      <c r="I182" s="52">
        <f t="shared" si="157"/>
        <v>0</v>
      </c>
      <c r="J182" s="52">
        <f t="shared" si="157"/>
        <v>0</v>
      </c>
      <c r="K182" s="52">
        <f t="shared" si="157"/>
        <v>0</v>
      </c>
      <c r="L182" s="52">
        <f t="shared" si="157"/>
        <v>13476.5</v>
      </c>
      <c r="M182" s="52">
        <f t="shared" si="157"/>
        <v>25305.04</v>
      </c>
      <c r="O182" s="52">
        <f t="shared" si="139"/>
        <v>0</v>
      </c>
      <c r="P182" s="52">
        <f t="shared" si="128"/>
        <v>0</v>
      </c>
      <c r="Q182" s="52">
        <f t="shared" si="129"/>
        <v>0</v>
      </c>
      <c r="R182" s="52">
        <f t="shared" si="130"/>
        <v>0</v>
      </c>
      <c r="S182" s="52">
        <f t="shared" si="131"/>
        <v>0</v>
      </c>
      <c r="T182" s="52">
        <f t="shared" si="132"/>
        <v>0</v>
      </c>
      <c r="U182" s="52">
        <f t="shared" si="133"/>
        <v>0</v>
      </c>
      <c r="V182" s="52">
        <f t="shared" si="134"/>
        <v>0</v>
      </c>
      <c r="W182" s="52">
        <f t="shared" si="135"/>
        <v>0</v>
      </c>
      <c r="X182" s="52">
        <f t="shared" si="136"/>
        <v>0</v>
      </c>
      <c r="Y182" s="52">
        <f t="shared" si="156"/>
        <v>13476.5</v>
      </c>
      <c r="Z182" s="52">
        <f t="shared" si="156"/>
        <v>11828.54</v>
      </c>
      <c r="AB182" s="61">
        <f t="shared" si="141"/>
        <v>25305.04</v>
      </c>
    </row>
    <row r="183" spans="1:28" ht="11.25">
      <c r="A183" s="53" t="s">
        <v>143</v>
      </c>
      <c r="B183" s="52">
        <f aca="true" t="shared" si="158" ref="B183:M183">B117+B53</f>
        <v>0</v>
      </c>
      <c r="C183" s="52">
        <f t="shared" si="158"/>
        <v>0</v>
      </c>
      <c r="D183" s="52">
        <f t="shared" si="158"/>
        <v>0</v>
      </c>
      <c r="E183" s="52">
        <f t="shared" si="158"/>
        <v>0</v>
      </c>
      <c r="F183" s="52">
        <f t="shared" si="158"/>
        <v>0</v>
      </c>
      <c r="G183" s="52">
        <f t="shared" si="158"/>
        <v>0</v>
      </c>
      <c r="H183" s="52">
        <f t="shared" si="158"/>
        <v>0</v>
      </c>
      <c r="I183" s="52">
        <f t="shared" si="158"/>
        <v>0</v>
      </c>
      <c r="J183" s="52">
        <f t="shared" si="158"/>
        <v>0</v>
      </c>
      <c r="K183" s="52">
        <f t="shared" si="158"/>
        <v>19655.15</v>
      </c>
      <c r="L183" s="52">
        <f t="shared" si="158"/>
        <v>21404.79</v>
      </c>
      <c r="M183" s="52">
        <f t="shared" si="158"/>
        <v>21419.9</v>
      </c>
      <c r="O183" s="52">
        <f t="shared" si="139"/>
        <v>0</v>
      </c>
      <c r="P183" s="52">
        <f t="shared" si="128"/>
        <v>0</v>
      </c>
      <c r="Q183" s="52">
        <f t="shared" si="129"/>
        <v>0</v>
      </c>
      <c r="R183" s="52">
        <f t="shared" si="130"/>
        <v>0</v>
      </c>
      <c r="S183" s="52">
        <f t="shared" si="131"/>
        <v>0</v>
      </c>
      <c r="T183" s="52">
        <f t="shared" si="132"/>
        <v>0</v>
      </c>
      <c r="U183" s="52">
        <f t="shared" si="133"/>
        <v>0</v>
      </c>
      <c r="V183" s="52">
        <f t="shared" si="134"/>
        <v>0</v>
      </c>
      <c r="W183" s="52">
        <f t="shared" si="135"/>
        <v>0</v>
      </c>
      <c r="X183" s="52">
        <f t="shared" si="136"/>
        <v>19655.15</v>
      </c>
      <c r="Y183" s="52">
        <f t="shared" si="156"/>
        <v>1749.6399999999994</v>
      </c>
      <c r="Z183" s="52">
        <f t="shared" si="156"/>
        <v>15.110000000000582</v>
      </c>
      <c r="AB183" s="61">
        <f t="shared" si="141"/>
        <v>21419.9</v>
      </c>
    </row>
    <row r="184" spans="1:28" ht="11.25">
      <c r="A184" s="53" t="s">
        <v>144</v>
      </c>
      <c r="B184" s="52">
        <f aca="true" t="shared" si="159" ref="B184:M184">B118+B54</f>
        <v>0</v>
      </c>
      <c r="C184" s="52">
        <f t="shared" si="159"/>
        <v>0</v>
      </c>
      <c r="D184" s="52">
        <f t="shared" si="159"/>
        <v>0</v>
      </c>
      <c r="E184" s="52">
        <f t="shared" si="159"/>
        <v>0</v>
      </c>
      <c r="F184" s="52">
        <f t="shared" si="159"/>
        <v>0</v>
      </c>
      <c r="G184" s="52">
        <f t="shared" si="159"/>
        <v>0</v>
      </c>
      <c r="H184" s="52">
        <f t="shared" si="159"/>
        <v>0</v>
      </c>
      <c r="I184" s="52">
        <f t="shared" si="159"/>
        <v>0</v>
      </c>
      <c r="J184" s="52">
        <f t="shared" si="159"/>
        <v>0</v>
      </c>
      <c r="K184" s="52">
        <f t="shared" si="159"/>
        <v>11129.9</v>
      </c>
      <c r="L184" s="52">
        <f t="shared" si="159"/>
        <v>15667.43</v>
      </c>
      <c r="M184" s="52">
        <f t="shared" si="159"/>
        <v>15667.43</v>
      </c>
      <c r="O184" s="52">
        <f t="shared" si="139"/>
        <v>0</v>
      </c>
      <c r="P184" s="52">
        <f t="shared" si="128"/>
        <v>0</v>
      </c>
      <c r="Q184" s="52">
        <f t="shared" si="129"/>
        <v>0</v>
      </c>
      <c r="R184" s="52">
        <f t="shared" si="130"/>
        <v>0</v>
      </c>
      <c r="S184" s="52">
        <f t="shared" si="131"/>
        <v>0</v>
      </c>
      <c r="T184" s="52">
        <f t="shared" si="132"/>
        <v>0</v>
      </c>
      <c r="U184" s="52">
        <f t="shared" si="133"/>
        <v>0</v>
      </c>
      <c r="V184" s="52">
        <f t="shared" si="134"/>
        <v>0</v>
      </c>
      <c r="W184" s="52">
        <f t="shared" si="135"/>
        <v>0</v>
      </c>
      <c r="X184" s="52">
        <f t="shared" si="136"/>
        <v>11129.9</v>
      </c>
      <c r="Y184" s="52">
        <f t="shared" si="156"/>
        <v>4537.530000000001</v>
      </c>
      <c r="Z184" s="52">
        <f t="shared" si="156"/>
        <v>0</v>
      </c>
      <c r="AB184" s="61">
        <f t="shared" si="141"/>
        <v>15667.43</v>
      </c>
    </row>
    <row r="185" spans="1:28" ht="11.25">
      <c r="A185" s="53" t="s">
        <v>145</v>
      </c>
      <c r="B185" s="52">
        <f aca="true" t="shared" si="160" ref="B185:M185">B119+B55</f>
        <v>0</v>
      </c>
      <c r="C185" s="52">
        <f t="shared" si="160"/>
        <v>0</v>
      </c>
      <c r="D185" s="52">
        <f t="shared" si="160"/>
        <v>0</v>
      </c>
      <c r="E185" s="52">
        <f t="shared" si="160"/>
        <v>0</v>
      </c>
      <c r="F185" s="52">
        <f t="shared" si="160"/>
        <v>0</v>
      </c>
      <c r="G185" s="52">
        <f t="shared" si="160"/>
        <v>0</v>
      </c>
      <c r="H185" s="52">
        <f t="shared" si="160"/>
        <v>0</v>
      </c>
      <c r="I185" s="52">
        <f t="shared" si="160"/>
        <v>0</v>
      </c>
      <c r="J185" s="52">
        <f t="shared" si="160"/>
        <v>0</v>
      </c>
      <c r="K185" s="52">
        <f t="shared" si="160"/>
        <v>11889.58</v>
      </c>
      <c r="L185" s="52">
        <f t="shared" si="160"/>
        <v>11972.8</v>
      </c>
      <c r="M185" s="52">
        <f t="shared" si="160"/>
        <v>25540.17</v>
      </c>
      <c r="O185" s="52">
        <f t="shared" si="139"/>
        <v>0</v>
      </c>
      <c r="P185" s="52">
        <f t="shared" si="128"/>
        <v>0</v>
      </c>
      <c r="Q185" s="52">
        <f t="shared" si="129"/>
        <v>0</v>
      </c>
      <c r="R185" s="52">
        <f t="shared" si="130"/>
        <v>0</v>
      </c>
      <c r="S185" s="52">
        <f t="shared" si="131"/>
        <v>0</v>
      </c>
      <c r="T185" s="52">
        <f t="shared" si="132"/>
        <v>0</v>
      </c>
      <c r="U185" s="52">
        <f t="shared" si="133"/>
        <v>0</v>
      </c>
      <c r="V185" s="52">
        <f t="shared" si="134"/>
        <v>0</v>
      </c>
      <c r="W185" s="52">
        <f t="shared" si="135"/>
        <v>0</v>
      </c>
      <c r="X185" s="52">
        <f t="shared" si="136"/>
        <v>11889.58</v>
      </c>
      <c r="Y185" s="52">
        <f t="shared" si="156"/>
        <v>83.21999999999935</v>
      </c>
      <c r="Z185" s="52">
        <f t="shared" si="156"/>
        <v>13567.369999999999</v>
      </c>
      <c r="AB185" s="61">
        <f t="shared" si="141"/>
        <v>25540.17</v>
      </c>
    </row>
    <row r="186" spans="1:28" ht="11.25">
      <c r="A186" s="53" t="s">
        <v>146</v>
      </c>
      <c r="B186" s="52">
        <f aca="true" t="shared" si="161" ref="B186:M186">B120+B56</f>
        <v>0</v>
      </c>
      <c r="C186" s="52">
        <f t="shared" si="161"/>
        <v>0</v>
      </c>
      <c r="D186" s="52">
        <f t="shared" si="161"/>
        <v>0</v>
      </c>
      <c r="E186" s="52">
        <f t="shared" si="161"/>
        <v>0</v>
      </c>
      <c r="F186" s="52">
        <f t="shared" si="161"/>
        <v>0</v>
      </c>
      <c r="G186" s="52">
        <f t="shared" si="161"/>
        <v>0</v>
      </c>
      <c r="H186" s="52">
        <f t="shared" si="161"/>
        <v>0</v>
      </c>
      <c r="I186" s="52">
        <f t="shared" si="161"/>
        <v>0</v>
      </c>
      <c r="J186" s="52">
        <f t="shared" si="161"/>
        <v>0</v>
      </c>
      <c r="K186" s="52">
        <f t="shared" si="161"/>
        <v>0</v>
      </c>
      <c r="L186" s="52">
        <f t="shared" si="161"/>
        <v>0</v>
      </c>
      <c r="M186" s="52">
        <f t="shared" si="161"/>
        <v>0</v>
      </c>
      <c r="O186" s="52">
        <f t="shared" si="139"/>
        <v>0</v>
      </c>
      <c r="P186" s="52">
        <f t="shared" si="128"/>
        <v>0</v>
      </c>
      <c r="Q186" s="52">
        <f t="shared" si="129"/>
        <v>0</v>
      </c>
      <c r="R186" s="52">
        <f t="shared" si="130"/>
        <v>0</v>
      </c>
      <c r="S186" s="52">
        <f t="shared" si="131"/>
        <v>0</v>
      </c>
      <c r="T186" s="52">
        <f t="shared" si="132"/>
        <v>0</v>
      </c>
      <c r="U186" s="52">
        <f t="shared" si="133"/>
        <v>0</v>
      </c>
      <c r="V186" s="52">
        <f t="shared" si="134"/>
        <v>0</v>
      </c>
      <c r="W186" s="52">
        <f t="shared" si="135"/>
        <v>0</v>
      </c>
      <c r="X186" s="52">
        <f t="shared" si="136"/>
        <v>0</v>
      </c>
      <c r="Y186" s="52">
        <f t="shared" si="156"/>
        <v>0</v>
      </c>
      <c r="Z186" s="52">
        <f t="shared" si="156"/>
        <v>0</v>
      </c>
      <c r="AB186" s="61">
        <f t="shared" si="141"/>
        <v>0</v>
      </c>
    </row>
    <row r="187" spans="1:28" ht="11.25">
      <c r="A187" s="53" t="s">
        <v>147</v>
      </c>
      <c r="B187" s="52">
        <f aca="true" t="shared" si="162" ref="B187:M187">B121+B57</f>
        <v>0</v>
      </c>
      <c r="C187" s="52">
        <f t="shared" si="162"/>
        <v>0</v>
      </c>
      <c r="D187" s="52">
        <f t="shared" si="162"/>
        <v>0</v>
      </c>
      <c r="E187" s="52">
        <f t="shared" si="162"/>
        <v>0</v>
      </c>
      <c r="F187" s="52">
        <f t="shared" si="162"/>
        <v>0</v>
      </c>
      <c r="G187" s="52">
        <f t="shared" si="162"/>
        <v>0</v>
      </c>
      <c r="H187" s="52">
        <f t="shared" si="162"/>
        <v>0</v>
      </c>
      <c r="I187" s="52">
        <f t="shared" si="162"/>
        <v>0</v>
      </c>
      <c r="J187" s="52">
        <f t="shared" si="162"/>
        <v>32</v>
      </c>
      <c r="K187" s="52">
        <f t="shared" si="162"/>
        <v>32</v>
      </c>
      <c r="L187" s="52">
        <f t="shared" si="162"/>
        <v>32</v>
      </c>
      <c r="M187" s="52">
        <f t="shared" si="162"/>
        <v>32</v>
      </c>
      <c r="O187" s="52">
        <f t="shared" si="139"/>
        <v>0</v>
      </c>
      <c r="P187" s="52">
        <f t="shared" si="128"/>
        <v>0</v>
      </c>
      <c r="Q187" s="52">
        <f t="shared" si="129"/>
        <v>0</v>
      </c>
      <c r="R187" s="52">
        <f t="shared" si="130"/>
        <v>0</v>
      </c>
      <c r="S187" s="52">
        <f t="shared" si="131"/>
        <v>0</v>
      </c>
      <c r="T187" s="52">
        <f t="shared" si="132"/>
        <v>0</v>
      </c>
      <c r="U187" s="52">
        <f t="shared" si="133"/>
        <v>0</v>
      </c>
      <c r="V187" s="52">
        <f t="shared" si="134"/>
        <v>0</v>
      </c>
      <c r="W187" s="52">
        <f t="shared" si="135"/>
        <v>32</v>
      </c>
      <c r="X187" s="52">
        <f t="shared" si="136"/>
        <v>0</v>
      </c>
      <c r="Y187" s="52">
        <f t="shared" si="156"/>
        <v>0</v>
      </c>
      <c r="Z187" s="52">
        <f t="shared" si="156"/>
        <v>0</v>
      </c>
      <c r="AB187" s="61">
        <f t="shared" si="141"/>
        <v>32</v>
      </c>
    </row>
    <row r="188" spans="1:28" ht="11.25">
      <c r="A188" s="53" t="s">
        <v>108</v>
      </c>
      <c r="B188" s="52">
        <f aca="true" t="shared" si="163" ref="B188:M188">B122+B58</f>
        <v>0</v>
      </c>
      <c r="C188" s="52">
        <f t="shared" si="163"/>
        <v>0</v>
      </c>
      <c r="D188" s="52">
        <f t="shared" si="163"/>
        <v>0</v>
      </c>
      <c r="E188" s="52">
        <f t="shared" si="163"/>
        <v>0</v>
      </c>
      <c r="F188" s="52">
        <f t="shared" si="163"/>
        <v>0</v>
      </c>
      <c r="G188" s="52">
        <f t="shared" si="163"/>
        <v>0</v>
      </c>
      <c r="H188" s="52">
        <f t="shared" si="163"/>
        <v>0</v>
      </c>
      <c r="I188" s="52">
        <f t="shared" si="163"/>
        <v>0</v>
      </c>
      <c r="J188" s="52">
        <f t="shared" si="163"/>
        <v>0</v>
      </c>
      <c r="K188" s="52">
        <f t="shared" si="163"/>
        <v>0</v>
      </c>
      <c r="L188" s="52">
        <f t="shared" si="163"/>
        <v>0</v>
      </c>
      <c r="M188" s="52">
        <f t="shared" si="163"/>
        <v>0</v>
      </c>
      <c r="O188" s="52">
        <f t="shared" si="139"/>
        <v>0</v>
      </c>
      <c r="P188" s="52">
        <f t="shared" si="128"/>
        <v>0</v>
      </c>
      <c r="Q188" s="52">
        <f t="shared" si="129"/>
        <v>0</v>
      </c>
      <c r="R188" s="52">
        <f t="shared" si="130"/>
        <v>0</v>
      </c>
      <c r="S188" s="52">
        <f t="shared" si="131"/>
        <v>0</v>
      </c>
      <c r="T188" s="52">
        <f t="shared" si="132"/>
        <v>0</v>
      </c>
      <c r="U188" s="52">
        <f t="shared" si="133"/>
        <v>0</v>
      </c>
      <c r="V188" s="52">
        <f t="shared" si="134"/>
        <v>0</v>
      </c>
      <c r="W188" s="52">
        <f t="shared" si="135"/>
        <v>0</v>
      </c>
      <c r="X188" s="52">
        <f t="shared" si="136"/>
        <v>0</v>
      </c>
      <c r="Y188" s="52">
        <f t="shared" si="156"/>
        <v>0</v>
      </c>
      <c r="Z188" s="52">
        <f t="shared" si="156"/>
        <v>0</v>
      </c>
      <c r="AB188" s="61">
        <f t="shared" si="141"/>
        <v>0</v>
      </c>
    </row>
    <row r="189" spans="1:28" ht="11.25">
      <c r="A189" s="53" t="s">
        <v>148</v>
      </c>
      <c r="B189" s="52">
        <f aca="true" t="shared" si="164" ref="B189:M189">B123+B59</f>
        <v>0</v>
      </c>
      <c r="C189" s="52">
        <f t="shared" si="164"/>
        <v>0</v>
      </c>
      <c r="D189" s="52">
        <f t="shared" si="164"/>
        <v>0</v>
      </c>
      <c r="E189" s="52">
        <f t="shared" si="164"/>
        <v>0</v>
      </c>
      <c r="F189" s="52">
        <f t="shared" si="164"/>
        <v>0</v>
      </c>
      <c r="G189" s="52">
        <f t="shared" si="164"/>
        <v>0</v>
      </c>
      <c r="H189" s="52">
        <f t="shared" si="164"/>
        <v>0</v>
      </c>
      <c r="I189" s="52">
        <f t="shared" si="164"/>
        <v>0</v>
      </c>
      <c r="J189" s="52">
        <f t="shared" si="164"/>
        <v>0</v>
      </c>
      <c r="K189" s="52">
        <f t="shared" si="164"/>
        <v>0</v>
      </c>
      <c r="L189" s="52">
        <f t="shared" si="164"/>
        <v>27.56</v>
      </c>
      <c r="M189" s="52">
        <f t="shared" si="164"/>
        <v>0</v>
      </c>
      <c r="O189" s="52">
        <f t="shared" si="139"/>
        <v>0</v>
      </c>
      <c r="P189" s="52">
        <f t="shared" si="128"/>
        <v>0</v>
      </c>
      <c r="Q189" s="52">
        <f t="shared" si="129"/>
        <v>0</v>
      </c>
      <c r="R189" s="52">
        <f t="shared" si="130"/>
        <v>0</v>
      </c>
      <c r="S189" s="52">
        <f t="shared" si="131"/>
        <v>0</v>
      </c>
      <c r="T189" s="52">
        <f t="shared" si="132"/>
        <v>0</v>
      </c>
      <c r="U189" s="52">
        <f t="shared" si="133"/>
        <v>0</v>
      </c>
      <c r="V189" s="52">
        <f t="shared" si="134"/>
        <v>0</v>
      </c>
      <c r="W189" s="52">
        <f t="shared" si="135"/>
        <v>0</v>
      </c>
      <c r="X189" s="52">
        <f t="shared" si="136"/>
        <v>0</v>
      </c>
      <c r="Y189" s="52">
        <f t="shared" si="156"/>
        <v>27.56</v>
      </c>
      <c r="Z189" s="52">
        <f t="shared" si="156"/>
        <v>-27.56</v>
      </c>
      <c r="AB189" s="61">
        <f t="shared" si="141"/>
        <v>0</v>
      </c>
    </row>
    <row r="190" spans="1:28" ht="11.25">
      <c r="A190" s="53" t="s">
        <v>149</v>
      </c>
      <c r="B190" s="52">
        <f aca="true" t="shared" si="165" ref="B190:M190">B124+B60</f>
        <v>0</v>
      </c>
      <c r="C190" s="52">
        <f t="shared" si="165"/>
        <v>0</v>
      </c>
      <c r="D190" s="52">
        <f t="shared" si="165"/>
        <v>0</v>
      </c>
      <c r="E190" s="52">
        <f t="shared" si="165"/>
        <v>0</v>
      </c>
      <c r="F190" s="52">
        <f t="shared" si="165"/>
        <v>0</v>
      </c>
      <c r="G190" s="52">
        <f t="shared" si="165"/>
        <v>0</v>
      </c>
      <c r="H190" s="52">
        <f t="shared" si="165"/>
        <v>0</v>
      </c>
      <c r="I190" s="52">
        <f t="shared" si="165"/>
        <v>0</v>
      </c>
      <c r="J190" s="52">
        <f t="shared" si="165"/>
        <v>0</v>
      </c>
      <c r="K190" s="52">
        <f t="shared" si="165"/>
        <v>4744</v>
      </c>
      <c r="L190" s="52">
        <f t="shared" si="165"/>
        <v>5581.33</v>
      </c>
      <c r="M190" s="52">
        <f t="shared" si="165"/>
        <v>10722.380000000001</v>
      </c>
      <c r="O190" s="52">
        <f t="shared" si="139"/>
        <v>0</v>
      </c>
      <c r="P190" s="52">
        <f t="shared" si="128"/>
        <v>0</v>
      </c>
      <c r="Q190" s="52">
        <f t="shared" si="129"/>
        <v>0</v>
      </c>
      <c r="R190" s="52">
        <f t="shared" si="130"/>
        <v>0</v>
      </c>
      <c r="S190" s="52">
        <f t="shared" si="131"/>
        <v>0</v>
      </c>
      <c r="T190" s="52">
        <f t="shared" si="132"/>
        <v>0</v>
      </c>
      <c r="U190" s="52">
        <f t="shared" si="133"/>
        <v>0</v>
      </c>
      <c r="V190" s="52">
        <f t="shared" si="134"/>
        <v>0</v>
      </c>
      <c r="W190" s="52">
        <f t="shared" si="135"/>
        <v>0</v>
      </c>
      <c r="X190" s="52">
        <f t="shared" si="136"/>
        <v>4744</v>
      </c>
      <c r="Y190" s="52">
        <f t="shared" si="156"/>
        <v>837.3299999999999</v>
      </c>
      <c r="Z190" s="52">
        <f t="shared" si="156"/>
        <v>5141.050000000001</v>
      </c>
      <c r="AB190" s="61">
        <f t="shared" si="141"/>
        <v>10722.380000000001</v>
      </c>
    </row>
    <row r="191" spans="1:28" ht="11.25">
      <c r="A191" s="53" t="s">
        <v>150</v>
      </c>
      <c r="B191" s="52">
        <f aca="true" t="shared" si="166" ref="B191:M191">B125+B61</f>
        <v>0</v>
      </c>
      <c r="C191" s="52">
        <f t="shared" si="166"/>
        <v>0</v>
      </c>
      <c r="D191" s="52">
        <f t="shared" si="166"/>
        <v>0</v>
      </c>
      <c r="E191" s="52">
        <f t="shared" si="166"/>
        <v>0</v>
      </c>
      <c r="F191" s="52">
        <f t="shared" si="166"/>
        <v>0</v>
      </c>
      <c r="G191" s="52">
        <f t="shared" si="166"/>
        <v>0</v>
      </c>
      <c r="H191" s="52">
        <f t="shared" si="166"/>
        <v>0</v>
      </c>
      <c r="I191" s="52">
        <f t="shared" si="166"/>
        <v>0</v>
      </c>
      <c r="J191" s="52">
        <f t="shared" si="166"/>
        <v>0</v>
      </c>
      <c r="K191" s="52">
        <f t="shared" si="166"/>
        <v>-232</v>
      </c>
      <c r="L191" s="52">
        <f t="shared" si="166"/>
        <v>13563.3</v>
      </c>
      <c r="M191" s="52">
        <f t="shared" si="166"/>
        <v>18965.38</v>
      </c>
      <c r="O191" s="52">
        <f t="shared" si="139"/>
        <v>0</v>
      </c>
      <c r="P191" s="52">
        <f aca="true" t="shared" si="167" ref="P191:T192">C191-B191</f>
        <v>0</v>
      </c>
      <c r="Q191" s="52">
        <f t="shared" si="167"/>
        <v>0</v>
      </c>
      <c r="R191" s="52">
        <f t="shared" si="167"/>
        <v>0</v>
      </c>
      <c r="S191" s="52">
        <f t="shared" si="167"/>
        <v>0</v>
      </c>
      <c r="T191" s="52">
        <f t="shared" si="167"/>
        <v>0</v>
      </c>
      <c r="U191" s="52">
        <f aca="true" t="shared" si="168" ref="U191:X194">H191-G191</f>
        <v>0</v>
      </c>
      <c r="V191" s="52">
        <f t="shared" si="168"/>
        <v>0</v>
      </c>
      <c r="W191" s="52">
        <f t="shared" si="168"/>
        <v>0</v>
      </c>
      <c r="X191" s="52">
        <f t="shared" si="168"/>
        <v>-232</v>
      </c>
      <c r="Y191" s="52">
        <f t="shared" si="156"/>
        <v>13795.3</v>
      </c>
      <c r="Z191" s="52">
        <f t="shared" si="156"/>
        <v>5402.080000000002</v>
      </c>
      <c r="AB191" s="61">
        <f t="shared" si="141"/>
        <v>18965.38</v>
      </c>
    </row>
    <row r="192" spans="1:28" ht="11.25">
      <c r="A192" s="53" t="s">
        <v>151</v>
      </c>
      <c r="B192" s="52">
        <f aca="true" t="shared" si="169" ref="B192:K192">B126+B62</f>
        <v>0</v>
      </c>
      <c r="C192" s="52">
        <f t="shared" si="169"/>
        <v>0</v>
      </c>
      <c r="D192" s="52">
        <f t="shared" si="169"/>
        <v>0</v>
      </c>
      <c r="E192" s="52">
        <f t="shared" si="169"/>
        <v>0</v>
      </c>
      <c r="F192" s="52">
        <f t="shared" si="169"/>
        <v>0</v>
      </c>
      <c r="G192" s="52">
        <f t="shared" si="169"/>
        <v>0</v>
      </c>
      <c r="H192" s="52">
        <f t="shared" si="169"/>
        <v>0</v>
      </c>
      <c r="I192" s="52">
        <f t="shared" si="169"/>
        <v>0</v>
      </c>
      <c r="J192" s="52">
        <f t="shared" si="169"/>
        <v>0</v>
      </c>
      <c r="K192" s="52">
        <f t="shared" si="169"/>
        <v>0</v>
      </c>
      <c r="L192" s="52">
        <f aca="true" t="shared" si="170" ref="L192:M194">L126+L62</f>
        <v>0</v>
      </c>
      <c r="M192" s="52">
        <f>M126+M62</f>
        <v>0</v>
      </c>
      <c r="O192" s="52">
        <f t="shared" si="139"/>
        <v>0</v>
      </c>
      <c r="P192" s="52">
        <f t="shared" si="167"/>
        <v>0</v>
      </c>
      <c r="Q192" s="52">
        <f t="shared" si="167"/>
        <v>0</v>
      </c>
      <c r="R192" s="52">
        <f t="shared" si="167"/>
        <v>0</v>
      </c>
      <c r="S192" s="52">
        <f t="shared" si="167"/>
        <v>0</v>
      </c>
      <c r="T192" s="52">
        <f t="shared" si="167"/>
        <v>0</v>
      </c>
      <c r="U192" s="52">
        <f t="shared" si="168"/>
        <v>0</v>
      </c>
      <c r="V192" s="52">
        <f t="shared" si="168"/>
        <v>0</v>
      </c>
      <c r="W192" s="52">
        <f t="shared" si="168"/>
        <v>0</v>
      </c>
      <c r="X192" s="52">
        <f t="shared" si="168"/>
        <v>0</v>
      </c>
      <c r="Y192" s="52">
        <f t="shared" si="156"/>
        <v>0</v>
      </c>
      <c r="Z192" s="52">
        <f t="shared" si="156"/>
        <v>0</v>
      </c>
      <c r="AB192" s="61">
        <f t="shared" si="141"/>
        <v>0</v>
      </c>
    </row>
    <row r="193" spans="1:28" ht="11.25">
      <c r="A193" s="53" t="s">
        <v>122</v>
      </c>
      <c r="B193" s="52">
        <f aca="true" t="shared" si="171" ref="B193:K193">B127+B63</f>
        <v>0</v>
      </c>
      <c r="C193" s="52">
        <f t="shared" si="171"/>
        <v>0</v>
      </c>
      <c r="D193" s="52">
        <f t="shared" si="171"/>
        <v>0</v>
      </c>
      <c r="E193" s="52">
        <f t="shared" si="171"/>
        <v>0</v>
      </c>
      <c r="F193" s="52">
        <f t="shared" si="171"/>
        <v>0</v>
      </c>
      <c r="G193" s="52">
        <f t="shared" si="171"/>
        <v>0</v>
      </c>
      <c r="H193" s="52">
        <f t="shared" si="171"/>
        <v>0</v>
      </c>
      <c r="I193" s="52">
        <f t="shared" si="171"/>
        <v>0</v>
      </c>
      <c r="J193" s="52">
        <f t="shared" si="171"/>
        <v>17085.8</v>
      </c>
      <c r="K193" s="52">
        <f t="shared" si="171"/>
        <v>30310.35</v>
      </c>
      <c r="L193" s="52">
        <f t="shared" si="170"/>
        <v>33545.869999999995</v>
      </c>
      <c r="M193" s="52">
        <f t="shared" si="170"/>
        <v>35920.54</v>
      </c>
      <c r="O193" s="52">
        <f>B193</f>
        <v>0</v>
      </c>
      <c r="P193" s="52">
        <f aca="true" t="shared" si="172" ref="P193:T194">C193-B193</f>
        <v>0</v>
      </c>
      <c r="Q193" s="52">
        <f t="shared" si="172"/>
        <v>0</v>
      </c>
      <c r="R193" s="52">
        <f t="shared" si="172"/>
        <v>0</v>
      </c>
      <c r="S193" s="52">
        <f t="shared" si="172"/>
        <v>0</v>
      </c>
      <c r="T193" s="52">
        <f t="shared" si="172"/>
        <v>0</v>
      </c>
      <c r="U193" s="52">
        <f t="shared" si="168"/>
        <v>0</v>
      </c>
      <c r="V193" s="52">
        <f t="shared" si="168"/>
        <v>0</v>
      </c>
      <c r="W193" s="52">
        <f t="shared" si="168"/>
        <v>17085.8</v>
      </c>
      <c r="X193" s="52">
        <f t="shared" si="168"/>
        <v>13224.55</v>
      </c>
      <c r="Y193" s="52">
        <f>L193-K193</f>
        <v>3235.519999999997</v>
      </c>
      <c r="Z193" s="52">
        <f>M193-L193</f>
        <v>2374.6700000000055</v>
      </c>
      <c r="AB193" s="61">
        <f>SUM(U193:Z193)</f>
        <v>35920.54</v>
      </c>
    </row>
    <row r="194" spans="1:28" ht="11.25">
      <c r="A194" s="53" t="s">
        <v>153</v>
      </c>
      <c r="B194" s="52">
        <f aca="true" t="shared" si="173" ref="B194:K194">B128+B64</f>
        <v>0</v>
      </c>
      <c r="C194" s="52">
        <f t="shared" si="173"/>
        <v>0</v>
      </c>
      <c r="D194" s="52">
        <f t="shared" si="173"/>
        <v>0</v>
      </c>
      <c r="E194" s="52">
        <f t="shared" si="173"/>
        <v>0</v>
      </c>
      <c r="F194" s="52">
        <f t="shared" si="173"/>
        <v>0</v>
      </c>
      <c r="G194" s="52">
        <f t="shared" si="173"/>
        <v>0</v>
      </c>
      <c r="H194" s="52">
        <f t="shared" si="173"/>
        <v>0</v>
      </c>
      <c r="I194" s="52">
        <f t="shared" si="173"/>
        <v>0</v>
      </c>
      <c r="J194" s="52">
        <f t="shared" si="173"/>
        <v>0</v>
      </c>
      <c r="K194" s="52">
        <f t="shared" si="173"/>
        <v>0</v>
      </c>
      <c r="L194" s="52">
        <f t="shared" si="170"/>
        <v>0</v>
      </c>
      <c r="M194" s="52">
        <f t="shared" si="170"/>
        <v>0</v>
      </c>
      <c r="O194" s="52">
        <f>B194</f>
        <v>0</v>
      </c>
      <c r="P194" s="52">
        <f t="shared" si="172"/>
        <v>0</v>
      </c>
      <c r="Q194" s="52">
        <f t="shared" si="172"/>
        <v>0</v>
      </c>
      <c r="R194" s="52">
        <f t="shared" si="172"/>
        <v>0</v>
      </c>
      <c r="S194" s="52">
        <f t="shared" si="172"/>
        <v>0</v>
      </c>
      <c r="T194" s="52">
        <f t="shared" si="172"/>
        <v>0</v>
      </c>
      <c r="U194" s="52">
        <f t="shared" si="168"/>
        <v>0</v>
      </c>
      <c r="V194" s="52">
        <f t="shared" si="168"/>
        <v>0</v>
      </c>
      <c r="W194" s="52">
        <f t="shared" si="168"/>
        <v>0</v>
      </c>
      <c r="X194" s="52">
        <f t="shared" si="168"/>
        <v>0</v>
      </c>
      <c r="Y194" s="52">
        <f>L194-K194</f>
        <v>0</v>
      </c>
      <c r="Z194" s="52">
        <f>M194-L194</f>
        <v>0</v>
      </c>
      <c r="AB194" s="61">
        <f t="shared" si="141"/>
        <v>0</v>
      </c>
    </row>
    <row r="195" spans="1:26" ht="11.25">
      <c r="A195" s="56" t="s">
        <v>170</v>
      </c>
      <c r="B195" s="57">
        <f aca="true" t="shared" si="174" ref="B195:M195">SUM(B165:B194)</f>
        <v>0</v>
      </c>
      <c r="C195" s="57">
        <f t="shared" si="174"/>
        <v>0</v>
      </c>
      <c r="D195" s="57">
        <f t="shared" si="174"/>
        <v>0</v>
      </c>
      <c r="E195" s="57">
        <f t="shared" si="174"/>
        <v>0</v>
      </c>
      <c r="F195" s="57">
        <f t="shared" si="174"/>
        <v>121800</v>
      </c>
      <c r="G195" s="57">
        <f t="shared" si="174"/>
        <v>241008.51</v>
      </c>
      <c r="H195" s="57">
        <f t="shared" si="174"/>
        <v>283523.77999999997</v>
      </c>
      <c r="I195" s="57">
        <f t="shared" si="174"/>
        <v>367286.60000000003</v>
      </c>
      <c r="J195" s="57">
        <f t="shared" si="174"/>
        <v>472076.88</v>
      </c>
      <c r="K195" s="57">
        <f t="shared" si="174"/>
        <v>725562.84</v>
      </c>
      <c r="L195" s="57">
        <f t="shared" si="174"/>
        <v>928935.0100000001</v>
      </c>
      <c r="M195" s="57">
        <f t="shared" si="174"/>
        <v>1272782.9699999995</v>
      </c>
      <c r="O195" s="57">
        <f aca="true" t="shared" si="175" ref="O195:X195">SUM(O165:O194)</f>
        <v>0</v>
      </c>
      <c r="P195" s="57">
        <f t="shared" si="175"/>
        <v>0</v>
      </c>
      <c r="Q195" s="57">
        <f t="shared" si="175"/>
        <v>0</v>
      </c>
      <c r="R195" s="57">
        <f t="shared" si="175"/>
        <v>0</v>
      </c>
      <c r="S195" s="57">
        <f t="shared" si="175"/>
        <v>121800</v>
      </c>
      <c r="T195" s="57">
        <f t="shared" si="175"/>
        <v>119208.51</v>
      </c>
      <c r="U195" s="57">
        <f t="shared" si="175"/>
        <v>42515.27</v>
      </c>
      <c r="V195" s="57">
        <f t="shared" si="175"/>
        <v>83762.82000000002</v>
      </c>
      <c r="W195" s="57">
        <f t="shared" si="175"/>
        <v>104790.27999999998</v>
      </c>
      <c r="X195" s="57">
        <f t="shared" si="175"/>
        <v>253485.96</v>
      </c>
      <c r="Y195" s="57">
        <f>SUM(Y165:Y194)</f>
        <v>203372.16999999993</v>
      </c>
      <c r="Z195" s="57">
        <f>SUM(Z165:Z194)</f>
        <v>343847.9599999999</v>
      </c>
    </row>
    <row r="197" ht="11.25">
      <c r="M197" s="65">
        <f>M162+M195</f>
        <v>2216683.7299999995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Parliamentary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Priya Baskaran</dc:creator>
  <cp:keywords/>
  <dc:description/>
  <cp:lastModifiedBy>Dean Stratford</cp:lastModifiedBy>
  <cp:lastPrinted>2010-02-09T04:13:58Z</cp:lastPrinted>
  <dcterms:created xsi:type="dcterms:W3CDTF">2009-06-30T23:58:23Z</dcterms:created>
  <dcterms:modified xsi:type="dcterms:W3CDTF">2010-02-24T19:08:20Z</dcterms:modified>
  <cp:category/>
  <cp:version/>
  <cp:contentType/>
  <cp:contentStatus/>
</cp:coreProperties>
</file>